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29.xml"/>
  <Override ContentType="application/vnd.openxmlformats-officedocument.spreadsheetml.table+xml" PartName="/xl/tables/table32.xml"/>
  <Override ContentType="application/vnd.openxmlformats-officedocument.spreadsheetml.table+xml" PartName="/xl/tables/table28.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sheetId="1" r:id="rId4"/>
    <sheet state="visible" name="Info" sheetId="2" r:id="rId5"/>
    <sheet state="visible" name="Stage list" sheetId="3" r:id="rId6"/>
    <sheet state="visible" name="Stage 1" sheetId="4" r:id="rId7"/>
    <sheet state="visible" name="Stage 2" sheetId="5" r:id="rId8"/>
    <sheet state="visible" name="Stage 3" sheetId="6" r:id="rId9"/>
    <sheet state="visible" name="Stage 4, Day 1" sheetId="7" r:id="rId10"/>
    <sheet state="visible" name="Stage 4, Day 2&amp;3" sheetId="8" r:id="rId11"/>
    <sheet state="visible" name="Stage 5, Day 1" sheetId="9" r:id="rId12"/>
    <sheet state="visible" name="Stage 5, Day 2" sheetId="10" r:id="rId13"/>
    <sheet state="visible" name="Stage 5, Day 3" sheetId="11" r:id="rId14"/>
    <sheet state="visible" name="Stage 6, Day 1" sheetId="12" r:id="rId15"/>
    <sheet state="visible" name="Stage 6, Day 2" sheetId="13" r:id="rId16"/>
    <sheet state="visible" name="Stage 6, Day 3" sheetId="14" r:id="rId17"/>
    <sheet state="visible" name="Stage 7" sheetId="15" r:id="rId18"/>
    <sheet state="visible" name="Stage 8, Day 1" sheetId="16" r:id="rId19"/>
    <sheet state="visible" name="TEST" sheetId="17" r:id="rId20"/>
    <sheet state="visible" name="Stage 8, Day 2&amp;3" sheetId="18" r:id="rId21"/>
    <sheet state="visible" name="Stage 9, Day 1" sheetId="19" r:id="rId22"/>
    <sheet state="visible" name="Stage 9, Day 2&amp;3" sheetId="20" r:id="rId23"/>
    <sheet state="visible" name="Stage 10, Day 1" sheetId="21" r:id="rId24"/>
    <sheet state="visible" name="Stage 10, Day 2" sheetId="22" r:id="rId25"/>
    <sheet state="visible" name="Stage 10, Day 3" sheetId="23" r:id="rId26"/>
    <sheet state="visible" name="Stage 11, Day 1&amp;2" sheetId="24" r:id="rId27"/>
    <sheet state="visible" name="Stage 11, Day 3" sheetId="25" r:id="rId28"/>
    <sheet state="visible" name="Stage 12" sheetId="26" r:id="rId29"/>
    <sheet state="visible" name="Stage 13, Day 1" sheetId="27" r:id="rId30"/>
    <sheet state="visible" name="Stage 13, Day 2&amp;3" sheetId="28" r:id="rId31"/>
    <sheet state="visible" name="Stage 14" sheetId="29" r:id="rId32"/>
    <sheet state="visible" name="Stage 15, Day 1&amp;2" sheetId="30" r:id="rId33"/>
    <sheet state="visible" name="Stage 15, Day 3" sheetId="31" r:id="rId34"/>
    <sheet state="visible" name="Stage 16" sheetId="32" r:id="rId35"/>
    <sheet state="visible" name="Stage 17" sheetId="33" r:id="rId36"/>
    <sheet state="visible" name="Stage 18" sheetId="34" r:id="rId37"/>
  </sheets>
  <definedNames/>
  <calcPr/>
</workbook>
</file>

<file path=xl/sharedStrings.xml><?xml version="1.0" encoding="utf-8"?>
<sst xmlns="http://schemas.openxmlformats.org/spreadsheetml/2006/main" count="11061" uniqueCount="847">
  <si>
    <t>Web Summit 2019</t>
  </si>
  <si>
    <t>Venue:</t>
  </si>
  <si>
    <t>Altice Arena &amp; FIL</t>
  </si>
  <si>
    <t>Web Summit 2019 | Stages</t>
  </si>
  <si>
    <t>Event live stream producer:</t>
  </si>
  <si>
    <t>Zara McGrath</t>
  </si>
  <si>
    <t>Stage No.</t>
  </si>
  <si>
    <t>00353 83 128 2586</t>
  </si>
  <si>
    <t>Name of Stage</t>
  </si>
  <si>
    <t>Event name:</t>
  </si>
  <si>
    <t>Web Summit</t>
  </si>
  <si>
    <t>Day</t>
  </si>
  <si>
    <t>Location</t>
  </si>
  <si>
    <t>Company contact:</t>
  </si>
  <si>
    <t>As above</t>
  </si>
  <si>
    <t>Centre Stage</t>
  </si>
  <si>
    <t>Tues, Wed, Thurs</t>
  </si>
  <si>
    <t xml:space="preserve">Altice Arena </t>
  </si>
  <si>
    <t>Event dates:</t>
  </si>
  <si>
    <t>Press Conference</t>
  </si>
  <si>
    <t>November 5 - 8, 2019</t>
  </si>
  <si>
    <t>Q + A</t>
  </si>
  <si>
    <t>Outdoor TBC</t>
  </si>
  <si>
    <t>SportsTrade</t>
  </si>
  <si>
    <t>Tues</t>
  </si>
  <si>
    <t>Fil 1</t>
  </si>
  <si>
    <t>Speaker Presentation Upload Folder</t>
  </si>
  <si>
    <t>ContentMakers</t>
  </si>
  <si>
    <t>Wed, Thurs</t>
  </si>
  <si>
    <t>Google drive folder:</t>
  </si>
  <si>
    <t>Speaker Presentation Folder - TO BE ADDED</t>
  </si>
  <si>
    <t>PITCH 1</t>
  </si>
  <si>
    <t>Startup Showcase 1</t>
  </si>
  <si>
    <t>Weds</t>
  </si>
  <si>
    <t>Machine Demo</t>
  </si>
  <si>
    <t>How to use this sheet
**Read all instructions below before using**</t>
  </si>
  <si>
    <t>Thurs</t>
  </si>
  <si>
    <t>Creatiff</t>
  </si>
  <si>
    <t>Binate.io</t>
  </si>
  <si>
    <t>Uploading</t>
  </si>
  <si>
    <t xml:space="preserve">When videos are uploaded to AWS, they must be saved using a specific file name so that the script in AWS can interpret the file correctly. </t>
  </si>
  <si>
    <t>File Name Format</t>
  </si>
  <si>
    <t>&lt;ID&gt;_&lt;Duration into clip for video start&gt;_&lt;Duration into clip for video finish&gt;
Time format must be in: hhmmss 
Example:
1b6ed375-cd4b-48bc-bd8f-7cf3df52a18b_000000_001000</t>
  </si>
  <si>
    <t>&lt;ID&gt;</t>
  </si>
  <si>
    <t>This is a unique talk identifier that is in a similar format to below:
Example: 48e780fb-a162-4c37-a0df-7cebc83b39f0</t>
  </si>
  <si>
    <t>&lt;Duration into clip for video start&gt;</t>
  </si>
  <si>
    <t>The length of time into the selected video clip that the content starts. 
This must be represented by 6 digits. 
This is important as the script will use this as the start of the talk &amp; apply intro before this time.
Example: 10 seconds = 000010
Format must be hhmmss</t>
  </si>
  <si>
    <t>&lt;Duration into clip for video finish&gt;</t>
  </si>
  <si>
    <t>Wed</t>
  </si>
  <si>
    <t>FullSTK</t>
  </si>
  <si>
    <t xml:space="preserve">The length of time into the selected video clip that the content ends. 
This must be represented by 6 digits. 
This is important as the script will use this as the end of the talk &amp; apply outro before this time.
Example: 25 minutes, 34 seconds = 002534
Format must be hhmmss"        </t>
  </si>
  <si>
    <t>Future Societies</t>
  </si>
  <si>
    <t>Fil 2</t>
  </si>
  <si>
    <t>PITCH 2</t>
  </si>
  <si>
    <t>Startup Showcase 2</t>
  </si>
  <si>
    <t>Weds, Thurs</t>
  </si>
  <si>
    <t>Planet:tech</t>
  </si>
  <si>
    <t>MoneyConf</t>
  </si>
  <si>
    <t>UnBoxed</t>
  </si>
  <si>
    <t xml:space="preserve">Wooden Annex </t>
  </si>
  <si>
    <t>DeepTech</t>
  </si>
  <si>
    <t>MusicNotes</t>
  </si>
  <si>
    <t>Wooden Annex</t>
  </si>
  <si>
    <t>SaaS Monster</t>
  </si>
  <si>
    <t>Tues, Wed</t>
  </si>
  <si>
    <t>Fil 3</t>
  </si>
  <si>
    <t xml:space="preserve">HealthConf </t>
  </si>
  <si>
    <t>Growth Summit</t>
  </si>
  <si>
    <t>PITCH 3</t>
  </si>
  <si>
    <t>Fil 4</t>
  </si>
  <si>
    <t>Startup Showcase 3</t>
  </si>
  <si>
    <t>AutoTech/TalkRobot</t>
  </si>
  <si>
    <t>Startup University</t>
  </si>
  <si>
    <t>Tues, Weds</t>
  </si>
  <si>
    <t>Modum</t>
  </si>
  <si>
    <t>PandaConf</t>
  </si>
  <si>
    <t>Fil 5</t>
  </si>
  <si>
    <t>CIS</t>
  </si>
  <si>
    <t>Venture</t>
  </si>
  <si>
    <t>Talk</t>
  </si>
  <si>
    <t>Stage</t>
  </si>
  <si>
    <t>Speaker</t>
  </si>
  <si>
    <t>Time/Start</t>
  </si>
  <si>
    <t>Time/End</t>
  </si>
  <si>
    <t>ID</t>
  </si>
  <si>
    <t>Start date</t>
  </si>
  <si>
    <t>Start time</t>
  </si>
  <si>
    <t>End date</t>
  </si>
  <si>
    <t>End time</t>
  </si>
  <si>
    <t>Duration</t>
  </si>
  <si>
    <t>Formatting</t>
  </si>
  <si>
    <t>YAL ID</t>
  </si>
  <si>
    <t>File name</t>
  </si>
  <si>
    <t>RECORDED</t>
  </si>
  <si>
    <t>MP4</t>
  </si>
  <si>
    <t>S3</t>
  </si>
  <si>
    <t>Nine years of Web Summit: With Paddy Cosgrave</t>
  </si>
  <si>
    <t>Press</t>
  </si>
  <si>
    <t>Paddy Cosgrave</t>
  </si>
  <si>
    <t>CS_4_1</t>
  </si>
  <si>
    <t>PS_5_1</t>
  </si>
  <si>
    <t>YES</t>
  </si>
  <si>
    <t>AVAILABLE</t>
  </si>
  <si>
    <t xml:space="preserve">Tech unicorns and Web Summit
</t>
  </si>
  <si>
    <t xml:space="preserve">Daniela Braga, Sam Zaid, Paddy Cosgrave, Lucy Liu
</t>
  </si>
  <si>
    <t>003000</t>
  </si>
  <si>
    <t>PS_5_2</t>
  </si>
  <si>
    <t>Cris Cyborg: Exclusive pre-Bellator debut press conference</t>
  </si>
  <si>
    <t>Cris Cyborg</t>
  </si>
  <si>
    <t>002000</t>
  </si>
  <si>
    <t>PS_5_3</t>
  </si>
  <si>
    <t>002500</t>
  </si>
  <si>
    <t>CS_4_2</t>
  </si>
  <si>
    <t>Own Your Data to protect democracy - Press conference with Brittany Kaiser, Own Your Data</t>
  </si>
  <si>
    <t>Brittany Kaiser</t>
  </si>
  <si>
    <t>PS_5_4</t>
  </si>
  <si>
    <t>Press conference with Carlos Moedas, European Commission &amp; Pedro Siza Viera, Government of Portugal</t>
  </si>
  <si>
    <t xml:space="preserve">Carlos Moedas, Pedro Siza Vieira
</t>
  </si>
  <si>
    <t>001500</t>
  </si>
  <si>
    <t>PS_5_5</t>
  </si>
  <si>
    <t>Ronaldinho presents the Sqiller app with Teqball</t>
  </si>
  <si>
    <t>Viktor Huszar, 
Ronaldinho</t>
  </si>
  <si>
    <t>001000</t>
  </si>
  <si>
    <t>CS_4_3</t>
  </si>
  <si>
    <t>PS_5_6</t>
  </si>
  <si>
    <t>Google and sustainability: The role of technology in climate action</t>
  </si>
  <si>
    <t>Kate Brandt</t>
  </si>
  <si>
    <t>004500</t>
  </si>
  <si>
    <t>PS_5_7</t>
  </si>
  <si>
    <t>CS_4_4</t>
  </si>
  <si>
    <t>GoCardless and Transferwise: A new shared vision for recurring payments</t>
  </si>
  <si>
    <t xml:space="preserve">Taavet Hinrikus, Hiroki Takeuchi
</t>
  </si>
  <si>
    <t>PS_6_1</t>
  </si>
  <si>
    <t>Knowing your worth - Press conference with Paige VanZant, Fighter, UFC</t>
  </si>
  <si>
    <t>Paige VanZant</t>
  </si>
  <si>
    <t>001300</t>
  </si>
  <si>
    <t>CS_4_5</t>
  </si>
  <si>
    <t>PS_6_2</t>
  </si>
  <si>
    <t>Akon and AKOIN team share their crypto empowerment plan for Africa and beyond</t>
  </si>
  <si>
    <t xml:space="preserve">Akon, Jon Karas
</t>
  </si>
  <si>
    <t>PS_6_3</t>
  </si>
  <si>
    <t>New EIB investment to drive developments of QEV technologies</t>
  </si>
  <si>
    <t>Emma Navarro</t>
  </si>
  <si>
    <t>CS_4_6</t>
  </si>
  <si>
    <t>PS_6_4</t>
  </si>
  <si>
    <t>No one left behind: Making tech work for the many</t>
  </si>
  <si>
    <t>Ro Khanna</t>
  </si>
  <si>
    <t>PS_6_5</t>
  </si>
  <si>
    <t>001700</t>
  </si>
  <si>
    <t>CS_4_7</t>
  </si>
  <si>
    <t>Chat with Sophia the Robot and David Hanson from Hanson Robotics</t>
  </si>
  <si>
    <t xml:space="preserve">David Hanson, Sophia The Robot
</t>
  </si>
  <si>
    <t>PS_6_6</t>
  </si>
  <si>
    <t>CS_4_8</t>
  </si>
  <si>
    <t>Meet the robot with the decentralised brain</t>
  </si>
  <si>
    <t xml:space="preserve">
Philip K. Dick (robot), Ben Goertzel</t>
  </si>
  <si>
    <t>PS_6_7</t>
  </si>
  <si>
    <t>EU’s policy against disinformation and other online threats</t>
  </si>
  <si>
    <t>003500</t>
  </si>
  <si>
    <t>Věra Jourová</t>
  </si>
  <si>
    <t>CS_5_1</t>
  </si>
  <si>
    <t>PS_7_1</t>
  </si>
  <si>
    <t>The transformative power of technology and digitisation</t>
  </si>
  <si>
    <t>Margrethe Vestager</t>
  </si>
  <si>
    <t>CS_5_2</t>
  </si>
  <si>
    <t>PS_7_2</t>
  </si>
  <si>
    <t>CS_5_3</t>
  </si>
  <si>
    <t>Q&amp;A with electronic music pioneer Jean-Michel Jarre</t>
  </si>
  <si>
    <t>Jean-Michel Jarre</t>
  </si>
  <si>
    <t>PS_7_3</t>
  </si>
  <si>
    <t>CS_5_4</t>
  </si>
  <si>
    <t>CS_5_5</t>
  </si>
  <si>
    <t>CS_5_6</t>
  </si>
  <si>
    <t>CS_5_7</t>
  </si>
  <si>
    <t>CS_5_8</t>
  </si>
  <si>
    <t>CS_5_9</t>
  </si>
  <si>
    <t>CS_5_10</t>
  </si>
  <si>
    <t>Q&amp;A Session with Chris Leacock</t>
  </si>
  <si>
    <t>Q&amp;A</t>
  </si>
  <si>
    <t>Christopher Leacock</t>
  </si>
  <si>
    <t>CS_5_11</t>
  </si>
  <si>
    <t>QA_5_1</t>
  </si>
  <si>
    <t>CS_5_12</t>
  </si>
  <si>
    <t xml:space="preserve">Q&amp;A with Garrett McNamara
</t>
  </si>
  <si>
    <t>Garrett McNamara</t>
  </si>
  <si>
    <t>QA_5_2</t>
  </si>
  <si>
    <t>Q&amp;A Session With Deco</t>
  </si>
  <si>
    <t>Deco</t>
  </si>
  <si>
    <t>QA_5_3</t>
  </si>
  <si>
    <t>Q&amp;A with Akon</t>
  </si>
  <si>
    <t>Akon</t>
  </si>
  <si>
    <t>QA_6_1</t>
  </si>
  <si>
    <t>Q&amp;A with Yancey Strickler</t>
  </si>
  <si>
    <t>CS_5_13</t>
  </si>
  <si>
    <t>Yancey Strickler</t>
  </si>
  <si>
    <t>QA_7_1</t>
  </si>
  <si>
    <t>Q&amp;A Session with Mikhaila Peterson</t>
  </si>
  <si>
    <t>Mikhaila Peterson</t>
  </si>
  <si>
    <t>QA_7_2</t>
  </si>
  <si>
    <t>CS_5_14</t>
  </si>
  <si>
    <t>CS_5_15</t>
  </si>
  <si>
    <t>CS_5_16</t>
  </si>
  <si>
    <t>CS_5_17</t>
  </si>
  <si>
    <t>CS_5_18</t>
  </si>
  <si>
    <t>CS_5_19</t>
  </si>
  <si>
    <t>CS_5_20</t>
  </si>
  <si>
    <t>CS_5_21</t>
  </si>
  <si>
    <t>CS_6_1</t>
  </si>
  <si>
    <t>CS_6_2</t>
  </si>
  <si>
    <t>CS_6_3</t>
  </si>
  <si>
    <t>CS_6_4</t>
  </si>
  <si>
    <t>ST_5_1</t>
  </si>
  <si>
    <t>CS_6_5</t>
  </si>
  <si>
    <t>CS_6_6</t>
  </si>
  <si>
    <t>ST_5_2</t>
  </si>
  <si>
    <t>CS_6_7</t>
  </si>
  <si>
    <t>ST_5_3</t>
  </si>
  <si>
    <t>CS_6_8</t>
  </si>
  <si>
    <t>ST_5_4</t>
  </si>
  <si>
    <t>ST_5_5</t>
  </si>
  <si>
    <t>CS_6_9</t>
  </si>
  <si>
    <t>ST_5_6</t>
  </si>
  <si>
    <t>ST_5_7</t>
  </si>
  <si>
    <t>CS_6_10</t>
  </si>
  <si>
    <t>CS_6_11</t>
  </si>
  <si>
    <t>ST_5_8</t>
  </si>
  <si>
    <t>CS_6_12</t>
  </si>
  <si>
    <t>CS_6_13</t>
  </si>
  <si>
    <t>000500</t>
  </si>
  <si>
    <t>ST_5_9</t>
  </si>
  <si>
    <t>CS_6_14</t>
  </si>
  <si>
    <t>ST_5_10</t>
  </si>
  <si>
    <t>CS_6_15</t>
  </si>
  <si>
    <t>CS_6_16</t>
  </si>
  <si>
    <t>ST_5_11</t>
  </si>
  <si>
    <t>CS_6_17</t>
  </si>
  <si>
    <t>CS_6_18</t>
  </si>
  <si>
    <t>ST_5_12</t>
  </si>
  <si>
    <t>CS_6_19</t>
  </si>
  <si>
    <t>ST_5_13</t>
  </si>
  <si>
    <t>010000</t>
  </si>
  <si>
    <t>CS_6_20</t>
  </si>
  <si>
    <t>CS_7_1</t>
  </si>
  <si>
    <t>ST_5_14</t>
  </si>
  <si>
    <t>CS_7_2</t>
  </si>
  <si>
    <t>ST_5_15</t>
  </si>
  <si>
    <t>CS_7_3</t>
  </si>
  <si>
    <t>ST_5_16</t>
  </si>
  <si>
    <t>CS_7_4</t>
  </si>
  <si>
    <t>ST_5_17</t>
  </si>
  <si>
    <t>CS_7_5</t>
  </si>
  <si>
    <t>ST_5_18</t>
  </si>
  <si>
    <t>CS_7_6</t>
  </si>
  <si>
    <t>ST_5_19</t>
  </si>
  <si>
    <t>CS_7_7</t>
  </si>
  <si>
    <t>000000</t>
  </si>
  <si>
    <t>CS_7_8</t>
  </si>
  <si>
    <t>CS_7_9</t>
  </si>
  <si>
    <t>CS_7_10</t>
  </si>
  <si>
    <t>CS_7_11</t>
  </si>
  <si>
    <t>CS_7_12</t>
  </si>
  <si>
    <t>CS_7_13</t>
  </si>
  <si>
    <t>CS_7_14</t>
  </si>
  <si>
    <t>CS_7_15</t>
  </si>
  <si>
    <t>CS_7_16</t>
  </si>
  <si>
    <t>CS_7_17</t>
  </si>
  <si>
    <t>CS_7_18</t>
  </si>
  <si>
    <t>CS_7_19</t>
  </si>
  <si>
    <t>CM_6_1</t>
  </si>
  <si>
    <t>CM_6_2</t>
  </si>
  <si>
    <t>CM_6_3</t>
  </si>
  <si>
    <t>CM_6_4</t>
  </si>
  <si>
    <t>CM_6_5</t>
  </si>
  <si>
    <t>CM_6_6</t>
  </si>
  <si>
    <t>CM_6_7</t>
  </si>
  <si>
    <t>CM_6_8</t>
  </si>
  <si>
    <t>CM_6_9</t>
  </si>
  <si>
    <t>CM_6_10</t>
  </si>
  <si>
    <t>CM_6_11</t>
  </si>
  <si>
    <t>CM_6_12</t>
  </si>
  <si>
    <t>CM_6_13</t>
  </si>
  <si>
    <t>CM_6_14</t>
  </si>
  <si>
    <t>CM_6_15</t>
  </si>
  <si>
    <t>CM_6_16</t>
  </si>
  <si>
    <t>CM_7_1</t>
  </si>
  <si>
    <t>CM_7_2</t>
  </si>
  <si>
    <t>CM_7_3</t>
  </si>
  <si>
    <t>CM_7_4</t>
  </si>
  <si>
    <t>CM_7_5</t>
  </si>
  <si>
    <t>CM_7_6</t>
  </si>
  <si>
    <t>005000</t>
  </si>
  <si>
    <t>CM_7_7</t>
  </si>
  <si>
    <t>CM_7_8</t>
  </si>
  <si>
    <t>CM_7_9</t>
  </si>
  <si>
    <t>CM_7_10</t>
  </si>
  <si>
    <t>CM_7_11</t>
  </si>
  <si>
    <t>PITCH group round 1</t>
  </si>
  <si>
    <t>CM_7_12</t>
  </si>
  <si>
    <t xml:space="preserve">Mada Seghete Sophia Tran
Ekaterina Holt
Marcus Fehling
Ilya Gelfenbeyn
Miguel Santo
Pedro Pestana Christoph Weigl Roman Prytkov Alan Hickey Evgeny Grankin Bernd Oostrum
</t>
  </si>
  <si>
    <t>P1_5_1</t>
  </si>
  <si>
    <t>PITCH group round 4</t>
  </si>
  <si>
    <t>Rashmi Gopinath
Ramin Behzadi
Lais de Oliveira
Tanja Koch
Mário Guerreiro
Rui Barros
Alexey Kistenev
Mitchell Buhling
Sarah Merrick
Arif Abed
Karl Naim
Tanel Orro</t>
  </si>
  <si>
    <t>P1_5_2</t>
  </si>
  <si>
    <t>PITCH group round 7</t>
  </si>
  <si>
    <t>Oded Ben Dror
Fred Lardieg
David Meltzer
Ricardo Marvao
Christoph Goeken
sergey khodakov
Jakob Knutzen
Olivier Le Lann
Michiel Lensink
Joep Wittebrood</t>
  </si>
  <si>
    <t>P1_5_3</t>
  </si>
  <si>
    <t xml:space="preserve">PITCH group round 10
</t>
  </si>
  <si>
    <t>Sander Geels
Curtis MacDonald
Jim Hunter
Raúl Saraiva
Soulama Sakar
Benjamin Gareis
Kevin Feeney
Simon Puleston Jones
Leila Lech</t>
  </si>
  <si>
    <t>P1_5_4</t>
  </si>
  <si>
    <t>PITCH group round 13</t>
  </si>
  <si>
    <t>Jules Walker
Yamilette Cano
Anthemos Georgiades
Jim Hunter
Melissa Lester
young kwon
Hugo Feiler
Nicolas Hotterbeekx
Piotr Bardadyn
Mateusz Romanów
Rodrigo Moretti
André Flórido
Veena Giridhar Gopal</t>
  </si>
  <si>
    <t>P1_5_5</t>
  </si>
  <si>
    <t>PITCH group round 16</t>
  </si>
  <si>
    <t>Francis Lowry
Malin Holmberg
Anneli Rispens
Miguel Rangel
Mohan Ram
Amer Nasereddin
Ben Moe
Thierry Tacheny
Riccardo Tomassetti
Hubert Guzera
Den Melnykov
MIGUEL REYNOLDS BRANDAO
Niky Achivei</t>
  </si>
  <si>
    <t>P1_5_6</t>
  </si>
  <si>
    <t>Startup Showcase</t>
  </si>
  <si>
    <t>Angus Davis, Francesco Ambrosiano, Joseph Hyosub Lee, Laura Siltala, Jeremie Olivier, JUAN HERNANDEZ, Elina Scorey, Wilber Colmerauër, Raphael Allstadt, Anouar El-Mourabit, Kim Murashov, Amin El Husseini, Alexey Obraztsov, Fadel Zahreddine, Mariella Goebl, Gerry McNicol, Carlos Alzate, Maciej Ciołek, Christian Sundgaard, Yunji Won, Matt Robbins, Sasha Schriber, Jere Seppala, PH Zabisky, Maxime Bétas, Johannes Knierzinger, Jacques Sirot, Kacper Wójcik, Alexander Kondrashkin, Francesco Bettinzana, Susan Poulsen, Jeff Linihan, Anna Downes, Brian Handrigan, Povilas Goberis, David Böhm, Toms Panders, Wonhee Lee, LEONARDO MARTINEZ LUNA, Sewon Yoon, Danilo Ohtani, Assem Chammah, Tero Seppala, Andrew Downes, Arif Abed, Amy Bobchek, Jeongpyo Hong, Andrei Netto, Maja Schefer and Linda Kolontaja</t>
  </si>
  <si>
    <t>SS_6_1</t>
  </si>
  <si>
    <t xml:space="preserve">
</t>
  </si>
  <si>
    <t>Machine Demo Round 2</t>
  </si>
  <si>
    <t xml:space="preserve">Jonathan Greene, Alexandre Santos, Andreas Botsch, Svitlana Malovana, Julien Yee, Achim Schneider
</t>
  </si>
  <si>
    <t>Susana Chaves, Bilall Memedi, Guillaume Pineau-Valencienne, Christof Wallner, Raymond Calis, Nurlan Tlegenov, Mattia Fosci, Mehmet Nisanci, Dmytro Baklan, Olga Troian, Mellat Shegre, Eric van Hall, Maciej Sawicki, Barbara Molendijk, Murphy Chang, Enno Bassen, Hirbod Bigvand, Matthew Kempa, Wiktoria Wojcik, Michael Pallotto, Slawomir Olszynski, Jeroen Mol, Ariel Lin, Jill Beytin, Allison Gorecki, Antonio Puleo, Dawid Cichy, Samuel Haertl, Rahinee Ratnagobal, Tobias Kehrein, Ekaterina Bakhova, Muriel Kuan, Adam Jastrzebski, Mara Kuesters, Rhiannon Ross, Daniel Teuschl, Melanie Hartl, Szymon Kubiak, Vinh Ngu, Anastasiia Horban, Alessandro La Rosa, ERSIN GENCER, Pierre ADDOUM, Alexander Lachinger, Wilco Verdoold, Igor Menshchykov, Suzanne Robbe, Sebastian Zach, Federico Tudisco and Alison Costa</t>
  </si>
  <si>
    <t>SS_6_2</t>
  </si>
  <si>
    <t>MD_7_1</t>
  </si>
  <si>
    <t>Susana Chaves, Rudolf Peschel, Vladimir NIkandrov, Gian-Marco Spinosa, Lucas Nygaard, Vittorio Giuseppe Urzì, Hana Novakova, Dr Carmelo Bisognano, Oleksii Danchenko, Bjoern Bak, Rolf Illenberger, Maria Tolstykh, IMGIBBLE LIM, Jamie Thomson, Martina Balazova, António Laranjeira, kyoungik Jang, andrea baldini, Elin YOON, Paul Martin, Ekaterina Butko, Mohsen Haddad, Ivan Burban, Delzar Khalaf, Giancarlo Sciuto, Sergei Galeev, Thomas Wacinski, Daniel De Witte, Patrizia Di Biasi, Douwe Faasen, Alexander Semenov, Michael Kröll, Marco Angelo Villari, Olga Kravchenko, Soufiane Rouibia, Henri Pauwels, Dmytro Kudrenko, Dominic Mueller, Hans Pauwels, Stefan Godly, Patrick Bartels, July Seo, Saad Hannoush, Alejandro Ortiz Monasterio Acosta, Maxime Eugeni, Charles Pauwels, André Miranda and Anna Anttila</t>
  </si>
  <si>
    <t>SS_6_3</t>
  </si>
  <si>
    <t>Machine Demo Round 3</t>
  </si>
  <si>
    <t>Ilya Velder, eunkyeong kwon, Lucas Malanda, Dennis Poon, Clemens Kirner, Michael Schöggl</t>
  </si>
  <si>
    <t>Frances Schwiep, VItor Seabra, Marcin Waluś, Cai Von Igel, Arnau Abadal, Vladislav Turiashvili, Piotr Gąsiorowski, Peter Sodermans, Anna Gąsiorowska, Patrik Pasko, Samir Kaila, Aycim Likos, Pawel Kwiatkowski, Gabriel Fumagalli, Francisca Borges, Komal Patel, Vijay Rayudu, Jamar Smith, Matthias Vanhoutteghem, Manuela Sayin, Cheryl Ingram, Tigran Vardanyan, Michal Ukropec, Vanessa Marques, Tomasz Florczak, Kamila Piasecka, Bernardo Gándara, Jenny Bertling, James Dryden, Larissa Purim, Mirka Gálová, Peter Jundin, Sam Davies, Ara Gemilyan, Nikoloz Mgebrishvili, Diogo Ferreira Pinto, Cagdas (Charly) Sayin, Nilton Constantino, Julien Yee, João Fernandes, Suresh Kondapureddy, Mario Alves, ali akil, Elia Morling, Hamzah ibn El-Amin, Laura Simas, Daniel Krijgsman, Thiago Lima, KRISTINA VARDANYAN and Nevander Holland</t>
  </si>
  <si>
    <t>SS_6_4</t>
  </si>
  <si>
    <t>MD_7_2</t>
  </si>
  <si>
    <t>Machine Demo Round 4</t>
  </si>
  <si>
    <t xml:space="preserve">Jules Walker, CRISTINA GONZALEZ, Naor Amir, Christoph Hantschk, Alex Janusek, Ken Miyake
</t>
  </si>
  <si>
    <t>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Soumya Shubhra Ghosh and Naomi Lim</t>
  </si>
  <si>
    <t>MD_7_3</t>
  </si>
  <si>
    <t>SS_6_5</t>
  </si>
  <si>
    <t>Machine Demo final</t>
  </si>
  <si>
    <t xml:space="preserve">Ansgar Chorhummel, Kaigham Gabriel, Sven Illing, Rytis Vitkauskas, Bruno Meireles de Sousa, Hugo Augusto
</t>
  </si>
  <si>
    <t>MD_7_4</t>
  </si>
  <si>
    <t>CT_5_1</t>
  </si>
  <si>
    <t>CT_5_2</t>
  </si>
  <si>
    <t>CT_5_3</t>
  </si>
  <si>
    <t>BI_4_1</t>
  </si>
  <si>
    <t>FK_4_1</t>
  </si>
  <si>
    <t>CT_5_4</t>
  </si>
  <si>
    <t>FK_4_2</t>
  </si>
  <si>
    <t>BI_4_2</t>
  </si>
  <si>
    <t>CT_5_5</t>
  </si>
  <si>
    <t>FK_4_3</t>
  </si>
  <si>
    <t>CT_5_6</t>
  </si>
  <si>
    <t>FK_4_4</t>
  </si>
  <si>
    <t>BI_4_3</t>
  </si>
  <si>
    <t>FK_4_5</t>
  </si>
  <si>
    <t>CT_5_7</t>
  </si>
  <si>
    <t>BI_4_4</t>
  </si>
  <si>
    <t>005500</t>
  </si>
  <si>
    <t>FK_4_6</t>
  </si>
  <si>
    <t>BI_4_5</t>
  </si>
  <si>
    <t>CT_5_8</t>
  </si>
  <si>
    <t>FK_4_7</t>
  </si>
  <si>
    <t>BI_4_6</t>
  </si>
  <si>
    <t>CT_5_9</t>
  </si>
  <si>
    <t>FK_4_8</t>
  </si>
  <si>
    <t>CT_5_10</t>
  </si>
  <si>
    <t>BI_4_7</t>
  </si>
  <si>
    <t>CT_5_11</t>
  </si>
  <si>
    <t>FK_4_9</t>
  </si>
  <si>
    <t>BI_4_8</t>
  </si>
  <si>
    <t>CT_5_12</t>
  </si>
  <si>
    <t>FK_4_10</t>
  </si>
  <si>
    <t>BI_4_9</t>
  </si>
  <si>
    <t>CT_5_13</t>
  </si>
  <si>
    <t>FK_4_11</t>
  </si>
  <si>
    <t>FK_4_12</t>
  </si>
  <si>
    <t>BI_4_10</t>
  </si>
  <si>
    <t>FK_4_13</t>
  </si>
  <si>
    <t>BI_4_11</t>
  </si>
  <si>
    <t>FK_4_14</t>
  </si>
  <si>
    <t>BI_4_12</t>
  </si>
  <si>
    <t>BI_4_13</t>
  </si>
  <si>
    <t>FS_5_1</t>
  </si>
  <si>
    <t>FS_5_2</t>
  </si>
  <si>
    <t>FS_5_3</t>
  </si>
  <si>
    <t>FS_5_4</t>
  </si>
  <si>
    <t>FS_5_5</t>
  </si>
  <si>
    <t>FS_5_6</t>
  </si>
  <si>
    <t>004300</t>
  </si>
  <si>
    <t>FS_5_7</t>
  </si>
  <si>
    <t>001200</t>
  </si>
  <si>
    <t>FS_5_8</t>
  </si>
  <si>
    <t>FS_5_9</t>
  </si>
  <si>
    <t>FS_5_10</t>
  </si>
  <si>
    <t>FS_5_11</t>
  </si>
  <si>
    <t>FS_5_12</t>
  </si>
  <si>
    <t>FS_5_13</t>
  </si>
  <si>
    <t>FS_5_14</t>
  </si>
  <si>
    <t>FS_5_15</t>
  </si>
  <si>
    <t>FS_6_1</t>
  </si>
  <si>
    <t>FS_6_2</t>
  </si>
  <si>
    <t>FS_6_3</t>
  </si>
  <si>
    <t>FS_6_4</t>
  </si>
  <si>
    <t>FS_6_5</t>
  </si>
  <si>
    <t>FS_6_6</t>
  </si>
  <si>
    <t>FS_6_7</t>
  </si>
  <si>
    <t>FS_6_8</t>
  </si>
  <si>
    <t>FS_6_9</t>
  </si>
  <si>
    <t>FS_6_10</t>
  </si>
  <si>
    <t>FS_6_11</t>
  </si>
  <si>
    <t>FS_6_12</t>
  </si>
  <si>
    <t>FS_6_13</t>
  </si>
  <si>
    <t>FS_6_14</t>
  </si>
  <si>
    <t>FS_6_15</t>
  </si>
  <si>
    <t>FS_6_16</t>
  </si>
  <si>
    <t>FS_6_17</t>
  </si>
  <si>
    <t>FS_6_18</t>
  </si>
  <si>
    <t>FS_7_1</t>
  </si>
  <si>
    <t>FS_7_2</t>
  </si>
  <si>
    <t>FS_7_3</t>
  </si>
  <si>
    <t>FS_7_4</t>
  </si>
  <si>
    <t>FS_7_5</t>
  </si>
  <si>
    <t>FS_7_6</t>
  </si>
  <si>
    <t>FS_7_7</t>
  </si>
  <si>
    <t>FS_7_8</t>
  </si>
  <si>
    <t>FS_7_9</t>
  </si>
  <si>
    <t>FS_7_10</t>
  </si>
  <si>
    <t>FS_7_11</t>
  </si>
  <si>
    <t>FS_7_12</t>
  </si>
  <si>
    <t>FS_7_13</t>
  </si>
  <si>
    <t>FS_7_14</t>
  </si>
  <si>
    <t>FS_7_15</t>
  </si>
  <si>
    <t>Jag Singh, Antonio Julia, Damian Ciesielski, Oliver Windle, Apoorv Shankar, Joana Silva, CRISTINA GONZALEZ, Danny Honigh, Jochem Verboom, Dejan Borota, Kenneth Geipel, Kazunori Oki, JOSE MANUEL GONZALEZ SAEZ, Marco Park, Joana Rocha, Brina O, Alexandra Kröger, Matteo Zago, Ludovic Nachury, Rafael Kaschuba, Alexander Schumacher, Francesco Campus, Niccolò Golinelli, David Purón, Laurent Marfisi, Damiano Bonacchi, Isidro Nistal, Andreas Botsch, Hyejin Park, Carlos Abreu, Ken Miyake, Akiko Moriguchi, Masahiko Yamanaka, Eva Endress, Dimitrios Chrysostomou, Apoorv Shankar, Apoorv Shankar, Stefano Iorino, hyungil Park, Paulo Ribeiro, Juan Pérez-Bedmar Fernández, Egor Pchelnikov, eunkyeong kwon, Arnaud Malvache, Jacobo Domingo Gil, jaekeun Han, Ricardo Dias Marques, Peter Duesing, Leo Scott Smith and Ekaterina Bashilova</t>
  </si>
  <si>
    <t>2019/11/06 10:15:00</t>
  </si>
  <si>
    <t>2019/11/06 11:15:00</t>
  </si>
  <si>
    <t>b92815fd-d010-472d-ae8c-49a8592509ec</t>
  </si>
  <si>
    <t>PITCH ground round 2</t>
  </si>
  <si>
    <t>Nic Brisbourne, David Meltzer, Myra Khanna, Luis Shemtov, Miguel Barbosa, Jiazi Guo, George Laliashvili, Daniel Sozonov, Sam Davies, Pedro Humbert, MICHAEL JASCHKE</t>
  </si>
  <si>
    <t>James Downing, Kevin Feeney, Gero Keil, Cyril Dané, Fredrik Kronlid, Luisa Piló, Evgen Verzun, Carmen Ortega, Arash Asady, Anna Zieciak, Sina Roshan, Alvaro Gonzalez, Alon Cohn, Anthony Quirk, Joseph Benguira, Daniel Sozonov, Gary Gimenez, Kieran Conlon, Janderson Araujo, Simone Gabbriellini, Hossein Moradgholi, Tommaso Frigerio, Holly Pope, Eileen Owen Tan, Dario Rodriguez, Steven Betito, Peter Suma, Antonio Procopio, Milad Zabihi, Abigail Seward, Gregory Zerbib, Anton Morozov, MARCELO BASTOS, Mahdi El Azhari, Luke Feeney, Munique Martins, Georgina Pierson, David Hjelm, Zeyad Wanis, Wassim Samad, Thilo Hüllmann, Denys Smalianyi, Peter Ausum, ILya PavLov, Yevhenia Dzyuba, Kitty Jose, Joris Dekkers, Andreas Krona, Henrik Fabrin and Sergei Menshchikov</t>
  </si>
  <si>
    <t>2019/11/06 12:15:00</t>
  </si>
  <si>
    <t>7810d056-e781-43b0-8250-0da0567c8770</t>
  </si>
  <si>
    <t>Ricardo Marvao</t>
  </si>
  <si>
    <t>Ricardo Marvao, Tomas Liesis, Renzo Colnago, Bruno Matias, Rafael Dietze, Kylie Naughton, Nuno Belo, Ilya Kostromkin, Margaret Latuszek, Maksim Nekrylov, Pawel Sieniawski, Viktorija Vanagė, Bernd Oostrum, Krzysztof Przekwas, Luke Solarski, Emma Smith, Stone Atwine, Juliano Prado, Kastytis Zuromskas, Fabian Gaban, Erich Schnoeckel, Gleb Shabanov, Stanislaw Ploski, Artur Avanesyan, Catrina Sheridan, Algirdas Zakarauskas, Tim Roho, Skirmantas Jareckas, Miguel Frasco, Michal Wojciechowski, Shreya Kothari Sawala, Abdullah Almoaiqel, Alex Fenechiu, Diogo Belo, Klaudia Flakiewicz, Oleg Levitsky, Johannes Brouwer, Tomasz Rutkowski, Darren McLoughlin, Krzysztof Piotrowicz, Alexey Tolstik, Marta Netza, Fernando Matias, Yehia Badawy, Pawel Brataniec, Melinda Havas, Tatiana Deshkina, Melinda Havas, Inga Mullins and Jonas Kimontas</t>
  </si>
  <si>
    <t>2019/11/06 13:15:00</t>
  </si>
  <si>
    <t>280fad1d-4268-4f8b-b419-2fa2f1ae401c</t>
  </si>
  <si>
    <t>IGOR OVCHARENKO, Gabriel Ayala, Mike Bonfigli, Stratos Apostolidis, Szymon Paroszkiewicz, Dimitry Nikiforov, Alma Gangsburg , Lukasz Lopacinski, David Conde, Krzysztof Bulski, Daniel Rachid Monici, Oliver Werneyer, Alina Kornienko, Bruno Soares, Gaya Rabello, David Scott Turner, Erich Schudt, Giannis Tsolaridis, Juan Carlos Lopez Diaz, Valeriy Krasnikov, Konrad Gładkowski, Edouard Beauvois, Den Melnykov, Karina Revenco, Marta Kaleńska - Jaśkiewicz, Afonso Vieira, Alexandr Priezzhev, Edouard Beauvois, Adam Jones, Fred Gegoux, Christoph Erb, Kevin Cash, Elio Martinez, Denys Kyrychenko, Henning Wagner, Soohan Han, Damien Labrunie, Ivo Luhse, Radomir Studzinski, David Carvajal, André Flórido, Cora Vinagre Sendino, Felix Niederer, Dmytro Dziubenko, Matthew Trett, Dimitrios Tsangalidis, Peko Wan, Elena Romanova, Samuel Lathey and Andreas Harpas</t>
  </si>
  <si>
    <t>2019/11/06 14:15:00</t>
  </si>
  <si>
    <t>2019/11/06 15:15:00</t>
  </si>
  <si>
    <t>e88fb1c9-9a40-4ee8-8628-69b8fefa5ef5</t>
  </si>
  <si>
    <t>IGOR OVCHARENKO, Ekaterina Spiegel, Charles De Gastines, Alexandr Nedostupov, Raivo Malter, Sara Marques, Martin Berggren, Tanel Orro, Sunil Bhardwaj, Gaby Treiband, Fernanda Cortellini, Matteo Rossi, Rashed AlTammar, John Cavebring, Diego Dal Cero, Filipp Shubin, Stefania Sulis, Salvador Lukas Serrano Stieglitz, Evald-Hannes Kree, Tainan Lamas, Kirill Tripolski, Laurent Bruchez, Kirill Gorynya, Dmytro Moskalenko, Sarah Almachar, Ebrahim Alrashed, Thomas Sevège, Maxim Yehorov, Pablo Pfister, OLGA STAROSOTSKA, Kastriot Fazliu, Toomas Tirman, Tricia Buenvenida, Tariq El-Asad, Khaled Al Rashed, Fellipe Tenorio, Paola Rojas, Jacquelin Becheau La Fonta, Alexander Conceicao, Amyn Chagan, Francois Dumont, Renato Pavan, Max Bubuioc, Adam Boulel, James Coop, Arber Fazliu, Ferran Martinez, Florian Zermatten, Axel Arvidsson and Mattia Rossi</t>
  </si>
  <si>
    <t>2019/11/06 16:15:00</t>
  </si>
  <si>
    <t>3fbacf59-99da-4000-b741-4f01eab1d253</t>
  </si>
  <si>
    <t>Tianyu Pu, Luigi Fidelio, Carlos Faria, Marc Mackenbach, Christopher Ramstedt, Dmitry Shimanskiy, Simone Giacco, Marina Bochenkova, Aleksandr  Beshkenadze, ARNAUD LAPREVOTE, Cristian Badea, Lev Bass, Kiran Bhagotra, Floris van der Grinten, Charlotte Slingsby, Jose Figueiredo, Dmitry Panenkov, Anne-Claire Mittelberger, Robert Reynolds, Sandrine Ponceblanc, Gorka Lorenzo, Chloe Colin, Mikus Losans, Ela Neagu, Nigel Hopkinson, Justin Travis, Antoine Dumas-Martin, Maria Cots, Evgeny Scherbak, Anastasiia Shmatina, Fabian Ruesing, Simonetta d'Ottaviano, Alexander Stoehr, Javier Gutiérrez, Erik Wåhlin, Michael Larsen, Marco Piludu, Timea Totok, VIncent Hoonings, Emmanuelle Dubourg, Arturs Rasnacis, Pierre Grönberg, Kay Slagman, Matthew McClaskey, Miriam Meazza, Joris Coenen, Brenda61i8 wilson Van horn, Pedro Cruz, Dmitry Malkov and Damiaan Twelker</t>
  </si>
  <si>
    <t>2019/11/07 10:15:00</t>
  </si>
  <si>
    <t>2019/11/07 11:15:00</t>
  </si>
  <si>
    <t>045dccf9-90f0-43d8-9eb6-4b2d6b845415</t>
  </si>
  <si>
    <t>Phil Gillman, Benjamin Peillard, Tomas Ferreira, Vignesh Kalimuthu, Jasper Verplanken, Joep Wittebrood, Bruno Ribeiro, Beatriz Ferreira, Thomas Verschuere, David Duarte, Alexander Hilton, Jinan Khoirunnisa, Gordian Braun, Lorenzo Gama, Joana Baptista, Tom Roelofs, Imelda Fossu, Tommy Lee Monte, Ahmed Shamy, Andreas De Neve, Nabela Huwaida, Marc Turbé, Alexander Sie To, Vincent Schelstraete, Arini Astari, Sunny Paris, Sharan cooper, Sevo Widodo, Frank Fahrner, Achim Schneider, Fabrizio Bosio, Charles Boutens, Thibo Vanquaethem, Omar Ferreira, REINHARD FALSCHLEHNER, Mohamed El Harty, Oscar Di Pasquale, Igor Furniel, Guilherme Kiellander, Raul Ranauro Javales Jr, Pablo Peillard, Anna Bremer, Paula Morais,  , Stefan Hoogenboom, Muhammad Ahsan Naseem, Liam Manning, Tiago Ribeiro, Ali Shaheen and Qudsia Piracha</t>
  </si>
  <si>
    <t>2019/11/07 12:15:00</t>
  </si>
  <si>
    <t>eb623feb-0327-4da0-ac58-412a4ba3fea5</t>
  </si>
  <si>
    <t>Phil Gillman, Alvaro Llobet, Sam Boribon, Gianpaolo Pezzato, Saul Sutton, Andrea Osmar, Peyman Blumstengel, María del Pilar Palma Cuellar García, Anton Mishchenko, Marco Ferreira, Seun Owolabi, Jime Akpusugh, Alena Harbatava, Natasa Peric, Clemens Kirner, Tanja Sanders, Pilleriine Alter, Polina Medvedieva, Luke Gotszling, Ignacio Bermeo, Mariana Hagström, Axel Seth, Richard Awoyemi, Salvador Barros, Rotimi Odukoya, Jorge Pérez Ruiz, Val Sanin, Nathan Harris, Tomislaw Dalic, Olivier Bourdoux, Davy Loon, Lena Miglbauer, Pavlik Kiselev, Jeansy Molanza, Olivier de Montjoye, Farid El Machaoud, Ludvig Odin Hestvik, Marco Fraccalvieri, Alessandro Cillario, JuanMiguel Perez Rosas, Sunkanmi Ola, Stefano Onofri, Bohdan Flyorkiv, Hassane Lhasnaoui, Fátima Zayas Pérez, Jose Manuel Avelino, Paul Evans, Joséphine Rotivel , Juan Antonio Lopez and Antonio Reis</t>
  </si>
  <si>
    <t>2019/11/07 13:15:00</t>
  </si>
  <si>
    <t>e059363d-1a02-4c6e-9503-1de3712c9787</t>
  </si>
  <si>
    <t>P2_8_1</t>
  </si>
  <si>
    <t>Brendan Yell, Pawel Opozda, Tarek Martínez, Kamornwan Srikullayakorn, Laszlo Török, Jony Jung, AlterMobili Marketing, Walid Nagy, Dollie Sahertian, Maciej Węgrzynek, Carma Khatib, JEONGYOON JANG, Tolga Varol, Katharina Mueller, Katharina Mueller, Ciprian Paltineanu, SLAWEK POTASZ, JINYOUNG CHAE, IL Suk Park, Dorina Páll, Ammar Akhtar, Ádám Dohár, José Xavier, Ilsan Mohamed, Hendrik Kramer, Juan Eduardo Herrera, Jean-Michael Georg, Stella Setyiadi, Pawel Postupalski, Adam Kutyłowski, Jarosław Gawroński, Doeun Kim, Insik Baek, Rosa Lee, José Valente, Octavian Iosif, Rafał Budweil, Marko Nugraha, Roman Prytkov, Zhang Andy, Sittisak Wongsomnuk, Katharina Mueller, Rui Gomes, SEONGCHEOL SHIN, Stefan Toma, Maximilian Fisser, Saad Selim, Shivan Ramachandran, MICHAEL JASCHKE and Tauseef Ahmed Qadri</t>
  </si>
  <si>
    <t>2019/11/07 14:15:00</t>
  </si>
  <si>
    <t>2019/11/07 15:15:00</t>
  </si>
  <si>
    <t>64ad82e1-e9a1-450c-94d5-fe9621ac60b1</t>
  </si>
  <si>
    <t>Longzhen Han, Viktoria Herukh, Lotta Lundin, Virginia Virino Jodar, Jon Adolfsson, Antonella Giuni, Raymond Jonkers, Thibaut Lucas, Marian Glaeser, Uli Erxleben, Anton van Daal, Willem Smith, Helena Martínez De Aspe, Mauro Viegas, Ronja Dornfeld, Anton Christodoulou, Céline James, David Lahoz, Matthew Waite, Alessio Capitanelli, Stephen Mackintosh, Jurgis Bakanas, María Olarza Costa, Subbu Balakrishnan, Juan de Oliveira Rubinos, Yoshikatsu Martodihardjo, Teodora Suciu, Alex Zamotaiev, Mercedes García Martínez, Lal Chandran, Alexander Spark, Thomas Strottner, Erik Häggblom, Raymond Jonkers, Pierre-Nicolas Tiffreau, Leo Penning, Cem Dilmegani, Camilla Boyer, Timo Sepp 🇸🇪🇫🇮🇪🇪, Thomas Vanhove, Carola Motolese, Saulius Kaukenas, Guilherme Castela, Inês Costa, Florian Garibal, David Pedro, Alexandre Kitching, Simas Jokubauskas and Daphné De Troch</t>
  </si>
  <si>
    <t>2019/11/07 16:15:00</t>
  </si>
  <si>
    <t>c45d3389-d709-477e-9670-e733f6b68ee5</t>
  </si>
  <si>
    <t>PITCH ground round 5</t>
  </si>
  <si>
    <t>Juan Pablo Ortega, Harry Briggs, Paddy Dillon, Jordan Fliegel, Daniel Reis, Miguel Teixeira, Jony Jung, Michal Kiezik, Paulo Ferreira dos Santos, Peter Horvath, JuanMiguel Perez Rosas and Brennan Basnicki</t>
  </si>
  <si>
    <t>Longzhen Han, Said Zadou, Heitor Fox, Jose Gonzalez, Fabiana Clemente, Sarah Faiz, Sergei Polevikov, Mari-Sanna Paukkeri, Gonçalo Ribeiro, Dmitry Gaiduk, Martin Hrisko, Ángel Cañestro, Travis Nadelhoffer, Jordy Aarts, Kristina Shimko, Stephen Longo, David Brami, Zaki Darouzi, Rui Teixeira Alves, Antoine Aarts, Kamil Borowik, Hiroki Imabayashi, Carlos Albo, Omid Asgari, Jakub Manas, Manuel Dominguez, Yusuke Maruyama, Tashfin Shafique, Michal Kiezik, Rebeca Jimenez, Benjamin Dight, Maxim Yatskevich, Benjamin Benichou, Simon Brami, Sandeep Mehta, Johannes King, Janne Huuskonen, Javier Cañestro, Giada Zanatta, Mariia Silina, Mizan Rahman, Alexander Thielecke, Madan Raj Rajagopal, Alexander Uhlig, Martin Cvicek, Miks Vasiljevs and Tuukka Josefsson</t>
  </si>
  <si>
    <t>2019/11/07 17:15:00</t>
  </si>
  <si>
    <t>b86770fb-b821-48b5-856c-0354464bf35a</t>
  </si>
  <si>
    <t>P2_8_2</t>
  </si>
  <si>
    <t>PITCH ground round 8</t>
  </si>
  <si>
    <t>Adrian Lloyd, Werner Vogels, James Stewart, Jag Singh, Ahmed Habib, Amali de Alwis, Naor Amir, Oliver Werneyer, Will Ben Sims, Gabriel Fumagalli and Lucas Nygaard</t>
  </si>
  <si>
    <t>P2_8_3</t>
  </si>
  <si>
    <t>PITCH ground round 11</t>
  </si>
  <si>
    <t>Alexia Arts, Nicolas Goulet, Yamilette Cano, Niklas Rosenberg, Faizal Javer, Brett Kaluza, Alex de Bold, Simon Boulet, Eric van Hall, Wilco Verdoold, José Luis Siñani, Alexandra Stefan and Nenad Novovic</t>
  </si>
  <si>
    <t>P2_8_4</t>
  </si>
  <si>
    <t>PITCH ground round 14</t>
  </si>
  <si>
    <t>Vanessa Wright, Claude Ritter, Yamilette Cano, Stephan Morais, Joe Altendorff, Marco Delgado, Hendrik Kramer, Svetlana Zakharenkova, Tony Park, Klena Sarges Silva, Jacinto Sa and Pedro Beirão</t>
  </si>
  <si>
    <t>P2_8_5</t>
  </si>
  <si>
    <t>PITCH ground round 17</t>
  </si>
  <si>
    <t>Zach Coelius, Michael Szalontay, Yamilette Cano, Henri Baker, Patricia Alves, Tal Ben-Simon, Erika Vincent, Christoph Hantschk, Alexander Zaytsev, Alberto Noronha, Leah Cohen and Rosse Gates</t>
  </si>
  <si>
    <t>P2_8_6</t>
  </si>
  <si>
    <t>PITCH quarterfinal 1</t>
  </si>
  <si>
    <t xml:space="preserve">
Diana Lace, Rouven Dresselhaus, Rouven Dresselhaus, David Meltzer, Andre Retterath, Joakim Dal</t>
  </si>
  <si>
    <t>011500</t>
  </si>
  <si>
    <t>P2_8_7</t>
  </si>
  <si>
    <t>SS8_6_1</t>
  </si>
  <si>
    <t>Startup Showcase 4</t>
  </si>
  <si>
    <t>Startup Showcase 5</t>
  </si>
  <si>
    <t>Startup Showcase 6</t>
  </si>
  <si>
    <t>Startup Showcase 7</t>
  </si>
  <si>
    <t>Startup Showcase 8</t>
  </si>
  <si>
    <t>Startup Showcase 9</t>
  </si>
  <si>
    <t>Startup Showcase 10</t>
  </si>
  <si>
    <t>PT_5_1</t>
  </si>
  <si>
    <t>PT_5_2</t>
  </si>
  <si>
    <t>PT_5_3</t>
  </si>
  <si>
    <t>PT_5_4</t>
  </si>
  <si>
    <t>PT_5_5</t>
  </si>
  <si>
    <t>PT_5_6</t>
  </si>
  <si>
    <t>PT_5_7</t>
  </si>
  <si>
    <t>PT_5_8</t>
  </si>
  <si>
    <t>PT_5_9</t>
  </si>
  <si>
    <t>PT_5_10</t>
  </si>
  <si>
    <t>PT_5_11</t>
  </si>
  <si>
    <t>PT_5_12</t>
  </si>
  <si>
    <t>PT_5_13</t>
  </si>
  <si>
    <t>PT_5_14</t>
  </si>
  <si>
    <t>MC_6_1</t>
  </si>
  <si>
    <t>MC_6_2</t>
  </si>
  <si>
    <t>MC_6_3</t>
  </si>
  <si>
    <t>MC_6_4</t>
  </si>
  <si>
    <t>MC_6_5</t>
  </si>
  <si>
    <t>UB_5_1</t>
  </si>
  <si>
    <t>MC_6_6</t>
  </si>
  <si>
    <t>UB_5_2</t>
  </si>
  <si>
    <t>UB_5_3</t>
  </si>
  <si>
    <t>UB_5_4</t>
  </si>
  <si>
    <t>MC_6_7</t>
  </si>
  <si>
    <t>UB_5_5</t>
  </si>
  <si>
    <t>MC_6_8</t>
  </si>
  <si>
    <t>MC_6_9</t>
  </si>
  <si>
    <t>UB_5_6</t>
  </si>
  <si>
    <t>MC_6_10</t>
  </si>
  <si>
    <t>UB_5_7</t>
  </si>
  <si>
    <t>MC_6_11</t>
  </si>
  <si>
    <t>UB_5_8</t>
  </si>
  <si>
    <t>MC_6_12</t>
  </si>
  <si>
    <t>UB_5_9</t>
  </si>
  <si>
    <t>MC_7_1</t>
  </si>
  <si>
    <t>MC_7_2</t>
  </si>
  <si>
    <t>MC_7_3</t>
  </si>
  <si>
    <t>MC_7_4</t>
  </si>
  <si>
    <t>MC_7_5</t>
  </si>
  <si>
    <t>MC_7_6</t>
  </si>
  <si>
    <t>MC_7_7</t>
  </si>
  <si>
    <t>MC_7_8</t>
  </si>
  <si>
    <t>MC_7_9</t>
  </si>
  <si>
    <t>MC_7_10</t>
  </si>
  <si>
    <t>MC_7_11</t>
  </si>
  <si>
    <t>MC_7_12</t>
  </si>
  <si>
    <t>MC_7_13</t>
  </si>
  <si>
    <t>MC_7_14</t>
  </si>
  <si>
    <t>DT_6_1</t>
  </si>
  <si>
    <t>DT_6_2</t>
  </si>
  <si>
    <t>DT_6_3</t>
  </si>
  <si>
    <t>DT_6_4</t>
  </si>
  <si>
    <t>DT_6_5</t>
  </si>
  <si>
    <t>DT_6_6</t>
  </si>
  <si>
    <t>DT_6_7</t>
  </si>
  <si>
    <t>DT_6_8</t>
  </si>
  <si>
    <t>DT_6_9</t>
  </si>
  <si>
    <t>DT_6_10</t>
  </si>
  <si>
    <t>DT_6_11</t>
  </si>
  <si>
    <t>DT_6_12</t>
  </si>
  <si>
    <t>DT_6_13</t>
  </si>
  <si>
    <t>DT_6_14</t>
  </si>
  <si>
    <t>DT_6_15</t>
  </si>
  <si>
    <t>DT_6_16</t>
  </si>
  <si>
    <t>DT_6_17</t>
  </si>
  <si>
    <t>MN_7_1</t>
  </si>
  <si>
    <t>MN_7_2</t>
  </si>
  <si>
    <t>MN_7_3</t>
  </si>
  <si>
    <t>MN_7_4</t>
  </si>
  <si>
    <t>MN_7_5</t>
  </si>
  <si>
    <t>MN_7_6</t>
  </si>
  <si>
    <t xml:space="preserve"> </t>
  </si>
  <si>
    <t>004000</t>
  </si>
  <si>
    <t>MN_7_7</t>
  </si>
  <si>
    <t>MN_7_8</t>
  </si>
  <si>
    <t>MN_7_9</t>
  </si>
  <si>
    <t>MN_7_10</t>
  </si>
  <si>
    <t>MN_7_11</t>
  </si>
  <si>
    <t>MN_7_12</t>
  </si>
  <si>
    <t>MN_7_13</t>
  </si>
  <si>
    <t>MN_7_14</t>
  </si>
  <si>
    <t>SM_4_1</t>
  </si>
  <si>
    <t>HC_4_1</t>
  </si>
  <si>
    <t>GS_4_1</t>
  </si>
  <si>
    <t>000400</t>
  </si>
  <si>
    <t>000200</t>
  </si>
  <si>
    <t>001100</t>
  </si>
  <si>
    <t xml:space="preserve">PITCH group round 3
</t>
  </si>
  <si>
    <t>Pitch 3</t>
  </si>
  <si>
    <t xml:space="preserve">Brian Collins, Ana Lobo Xavier, Pedro Vasconcellos, Jordi Vidal, Edel Coen, Russ Heddleston, Javier Gutiérrez, Nathan Harris, Abbas Bertina, Aroa Fernandez Alvarez, Gabriel Menegatti
</t>
  </si>
  <si>
    <t>P3_5_1</t>
  </si>
  <si>
    <t>PITCH group round 6</t>
  </si>
  <si>
    <t xml:space="preserve">Dennis Smith, Miles Kirby, Yancey Spruill, Brendan Yell, Paulo Pinho, Tomasz Florczak, Nuno Brito Jorge, Jihye Roh, Etienne Koo, Hana Sutch, Manuel Milliery
</t>
  </si>
  <si>
    <t>P3_5_2</t>
  </si>
  <si>
    <t>PITCH group round 9</t>
  </si>
  <si>
    <t xml:space="preserve">Maya Horgan Famodu, Christian Knott, Felix Buggenthin, Mohan Ram, Gijs den Hartog, Eyal Sheinholtz, Joanna Yein Song, Danica Damljanovic, Rafal Witkowski, andrea baldini, Sergey Soloboev, Egor Pchelnikov, Samuel Lathey
</t>
  </si>
  <si>
    <t>P3_5_3</t>
  </si>
  <si>
    <t>PITCH group round 12</t>
  </si>
  <si>
    <t xml:space="preserve">Fatima Zaidi, Oliver Clasen, Brendan Yell, Tom Michael, Maja Markowitz, Tracy Isacke, Rupert Barksfield, Seth Ward, Sam Abrika, Katy Lindemann, Laurent Marfisi, Ken Miyake, Simonetta d'Ottaviano, Mario Arabov
</t>
  </si>
  <si>
    <t>P3_5_4</t>
  </si>
  <si>
    <t>PITCH group round 15</t>
  </si>
  <si>
    <t xml:space="preserve">Roham Gharegozlo, Marin Cauvas, Freddie Evans, Saba Karim, Eduardo Lemos, Ivan Alaiz, João Lopes, Artur Fjodorov, Marian Glaeser, Alex cordero, Stone Atwine, IVAN SHTANKO, Hirbod Bigvand
</t>
  </si>
  <si>
    <t>P3_5_5</t>
  </si>
  <si>
    <t>PITCH group round 18</t>
  </si>
  <si>
    <t xml:space="preserve">Jens Lapinski, Sergio Raposo Frade, Saba Karim, Keshin Govender, Pakiza Abdulrahman, Christina Lock, Nick Nedelchuk, James Rees, Darina Momot, Maria Hahn, William Villalobos, Andrei Netto
</t>
  </si>
  <si>
    <t>P3_5_6</t>
  </si>
  <si>
    <t>PITCH quarterfinal 2</t>
  </si>
  <si>
    <t xml:space="preserve">Tahira Rehmatullah, Jean-Marc Patouillaud, Ajay Ramachandran, Brendan Yell, Jacqueline van den Ende, Ulli Waltinger
</t>
  </si>
  <si>
    <t>P3_5_7</t>
  </si>
  <si>
    <t>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Jens Seger and Virginie Broncy</t>
  </si>
  <si>
    <t>SS13_6_1</t>
  </si>
  <si>
    <t>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Lynn El KHoury and Antoine Dessart</t>
  </si>
  <si>
    <t>SS13_6_2</t>
  </si>
  <si>
    <t>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Erika Vincent and Christoph Hantschk</t>
  </si>
  <si>
    <t>SS13_6_3</t>
  </si>
  <si>
    <t>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SHADY BOU AKL and Fernando Luca de Tena Smith</t>
  </si>
  <si>
    <t>SS13_6_4</t>
  </si>
  <si>
    <t>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Onur Candan and JULIEN LENNE</t>
  </si>
  <si>
    <t>SS13_6_5</t>
  </si>
  <si>
    <t>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Tom Barnes and Ivan Ivanka</t>
  </si>
  <si>
    <t>SS13_7_1</t>
  </si>
  <si>
    <t>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Nicolò Santin and Adriaan De Bolle</t>
  </si>
  <si>
    <t>SS13_7_2</t>
  </si>
  <si>
    <t>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Blake Evertsen and Juraj Masar</t>
  </si>
  <si>
    <t>SS13_7_3</t>
  </si>
  <si>
    <t>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Robert Preoteasa and Sylvio Scott</t>
  </si>
  <si>
    <t>AT_5_1</t>
  </si>
  <si>
    <t>SS13_7_4</t>
  </si>
  <si>
    <t>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Jean-Francois Kraemer and Akvile Ignotaite</t>
  </si>
  <si>
    <t>SS13_7_5</t>
  </si>
  <si>
    <t>Startup Showcase 11</t>
  </si>
  <si>
    <t>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t>
  </si>
  <si>
    <t>SS13_7_6</t>
  </si>
  <si>
    <t>AT_5_2</t>
  </si>
  <si>
    <t>AT_5_3</t>
  </si>
  <si>
    <t>AT_5_4</t>
  </si>
  <si>
    <t>AT_5_5</t>
  </si>
  <si>
    <t>AT_5_6</t>
  </si>
  <si>
    <t>AT_5_7</t>
  </si>
  <si>
    <t>AT_5_8</t>
  </si>
  <si>
    <t>AT_5_9</t>
  </si>
  <si>
    <t>AT_5_10</t>
  </si>
  <si>
    <t>AT_5_11</t>
  </si>
  <si>
    <t>AT_5_12</t>
  </si>
  <si>
    <t>AT_5_13</t>
  </si>
  <si>
    <t>AT_5_14</t>
  </si>
  <si>
    <t>SU_5_1</t>
  </si>
  <si>
    <t>AT_5_15</t>
  </si>
  <si>
    <t>SU_5_2</t>
  </si>
  <si>
    <t>AT_6_1</t>
  </si>
  <si>
    <t>SU_5_3</t>
  </si>
  <si>
    <t>AT_6_2</t>
  </si>
  <si>
    <t>SU_5_4</t>
  </si>
  <si>
    <t>AT_6_3</t>
  </si>
  <si>
    <t>SU_5_5</t>
  </si>
  <si>
    <t>AT_6_4</t>
  </si>
  <si>
    <t>SU_5_6</t>
  </si>
  <si>
    <t>AT_6_5</t>
  </si>
  <si>
    <t>SU_5_7</t>
  </si>
  <si>
    <t>AT_6_6</t>
  </si>
  <si>
    <t>SU_5_8</t>
  </si>
  <si>
    <t>AT_6_7</t>
  </si>
  <si>
    <t>SU_5_9</t>
  </si>
  <si>
    <t>SU_5_10</t>
  </si>
  <si>
    <t>AT_6_8</t>
  </si>
  <si>
    <t>SU_5_11</t>
  </si>
  <si>
    <t>SU_5_12</t>
  </si>
  <si>
    <t>AT_6_9</t>
  </si>
  <si>
    <t>SU_5_13</t>
  </si>
  <si>
    <t>AT_6_10</t>
  </si>
  <si>
    <t>SU_5_14</t>
  </si>
  <si>
    <t>AT_6_11</t>
  </si>
  <si>
    <t>SU_5_15</t>
  </si>
  <si>
    <t>AT_6_12</t>
  </si>
  <si>
    <t>SU_5_16</t>
  </si>
  <si>
    <t>AT_6_13</t>
  </si>
  <si>
    <t>SU_6_1</t>
  </si>
  <si>
    <t>AT_6_14</t>
  </si>
  <si>
    <t>SU_6_2</t>
  </si>
  <si>
    <t>SU_6_3</t>
  </si>
  <si>
    <t>AT_6_15</t>
  </si>
  <si>
    <t>SU_6_4</t>
  </si>
  <si>
    <t>AT_7_1</t>
  </si>
  <si>
    <t>SU_6_5</t>
  </si>
  <si>
    <t>AT_7_2</t>
  </si>
  <si>
    <t>SU_6_6</t>
  </si>
  <si>
    <t>AT_7_3</t>
  </si>
  <si>
    <t>SU_6_7</t>
  </si>
  <si>
    <t>AT_7_4</t>
  </si>
  <si>
    <t>AT_7_5</t>
  </si>
  <si>
    <t>SU_6_8</t>
  </si>
  <si>
    <t>AT_7_6</t>
  </si>
  <si>
    <t>SU_6_9</t>
  </si>
  <si>
    <t>AT_7_7</t>
  </si>
  <si>
    <t>SU_6_10</t>
  </si>
  <si>
    <t>AT_7_8</t>
  </si>
  <si>
    <t>SU_6_11</t>
  </si>
  <si>
    <t>AT_7_9</t>
  </si>
  <si>
    <t>AT_7_10</t>
  </si>
  <si>
    <t>SU_6_12</t>
  </si>
  <si>
    <t>AT_7_11</t>
  </si>
  <si>
    <t>AT_7_12</t>
  </si>
  <si>
    <t>SU_6_13</t>
  </si>
  <si>
    <t>AT_7_13</t>
  </si>
  <si>
    <t>SU_6_14</t>
  </si>
  <si>
    <t>AT_7_14</t>
  </si>
  <si>
    <t>MD_7_5</t>
  </si>
  <si>
    <t>MD_7_6</t>
  </si>
  <si>
    <t>MD_7_7</t>
  </si>
  <si>
    <t>MD_7_8</t>
  </si>
  <si>
    <t>MD_7_9</t>
  </si>
  <si>
    <t>MD_7_10</t>
  </si>
  <si>
    <t>MD_7_11</t>
  </si>
  <si>
    <t>MD_7_12</t>
  </si>
  <si>
    <t>PC_5_1</t>
  </si>
  <si>
    <t>PC_5_2</t>
  </si>
  <si>
    <t>PC_5_3</t>
  </si>
  <si>
    <t>PC_5_4</t>
  </si>
  <si>
    <t>PC_5_5</t>
  </si>
  <si>
    <t>PC_5_6</t>
  </si>
  <si>
    <t>PC_5_7</t>
  </si>
  <si>
    <t>PC_5_8</t>
  </si>
  <si>
    <t>PC_5_9</t>
  </si>
  <si>
    <t>PC_5_10</t>
  </si>
  <si>
    <t>CI_5_1</t>
  </si>
  <si>
    <t>PC_5_11</t>
  </si>
  <si>
    <t>CI_5_2</t>
  </si>
  <si>
    <t>PC_5_12</t>
  </si>
  <si>
    <t>CI_5_3</t>
  </si>
  <si>
    <t>PC_5_13</t>
  </si>
  <si>
    <t>CI_5_4</t>
  </si>
  <si>
    <t>PC_5_14</t>
  </si>
  <si>
    <t>PC_6_1</t>
  </si>
  <si>
    <t>CI_5_5</t>
  </si>
  <si>
    <t>PC_6_2</t>
  </si>
  <si>
    <t>CI_5_6</t>
  </si>
  <si>
    <t>PC_6_3</t>
  </si>
  <si>
    <t>CI_5_7</t>
  </si>
  <si>
    <t>PC_6_4</t>
  </si>
  <si>
    <t>PC_6_5</t>
  </si>
  <si>
    <t>CI_5_8</t>
  </si>
  <si>
    <t>PC_6_6</t>
  </si>
  <si>
    <t>CI_5_9</t>
  </si>
  <si>
    <t>PC_6_7</t>
  </si>
  <si>
    <t>CI_5_10</t>
  </si>
  <si>
    <t>CI_5_11</t>
  </si>
  <si>
    <t>CI_5_12</t>
  </si>
  <si>
    <t>PC_6_8</t>
  </si>
  <si>
    <t>CI_5_13</t>
  </si>
  <si>
    <t>PC_6_9</t>
  </si>
  <si>
    <t>CI_5_14</t>
  </si>
  <si>
    <t>PC_6_10</t>
  </si>
  <si>
    <t>PC_6_11</t>
  </si>
  <si>
    <t>CI_5_15</t>
  </si>
  <si>
    <t>PC_6_12</t>
  </si>
  <si>
    <t>CI_5_16</t>
  </si>
  <si>
    <t>PC_6_13</t>
  </si>
  <si>
    <t>CI_6_1</t>
  </si>
  <si>
    <t>PC_6_14</t>
  </si>
  <si>
    <t>CI_6_2</t>
  </si>
  <si>
    <t>PC_6_15</t>
  </si>
  <si>
    <t>CI_6_3</t>
  </si>
  <si>
    <t>CI_6_4</t>
  </si>
  <si>
    <t>PC_6_16</t>
  </si>
  <si>
    <t>PC_7_1</t>
  </si>
  <si>
    <t>CI_6_5</t>
  </si>
  <si>
    <t>PC_7_2</t>
  </si>
  <si>
    <t>CI_6_6</t>
  </si>
  <si>
    <t>PC_7_3</t>
  </si>
  <si>
    <t>CI_6_7</t>
  </si>
  <si>
    <t>PC_7_4</t>
  </si>
  <si>
    <t>CI_6_8</t>
  </si>
  <si>
    <t>PC_7_5</t>
  </si>
  <si>
    <t>CI_6_9</t>
  </si>
  <si>
    <t>PC_7_6</t>
  </si>
  <si>
    <t>CI_6_10</t>
  </si>
  <si>
    <t>PC_7_7</t>
  </si>
  <si>
    <t>CI_6_11</t>
  </si>
  <si>
    <t>PC_7_8</t>
  </si>
  <si>
    <t>CI_6_12</t>
  </si>
  <si>
    <t>PC_7_9</t>
  </si>
  <si>
    <t>CI_6_13</t>
  </si>
  <si>
    <t>PC_7_10</t>
  </si>
  <si>
    <t>CI_6_14</t>
  </si>
  <si>
    <t>PC_7_11</t>
  </si>
  <si>
    <t>CI_6_15</t>
  </si>
  <si>
    <t>PC_7_12</t>
  </si>
  <si>
    <t>CI_6_16</t>
  </si>
  <si>
    <t>PC_7_13</t>
  </si>
  <si>
    <t>CI_6_17</t>
  </si>
  <si>
    <t>CI_7_1</t>
  </si>
  <si>
    <t>CI_7_2</t>
  </si>
  <si>
    <t>CI_7_3</t>
  </si>
  <si>
    <t>CI_7_4</t>
  </si>
  <si>
    <t>CI_7_5</t>
  </si>
  <si>
    <t>CI_7_6</t>
  </si>
  <si>
    <t>CI_7_7</t>
  </si>
  <si>
    <t>CI_7_8</t>
  </si>
  <si>
    <t>CI_7_9</t>
  </si>
  <si>
    <t>CI_7_10</t>
  </si>
  <si>
    <t>CI_7_11</t>
  </si>
  <si>
    <t>CI_7_12</t>
  </si>
  <si>
    <t>CI_7_13</t>
  </si>
  <si>
    <t>CI_7_14</t>
  </si>
  <si>
    <t>CI_7_15</t>
  </si>
  <si>
    <t>CI_7_16</t>
  </si>
  <si>
    <t>VT_5_1</t>
  </si>
  <si>
    <t>VT_5_2</t>
  </si>
  <si>
    <t>VT_5_3</t>
  </si>
  <si>
    <t>VT_5_4</t>
  </si>
  <si>
    <t>VT_5_5</t>
  </si>
  <si>
    <t>VT_5_6</t>
  </si>
  <si>
    <t>VT_5_7</t>
  </si>
  <si>
    <t>VT_5_8</t>
  </si>
  <si>
    <t>VT_5_9</t>
  </si>
  <si>
    <t>VT_5_10</t>
  </si>
  <si>
    <t>VT_5_11</t>
  </si>
  <si>
    <t>VT_5_12</t>
  </si>
  <si>
    <t>VT_5_13</t>
  </si>
  <si>
    <t>VT_5_14</t>
  </si>
  <si>
    <t>VT_5_15</t>
  </si>
  <si>
    <t>VT_6_1</t>
  </si>
  <si>
    <t>VT_6_2</t>
  </si>
  <si>
    <t>VT_6_3</t>
  </si>
  <si>
    <t>VT_6_4</t>
  </si>
  <si>
    <t>VT_6_5</t>
  </si>
  <si>
    <t>VT_6_6</t>
  </si>
  <si>
    <t>VT_6_7</t>
  </si>
  <si>
    <t>VT_6_8</t>
  </si>
  <si>
    <t>VT_6_9</t>
  </si>
  <si>
    <t>VT_6_10</t>
  </si>
  <si>
    <t>VT_6_11</t>
  </si>
  <si>
    <t>VT_6_12</t>
  </si>
  <si>
    <t>VT_6_13</t>
  </si>
  <si>
    <t>VT_6_14</t>
  </si>
  <si>
    <t>VT_7_1</t>
  </si>
  <si>
    <t>VT_7_2</t>
  </si>
  <si>
    <t>VT_7_3</t>
  </si>
  <si>
    <t>VT_7_4</t>
  </si>
  <si>
    <t>VT_7_5</t>
  </si>
  <si>
    <t>VT_7_6</t>
  </si>
  <si>
    <t>VT_7_7</t>
  </si>
  <si>
    <t>VT_7_8</t>
  </si>
  <si>
    <t>VT_7_9</t>
  </si>
  <si>
    <t>VT_7_10</t>
  </si>
  <si>
    <t>VT_7_11</t>
  </si>
  <si>
    <t>VT_7_12</t>
  </si>
  <si>
    <t>VT_7_13</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</si>
</sst>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ddd, d mmmm"/>
    <numFmt numFmtId="165" formatCode="yyyy/mm/dd"/>
    <numFmt numFmtId="166" formatCode="hh:mm:ss"/>
    <numFmt numFmtId="167" formatCode="hh:mm"/>
    <numFmt numFmtId="168" formatCode="yyyy/m/d"/>
    <numFmt numFmtId="169" formatCode="HH:mm:ss"/>
  </numFmts>
  <fonts count="24">
    <font>
      <sz val="10.0"/>
      <color rgb="FF000000"/>
      <name val="Arial"/>
    </font>
    <font>
      <b/>
      <sz val="14.0"/>
      <color rgb="FFFFFFFF"/>
      <name val="Lato"/>
    </font>
    <font/>
    <font>
      <b/>
      <sz val="11.0"/>
      <color theme="1"/>
      <name val="Lato"/>
    </font>
    <font>
      <sz val="11.0"/>
      <color theme="1"/>
      <name val="Lato"/>
    </font>
    <font>
      <color theme="1"/>
      <name val="Arial"/>
    </font>
    <font>
      <sz val="11.0"/>
      <color rgb="FF000000"/>
      <name val="Inconsolata"/>
    </font>
    <font>
      <b/>
      <sz val="16.0"/>
      <color rgb="FFFFFFFF"/>
      <name val="Lato"/>
    </font>
    <font>
      <b/>
      <sz val="12.0"/>
      <color rgb="FFFFFFFF"/>
      <name val="Lato"/>
    </font>
    <font>
      <sz val="12.0"/>
      <color theme="1"/>
      <name val="Lato"/>
    </font>
    <font>
      <u/>
      <color rgb="FF0000FF"/>
    </font>
    <font>
      <b/>
      <u/>
      <sz val="12.0"/>
      <color rgb="FFFFFFFF"/>
      <name val="Lato"/>
    </font>
    <font>
      <b/>
      <sz val="11.0"/>
      <color rgb="FFFFFFFF"/>
      <name val="Lato"/>
    </font>
    <font>
      <u/>
      <sz val="12.0"/>
      <color rgb="FF0000FF"/>
      <name val="Lato"/>
    </font>
    <font>
      <b/>
      <color theme="1"/>
      <name val="Arial"/>
    </font>
    <font>
      <color rgb="FF000000"/>
      <name val="Arial"/>
    </font>
    <font>
      <sz val="12.0"/>
      <color rgb="FF0D153A"/>
      <name val="Lato"/>
    </font>
    <font>
      <u/>
      <color rgb="FF0000FF"/>
    </font>
    <font>
      <b/>
      <color theme="1"/>
      <name val="Lato"/>
    </font>
    <font>
      <color rgb="FF000000"/>
      <name val="Roboto"/>
    </font>
    <font>
      <b/>
    </font>
    <font>
      <sz val="11.0"/>
      <color rgb="FF000000"/>
      <name val="Docs-Inconsolata"/>
    </font>
    <font>
      <sz val="11.0"/>
      <color rgb="FF000000"/>
      <name val="Arial"/>
    </font>
    <font>
      <color theme="1"/>
      <name val="Lato"/>
    </font>
  </fonts>
  <fills count="9">
    <fill>
      <patternFill patternType="none"/>
    </fill>
    <fill>
      <patternFill patternType="lightGray"/>
    </fill>
    <fill>
      <patternFill patternType="solid">
        <fgColor rgb="FF000000"/>
        <bgColor rgb="FF000000"/>
      </patternFill>
    </fill>
    <fill>
      <patternFill patternType="solid">
        <fgColor rgb="FFB7B7B7"/>
        <bgColor rgb="FFB7B7B7"/>
      </patternFill>
    </fill>
    <fill>
      <patternFill patternType="solid">
        <fgColor rgb="FFFFFFFF"/>
        <bgColor rgb="FFFFFFFF"/>
      </patternFill>
    </fill>
    <fill>
      <patternFill patternType="solid">
        <fgColor rgb="FFBDBDBD"/>
        <bgColor rgb="FFBDBDBD"/>
      </patternFill>
    </fill>
    <fill>
      <patternFill patternType="solid">
        <fgColor rgb="FFF3F3F3"/>
        <bgColor rgb="FFF3F3F3"/>
      </patternFill>
    </fill>
    <fill>
      <patternFill patternType="solid">
        <fgColor rgb="FF666666"/>
        <bgColor rgb="FF666666"/>
      </patternFill>
    </fill>
    <fill>
      <patternFill patternType="solid">
        <fgColor rgb="FFEEF7E3"/>
        <bgColor rgb="FFEEF7E3"/>
      </patternFill>
    </fill>
  </fills>
  <borders count="1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right style="thin">
        <color rgb="FF000000"/>
      </right>
    </border>
    <border>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s>
  <cellStyleXfs count="1">
    <xf borderId="0" fillId="0" fontId="0" numFmtId="0" applyAlignment="1" applyFont="1"/>
  </cellStyleXfs>
  <cellXfs count="95">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bottom"/>
    </xf>
    <xf borderId="2" fillId="0" fontId="2" numFmtId="0" xfId="0" applyBorder="1" applyFont="1"/>
    <xf borderId="3" fillId="0" fontId="2" numFmtId="0" xfId="0" applyBorder="1" applyFont="1"/>
    <xf borderId="4" fillId="0" fontId="3" numFmtId="0" xfId="0" applyAlignment="1" applyBorder="1" applyFont="1">
      <alignment horizontal="right" vertical="bottom"/>
    </xf>
    <xf borderId="0" fillId="0" fontId="4" numFmtId="0" xfId="0" applyAlignment="1" applyFont="1">
      <alignment shrinkToFit="0" vertical="bottom" wrapText="1"/>
    </xf>
    <xf borderId="5" fillId="3" fontId="5" numFmtId="0" xfId="0" applyAlignment="1" applyBorder="1" applyFill="1" applyFont="1">
      <alignment vertical="bottom"/>
    </xf>
    <xf borderId="4" fillId="3" fontId="5" numFmtId="0" xfId="0" applyAlignment="1" applyBorder="1" applyFont="1">
      <alignment vertical="bottom"/>
    </xf>
    <xf borderId="0" fillId="4" fontId="6" numFmtId="0" xfId="0" applyFill="1" applyFont="1"/>
    <xf borderId="0" fillId="3" fontId="5" numFmtId="0" xfId="0" applyAlignment="1" applyFont="1">
      <alignment vertical="bottom"/>
    </xf>
    <xf borderId="0" fillId="0" fontId="5" numFmtId="0" xfId="0" applyFont="1"/>
    <xf borderId="0" fillId="2" fontId="7" numFmtId="0" xfId="0" applyAlignment="1" applyFont="1">
      <alignment horizontal="center" readingOrder="0" shrinkToFit="0" vertical="bottom" wrapText="1"/>
    </xf>
    <xf borderId="0" fillId="0" fontId="4" numFmtId="0" xfId="0" applyAlignment="1" applyFont="1">
      <alignment readingOrder="0" vertical="bottom"/>
    </xf>
    <xf borderId="6" fillId="5" fontId="8" numFmtId="0" xfId="0" applyAlignment="1" applyBorder="1" applyFill="1" applyFont="1">
      <alignment horizontal="center" shrinkToFit="0" vertical="bottom" wrapText="0"/>
    </xf>
    <xf borderId="5" fillId="0" fontId="4" numFmtId="0" xfId="0" applyAlignment="1" applyBorder="1" applyFont="1">
      <alignment readingOrder="0" vertical="bottom"/>
    </xf>
    <xf borderId="7" fillId="5" fontId="8" numFmtId="0" xfId="0" applyAlignment="1" applyBorder="1" applyFont="1">
      <alignment horizontal="center" shrinkToFit="0" vertical="bottom" wrapText="0"/>
    </xf>
    <xf borderId="0" fillId="0" fontId="4" numFmtId="0" xfId="0" applyAlignment="1" applyFont="1">
      <alignment vertical="bottom"/>
    </xf>
    <xf borderId="7" fillId="5" fontId="8" numFmtId="164" xfId="0" applyAlignment="1" applyBorder="1" applyFont="1" applyNumberFormat="1">
      <alignment horizontal="center" shrinkToFit="0" vertical="bottom" wrapText="0"/>
    </xf>
    <xf borderId="5" fillId="0" fontId="5" numFmtId="0" xfId="0" applyAlignment="1" applyBorder="1" applyFont="1">
      <alignment vertical="bottom"/>
    </xf>
    <xf borderId="8" fillId="4" fontId="9" numFmtId="0" xfId="0" applyAlignment="1" applyBorder="1" applyFont="1">
      <alignment horizontal="center" vertical="bottom"/>
    </xf>
    <xf borderId="6" fillId="3" fontId="5" numFmtId="0" xfId="0" applyAlignment="1" applyBorder="1" applyFont="1">
      <alignment vertical="bottom"/>
    </xf>
    <xf borderId="7" fillId="4" fontId="9" numFmtId="0" xfId="0" applyAlignment="1" applyBorder="1" applyFont="1">
      <alignment vertical="bottom"/>
    </xf>
    <xf borderId="7" fillId="3" fontId="5" numFmtId="0" xfId="0" applyAlignment="1" applyBorder="1" applyFont="1">
      <alignment vertical="bottom"/>
    </xf>
    <xf borderId="8" fillId="6" fontId="9" numFmtId="0" xfId="0" applyAlignment="1" applyBorder="1" applyFill="1" applyFont="1">
      <alignment horizontal="center" vertical="bottom"/>
    </xf>
    <xf borderId="0" fillId="0" fontId="10" numFmtId="0" xfId="0" applyFont="1"/>
    <xf borderId="7" fillId="6" fontId="9" numFmtId="0" xfId="0" applyAlignment="1" applyBorder="1" applyFont="1">
      <alignment readingOrder="0" vertical="bottom"/>
    </xf>
    <xf borderId="8" fillId="0" fontId="3" numFmtId="0" xfId="0" applyAlignment="1" applyBorder="1" applyFont="1">
      <alignment horizontal="right" vertical="bottom"/>
    </xf>
    <xf borderId="7" fillId="6" fontId="9" numFmtId="0" xfId="0" applyAlignment="1" applyBorder="1" applyFont="1">
      <alignment vertical="bottom"/>
    </xf>
    <xf borderId="6" fillId="0" fontId="4" numFmtId="0" xfId="0" applyAlignment="1" applyBorder="1" applyFont="1">
      <alignment readingOrder="0" vertical="bottom"/>
    </xf>
    <xf borderId="7" fillId="4" fontId="9" numFmtId="0" xfId="0" applyAlignment="1" applyBorder="1" applyFont="1">
      <alignment readingOrder="0" vertical="bottom"/>
    </xf>
    <xf borderId="7" fillId="0" fontId="2" numFmtId="0" xfId="0" applyBorder="1" applyFont="1"/>
    <xf borderId="6" fillId="0" fontId="5" numFmtId="0" xfId="0" applyBorder="1" applyFont="1"/>
    <xf borderId="6" fillId="0" fontId="2" numFmtId="0" xfId="0" applyBorder="1" applyFont="1"/>
    <xf borderId="8" fillId="4" fontId="9" numFmtId="0" xfId="0" applyAlignment="1" applyBorder="1" applyFont="1">
      <alignment horizontal="center" readingOrder="0" vertical="bottom"/>
    </xf>
    <xf borderId="9" fillId="0" fontId="3" numFmtId="0" xfId="0" applyAlignment="1" applyBorder="1" applyFont="1">
      <alignment horizontal="center" vertical="bottom"/>
    </xf>
    <xf borderId="8" fillId="6" fontId="9" numFmtId="0" xfId="0" applyAlignment="1" applyBorder="1" applyFont="1">
      <alignment horizontal="center" readingOrder="0" vertical="bottom"/>
    </xf>
    <xf borderId="6" fillId="7" fontId="11" numFmtId="0" xfId="0" applyAlignment="1" applyBorder="1" applyFill="1" applyFont="1">
      <alignment horizontal="center" readingOrder="0" vertical="bottom"/>
    </xf>
    <xf borderId="9" fillId="2" fontId="12" numFmtId="0" xfId="0" applyAlignment="1" applyBorder="1" applyFont="1">
      <alignment horizontal="center" vertical="bottom"/>
    </xf>
    <xf borderId="10" fillId="0" fontId="3" numFmtId="0" xfId="0" applyAlignment="1" applyBorder="1" applyFont="1">
      <alignment vertical="top"/>
    </xf>
    <xf borderId="0" fillId="0" fontId="4" numFmtId="0" xfId="0" applyAlignment="1" applyFont="1">
      <alignment shrinkToFit="0" vertical="top" wrapText="1"/>
    </xf>
    <xf borderId="5" fillId="0" fontId="2" numFmtId="0" xfId="0" applyBorder="1" applyFont="1"/>
    <xf borderId="7" fillId="4" fontId="13" numFmtId="0" xfId="0" applyAlignment="1" applyBorder="1" applyFont="1">
      <alignment readingOrder="0" vertical="bottom"/>
    </xf>
    <xf borderId="9" fillId="0" fontId="3" numFmtId="0" xfId="0" applyAlignment="1" applyBorder="1" applyFont="1">
      <alignment vertical="top"/>
    </xf>
    <xf borderId="6" fillId="0" fontId="4" numFmtId="0" xfId="0" applyAlignment="1" applyBorder="1" applyFont="1">
      <alignment shrinkToFit="0" vertical="top" wrapText="1"/>
    </xf>
    <xf borderId="7" fillId="6" fontId="9" numFmtId="0" xfId="0" applyAlignment="1" applyBorder="1" applyFont="1">
      <alignment readingOrder="0" shrinkToFit="0" vertical="bottom" wrapText="1"/>
    </xf>
    <xf borderId="7" fillId="4" fontId="9" numFmtId="0" xfId="0" applyAlignment="1" applyBorder="1" applyFont="1">
      <alignment readingOrder="0" shrinkToFit="0" vertical="bottom" wrapText="1"/>
    </xf>
    <xf borderId="0" fillId="0" fontId="14" numFmtId="0" xfId="0" applyAlignment="1" applyFont="1">
      <alignment readingOrder="0"/>
    </xf>
    <xf borderId="0" fillId="0" fontId="14" numFmtId="0" xfId="0" applyAlignment="1" applyFont="1">
      <alignment readingOrder="0" shrinkToFit="0" wrapText="1"/>
    </xf>
    <xf borderId="0" fillId="0" fontId="14" numFmtId="0" xfId="0" applyAlignment="1" applyFont="1">
      <alignment horizontal="center" readingOrder="0"/>
    </xf>
    <xf borderId="0" fillId="0" fontId="5" numFmtId="0" xfId="0" applyFont="1"/>
    <xf borderId="0" fillId="4" fontId="6" numFmtId="0" xfId="0" applyFont="1"/>
    <xf borderId="0" fillId="0" fontId="5" numFmtId="0" xfId="0" applyAlignment="1" applyFont="1">
      <alignment shrinkToFit="0" wrapText="1"/>
    </xf>
    <xf borderId="0" fillId="0" fontId="5" numFmtId="165" xfId="0" applyFont="1" applyNumberFormat="1"/>
    <xf borderId="0" fillId="0" fontId="5" numFmtId="166" xfId="0" applyFont="1" applyNumberFormat="1"/>
    <xf borderId="0" fillId="4" fontId="6" numFmtId="165" xfId="0" applyFont="1" applyNumberFormat="1"/>
    <xf borderId="0" fillId="0" fontId="14" numFmtId="0" xfId="0" applyAlignment="1" applyFont="1">
      <alignment readingOrder="0"/>
    </xf>
    <xf borderId="0" fillId="0" fontId="14" numFmtId="0" xfId="0" applyAlignment="1" applyFont="1">
      <alignment readingOrder="0" shrinkToFit="0" vertical="center" wrapText="1"/>
    </xf>
    <xf borderId="0" fillId="0" fontId="5" numFmtId="0" xfId="0" applyAlignment="1" applyFont="1">
      <alignment readingOrder="0"/>
    </xf>
    <xf borderId="0" fillId="0" fontId="5" numFmtId="0" xfId="0" applyAlignment="1" applyFont="1">
      <alignment readingOrder="0" shrinkToFit="0" vertical="center" wrapText="1"/>
    </xf>
    <xf borderId="0" fillId="0" fontId="5" numFmtId="167" xfId="0" applyAlignment="1" applyFont="1" applyNumberFormat="1">
      <alignment readingOrder="0"/>
    </xf>
    <xf borderId="0" fillId="0" fontId="5" numFmtId="165" xfId="0" applyAlignment="1" applyFont="1" applyNumberFormat="1">
      <alignment readingOrder="0"/>
    </xf>
    <xf borderId="0" fillId="0" fontId="5" numFmtId="167" xfId="0" applyFont="1" applyNumberFormat="1"/>
    <xf borderId="0" fillId="0" fontId="5" numFmtId="0" xfId="0" applyAlignment="1" applyFont="1">
      <alignment readingOrder="0"/>
    </xf>
    <xf borderId="0" fillId="0" fontId="14" numFmtId="0" xfId="0" applyAlignment="1" applyFont="1">
      <alignment horizontal="center"/>
    </xf>
    <xf borderId="0" fillId="4" fontId="15" numFmtId="0" xfId="0" applyAlignment="1" applyFont="1">
      <alignment readingOrder="0"/>
    </xf>
    <xf borderId="0" fillId="4" fontId="16" numFmtId="0" xfId="0" applyAlignment="1" applyFont="1">
      <alignment readingOrder="0" shrinkToFit="0" vertical="center" wrapText="1"/>
    </xf>
    <xf borderId="0" fillId="4" fontId="16" numFmtId="0" xfId="0" applyAlignment="1" applyFont="1">
      <alignment readingOrder="0"/>
    </xf>
    <xf borderId="0" fillId="0" fontId="14" numFmtId="0" xfId="0" applyAlignment="1" applyFont="1">
      <alignment readingOrder="0" shrinkToFit="0" wrapText="1"/>
    </xf>
    <xf borderId="0" fillId="0" fontId="5" numFmtId="0" xfId="0" applyAlignment="1" applyFont="1">
      <alignment readingOrder="0" shrinkToFit="0" wrapText="1"/>
    </xf>
    <xf borderId="0" fillId="0" fontId="17" numFmtId="0" xfId="0" applyFont="1"/>
    <xf borderId="0" fillId="4" fontId="6" numFmtId="0" xfId="0" applyAlignment="1" applyFont="1">
      <alignment readingOrder="0"/>
    </xf>
    <xf borderId="0" fillId="0" fontId="5" numFmtId="166" xfId="0" applyAlignment="1" applyFont="1" applyNumberFormat="1">
      <alignment readingOrder="0"/>
    </xf>
    <xf borderId="0" fillId="0" fontId="5" numFmtId="168" xfId="0" applyAlignment="1" applyFont="1" applyNumberFormat="1">
      <alignment readingOrder="0"/>
    </xf>
    <xf borderId="0" fillId="4" fontId="18" numFmtId="0" xfId="0" applyAlignment="1" applyFont="1">
      <alignment readingOrder="0"/>
    </xf>
    <xf borderId="0" fillId="0" fontId="14" numFmtId="0" xfId="0" applyAlignment="1" applyFont="1">
      <alignment horizontal="center" readingOrder="0"/>
    </xf>
    <xf borderId="0" fillId="0" fontId="6" numFmtId="0" xfId="0" applyFont="1"/>
    <xf borderId="0" fillId="0" fontId="6" numFmtId="0" xfId="0" applyFont="1"/>
    <xf borderId="0" fillId="4" fontId="6" numFmtId="0" xfId="0" applyAlignment="1" applyFont="1">
      <alignment readingOrder="0"/>
    </xf>
    <xf borderId="0" fillId="0" fontId="5" numFmtId="0" xfId="0" applyAlignment="1" applyFont="1">
      <alignment readingOrder="0" shrinkToFit="0" wrapText="0"/>
    </xf>
    <xf borderId="0" fillId="4" fontId="19" numFmtId="165" xfId="0" applyAlignment="1" applyFont="1" applyNumberFormat="1">
      <alignment readingOrder="0"/>
    </xf>
    <xf borderId="0" fillId="4" fontId="19" numFmtId="169" xfId="0" applyAlignment="1" applyFont="1" applyNumberFormat="1">
      <alignment readingOrder="0"/>
    </xf>
    <xf borderId="0" fillId="0" fontId="5" numFmtId="166" xfId="0" applyAlignment="1" applyFont="1" applyNumberFormat="1">
      <alignment readingOrder="0"/>
    </xf>
    <xf borderId="0" fillId="0" fontId="5" numFmtId="0" xfId="0" applyAlignment="1" applyFont="1">
      <alignment shrinkToFit="0" wrapText="0"/>
    </xf>
    <xf borderId="0" fillId="0" fontId="5" numFmtId="165" xfId="0" applyAlignment="1" applyFont="1" applyNumberFormat="1">
      <alignment readingOrder="0"/>
    </xf>
    <xf borderId="0" fillId="4" fontId="6" numFmtId="0" xfId="0" applyAlignment="1" applyFont="1">
      <alignment horizontal="left" readingOrder="0"/>
    </xf>
    <xf borderId="0" fillId="0" fontId="5" numFmtId="169" xfId="0" applyAlignment="1" applyFont="1" applyNumberFormat="1">
      <alignment readingOrder="0"/>
    </xf>
    <xf borderId="0" fillId="0" fontId="20" numFmtId="0" xfId="0" applyAlignment="1" applyFont="1">
      <alignment readingOrder="0"/>
    </xf>
    <xf borderId="0" fillId="0" fontId="2" numFmtId="0" xfId="0" applyAlignment="1" applyFont="1">
      <alignment readingOrder="0"/>
    </xf>
    <xf borderId="0" fillId="0" fontId="5" numFmtId="0" xfId="0" applyAlignment="1" applyFont="1">
      <alignment shrinkToFit="0" wrapText="0"/>
    </xf>
    <xf borderId="0" fillId="4" fontId="6" numFmtId="165" xfId="0" applyAlignment="1" applyFont="1" applyNumberFormat="1">
      <alignment readingOrder="0"/>
    </xf>
    <xf borderId="0" fillId="8" fontId="21" numFmtId="165" xfId="0" applyAlignment="1" applyFill="1" applyFont="1" applyNumberFormat="1">
      <alignment horizontal="right" readingOrder="0"/>
    </xf>
    <xf borderId="0" fillId="4" fontId="22" numFmtId="0" xfId="0" applyAlignment="1" applyFont="1">
      <alignment readingOrder="0"/>
    </xf>
    <xf borderId="0" fillId="4" fontId="23" numFmtId="0" xfId="0" applyAlignment="1" applyFont="1">
      <alignment readingOrder="0"/>
    </xf>
    <xf borderId="0" fillId="0" fontId="14" numFmtId="0" xfId="0" applyAlignment="1" applyFont="1">
      <alignment readingOrder="0" shrinkToFit="0" vertical="top" wrapText="1"/>
    </xf>
    <xf borderId="0" fillId="0" fontId="5" numFmtId="0" xfId="0" applyAlignment="1" applyFont="1">
      <alignment shrinkToFit="0" vertical="top" wrapText="1"/>
    </xf>
  </cellXfs>
  <cellStyles count="1">
    <cellStyle xfId="0" name="Normal" builtinId="0"/>
  </cellStyles>
  <dxfs count="29">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00FF00"/>
          <bgColor rgb="FF00FF00"/>
        </patternFill>
      </fill>
      <border/>
    </dxf>
    <dxf>
      <font/>
      <fill>
        <patternFill patternType="solid">
          <fgColor rgb="FFFF0000"/>
          <bgColor rgb="FFFF0000"/>
        </patternFill>
      </fill>
      <border/>
    </dxf>
    <dxf>
      <font/>
      <fill>
        <patternFill patternType="solid">
          <fgColor rgb="FFFFFF00"/>
          <bgColor rgb="FFFFFF00"/>
        </patternFill>
      </fill>
      <border/>
    </dxf>
    <dxf>
      <font/>
      <fill>
        <patternFill patternType="solid">
          <fgColor rgb="FFFDDCE8"/>
          <bgColor rgb="FFFDDCE8"/>
        </patternFill>
      </fill>
      <border/>
    </dxf>
    <dxf>
      <font/>
      <fill>
        <patternFill patternType="solid">
          <fgColor rgb="FFE91D63"/>
          <bgColor rgb="FFE91D63"/>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26A69A"/>
          <bgColor rgb="FF26A69A"/>
        </patternFill>
      </fill>
      <border/>
    </dxf>
    <dxf>
      <font/>
      <fill>
        <patternFill patternType="solid">
          <fgColor rgb="FFDDF2F0"/>
          <bgColor rgb="FFDDF2F0"/>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78909C"/>
          <bgColor rgb="FF78909C"/>
        </patternFill>
      </fill>
      <border/>
    </dxf>
    <dxf>
      <font/>
      <fill>
        <patternFill patternType="solid">
          <fgColor rgb="FFEBEFF1"/>
          <bgColor rgb="FFEBEFF1"/>
        </patternFill>
      </fill>
      <border/>
    </dxf>
    <dxf>
      <font/>
      <fill>
        <patternFill patternType="solid">
          <fgColor rgb="FF8BC34A"/>
          <bgColor rgb="FF8BC34A"/>
        </patternFill>
      </fill>
      <border/>
    </dxf>
    <dxf>
      <font/>
      <fill>
        <patternFill patternType="solid">
          <fgColor rgb="FFEEF7E3"/>
          <bgColor rgb="FFEEF7E3"/>
        </patternFill>
      </fill>
      <border/>
    </dxf>
    <dxf>
      <font/>
      <fill>
        <patternFill patternType="solid">
          <fgColor rgb="FF63D297"/>
          <bgColor rgb="FF63D297"/>
        </patternFill>
      </fill>
      <border/>
    </dxf>
    <dxf>
      <font/>
      <fill>
        <patternFill patternType="solid">
          <fgColor rgb="FFE7F9EF"/>
          <bgColor rgb="FFE7F9EF"/>
        </patternFill>
      </fill>
      <border/>
    </dxf>
    <dxf>
      <font/>
      <fill>
        <patternFill patternType="solid">
          <fgColor rgb="FFCCA677"/>
          <bgColor rgb="FFCCA677"/>
        </patternFill>
      </fill>
      <border/>
    </dxf>
    <dxf>
      <font/>
      <fill>
        <patternFill patternType="solid">
          <fgColor rgb="FFF8F2EB"/>
          <bgColor rgb="FFF8F2EB"/>
        </patternFill>
      </fill>
      <border/>
    </dxf>
    <dxf>
      <font/>
      <fill>
        <patternFill patternType="solid">
          <fgColor rgb="FFF7CB4D"/>
          <bgColor rgb="FFF7CB4D"/>
        </patternFill>
      </fill>
      <border/>
    </dxf>
    <dxf>
      <font/>
      <fill>
        <patternFill patternType="solid">
          <fgColor rgb="FFFEF8E3"/>
          <bgColor rgb="FFFEF8E3"/>
        </patternFill>
      </fill>
      <border/>
    </dxf>
  </dxfs>
  <tableStyles count="32">
    <tableStyle count="3" pivot="0" name="Stage list-style">
      <tableStyleElement dxfId="1" type="headerRow"/>
      <tableStyleElement dxfId="2" type="firstRowStripe"/>
      <tableStyleElement dxfId="3" type="secondRowStripe"/>
    </tableStyle>
    <tableStyle count="2" pivot="0" name="Stage 2-style">
      <tableStyleElement dxfId="2" type="firstRowStripe"/>
      <tableStyleElement dxfId="7" type="secondRowStripe"/>
    </tableStyle>
    <tableStyle count="3" pivot="0" name="Stage 3-style">
      <tableStyleElement dxfId="8" type="headerRow"/>
      <tableStyleElement dxfId="2" type="firstRowStripe"/>
      <tableStyleElement dxfId="7" type="secondRowStripe"/>
    </tableStyle>
    <tableStyle count="3" pivot="0" name="Stage 4, Day 1-style">
      <tableStyleElement dxfId="9" type="headerRow"/>
      <tableStyleElement dxfId="2" type="firstRowStripe"/>
      <tableStyleElement dxfId="10" type="secondRowStripe"/>
    </tableStyle>
    <tableStyle count="3" pivot="0" name="Stage 1-style">
      <tableStyleElement dxfId="8" type="headerRow"/>
      <tableStyleElement dxfId="2" type="firstRowStripe"/>
      <tableStyleElement dxfId="7" type="secondRowStripe"/>
    </tableStyle>
    <tableStyle count="3" pivot="0" name="Stage 5, Day 1-style">
      <tableStyleElement dxfId="8" type="headerRow"/>
      <tableStyleElement dxfId="2" type="firstRowStripe"/>
      <tableStyleElement dxfId="7" type="secondRowStripe"/>
    </tableStyle>
    <tableStyle count="3" pivot="0" name="Stage 4, Day 2&amp;3-style">
      <tableStyleElement dxfId="11" type="headerRow"/>
      <tableStyleElement dxfId="2" type="firstRowStripe"/>
      <tableStyleElement dxfId="12" type="secondRowStripe"/>
    </tableStyle>
    <tableStyle count="3" pivot="0" name="Stage 5, Day 3-style">
      <tableStyleElement dxfId="8" type="headerRow"/>
      <tableStyleElement dxfId="2" type="firstRowStripe"/>
      <tableStyleElement dxfId="7" type="secondRowStripe"/>
    </tableStyle>
    <tableStyle count="3" pivot="0" name="Stage 5, Day 2-style">
      <tableStyleElement dxfId="8" type="headerRow"/>
      <tableStyleElement dxfId="2" type="firstRowStripe"/>
      <tableStyleElement dxfId="7" type="secondRowStripe"/>
    </tableStyle>
    <tableStyle count="3" pivot="0" name="Stage 6, Day 3-style">
      <tableStyleElement dxfId="13" type="headerRow"/>
      <tableStyleElement dxfId="2" type="firstRowStripe"/>
      <tableStyleElement dxfId="14" type="secondRowStripe"/>
    </tableStyle>
    <tableStyle count="3" pivot="0" name="Stage 6, Day 1-style">
      <tableStyleElement dxfId="15" type="headerRow"/>
      <tableStyleElement dxfId="2" type="firstRowStripe"/>
      <tableStyleElement dxfId="16" type="secondRowStripe"/>
    </tableStyle>
    <tableStyle count="3" pivot="0" name="Stage 6, Day 2-style">
      <tableStyleElement dxfId="17" type="headerRow"/>
      <tableStyleElement dxfId="2" type="firstRowStripe"/>
      <tableStyleElement dxfId="18" type="secondRowStripe"/>
    </tableStyle>
    <tableStyle count="3" pivot="0" name="Stage 8, Day 1-style">
      <tableStyleElement dxfId="19" type="headerRow"/>
      <tableStyleElement dxfId="2" type="firstRowStripe"/>
      <tableStyleElement dxfId="20" type="secondRowStripe"/>
    </tableStyle>
    <tableStyle count="3" pivot="0" name="Stage 8, Day 2&amp;3-style">
      <tableStyleElement dxfId="21" type="headerRow"/>
      <tableStyleElement dxfId="2" type="firstRowStripe"/>
      <tableStyleElement dxfId="22" type="secondRowStripe"/>
    </tableStyle>
    <tableStyle count="3" pivot="0" name="Stage 9, Day 1-style">
      <tableStyleElement dxfId="11" type="headerRow"/>
      <tableStyleElement dxfId="2" type="firstRowStripe"/>
      <tableStyleElement dxfId="12" type="secondRowStripe"/>
    </tableStyle>
    <tableStyle count="3" pivot="0" name="Stage 7-style">
      <tableStyleElement dxfId="9" type="headerRow"/>
      <tableStyleElement dxfId="2" type="firstRowStripe"/>
      <tableStyleElement dxfId="10" type="secondRowStripe"/>
    </tableStyle>
    <tableStyle count="3" pivot="0" name="Stage 10, Day 1-style">
      <tableStyleElement dxfId="1" type="headerRow"/>
      <tableStyleElement dxfId="2" type="firstRowStripe"/>
      <tableStyleElement dxfId="3" type="secondRowStripe"/>
    </tableStyle>
    <tableStyle count="2" pivot="0" name="TEST-style">
      <tableStyleElement dxfId="2" type="firstRowStripe"/>
      <tableStyleElement dxfId="22" type="secondRowStripe"/>
    </tableStyle>
    <tableStyle count="3" pivot="0" name="Stage 9, Day 2&amp;3-style">
      <tableStyleElement dxfId="23" type="headerRow"/>
      <tableStyleElement dxfId="2" type="firstRowStripe"/>
      <tableStyleElement dxfId="24" type="secondRowStripe"/>
    </tableStyle>
    <tableStyle count="3" pivot="0" name="Stage 10, Day 2-style">
      <tableStyleElement dxfId="8" type="headerRow"/>
      <tableStyleElement dxfId="2" type="firstRowStripe"/>
      <tableStyleElement dxfId="7" type="secondRowStripe"/>
    </tableStyle>
    <tableStyle count="3" pivot="0" name="Stage 10, Day 3-style">
      <tableStyleElement dxfId="11" type="headerRow"/>
      <tableStyleElement dxfId="2" type="firstRowStripe"/>
      <tableStyleElement dxfId="12" type="secondRowStripe"/>
    </tableStyle>
    <tableStyle count="3" pivot="0" name="Stage 12-style">
      <tableStyleElement dxfId="19" type="headerRow"/>
      <tableStyleElement dxfId="2" type="firstRowStripe"/>
      <tableStyleElement dxfId="20" type="secondRowStripe"/>
    </tableStyle>
    <tableStyle count="3" pivot="0" name="Stage 11, Day 3-style">
      <tableStyleElement dxfId="25" type="headerRow"/>
      <tableStyleElement dxfId="2" type="firstRowStripe"/>
      <tableStyleElement dxfId="26" type="secondRowStripe"/>
    </tableStyle>
    <tableStyle count="3" pivot="0" name="Stage 13, Day 1-style">
      <tableStyleElement dxfId="8" type="headerRow"/>
      <tableStyleElement dxfId="2" type="firstRowStripe"/>
      <tableStyleElement dxfId="7" type="secondRowStripe"/>
    </tableStyle>
    <tableStyle count="3" pivot="0" name="Stage 11, Day 1&amp;2-style">
      <tableStyleElement dxfId="21" type="headerRow"/>
      <tableStyleElement dxfId="2" type="firstRowStripe"/>
      <tableStyleElement dxfId="22" type="secondRowStripe"/>
    </tableStyle>
    <tableStyle count="3" pivot="0" name="Stage 13, Day 2&amp;3-style">
      <tableStyleElement dxfId="15" type="headerRow"/>
      <tableStyleElement dxfId="2" type="firstRowStripe"/>
      <tableStyleElement dxfId="16" type="secondRowStripe"/>
    </tableStyle>
    <tableStyle count="3" pivot="0" name="Stage 15, Day 1&amp;2-style">
      <tableStyleElement dxfId="13" type="headerRow"/>
      <tableStyleElement dxfId="2" type="firstRowStripe"/>
      <tableStyleElement dxfId="14" type="secondRowStripe"/>
    </tableStyle>
    <tableStyle count="3" pivot="0" name="Stage 14-style">
      <tableStyleElement dxfId="9" type="headerRow"/>
      <tableStyleElement dxfId="2" type="firstRowStripe"/>
      <tableStyleElement dxfId="10" type="secondRowStripe"/>
    </tableStyle>
    <tableStyle count="3" pivot="0" name="Stage 15, Day 3-style">
      <tableStyleElement dxfId="27" type="headerRow"/>
      <tableStyleElement dxfId="2" type="firstRowStripe"/>
      <tableStyleElement dxfId="28" type="secondRowStripe"/>
    </tableStyle>
    <tableStyle count="3" pivot="0" name="Stage 16-style">
      <tableStyleElement dxfId="23" type="headerRow"/>
      <tableStyleElement dxfId="2" type="firstRowStripe"/>
      <tableStyleElement dxfId="24" type="secondRowStripe"/>
    </tableStyle>
    <tableStyle count="3" pivot="0" name="Stage 17-style">
      <tableStyleElement dxfId="17" type="headerRow"/>
      <tableStyleElement dxfId="2" type="firstRowStripe"/>
      <tableStyleElement dxfId="18" type="secondRowStripe"/>
    </tableStyle>
    <tableStyle count="3" pivot="0" name="Stage 18-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2:D32" displayName="Table_1" id="1">
  <tableColumns count="4">
    <tableColumn name="Stage No." id="1"/>
    <tableColumn name="Name of Stage" id="2"/>
    <tableColumn name="Day" id="3"/>
    <tableColumn name="Location" id="4"/>
  </tableColumns>
  <tableStyleInfo name="Stage list-style" showColumnStripes="0" showFirstColumn="1" showLastColumn="1" showRowStripes="1"/>
</table>
</file>

<file path=xl/tables/table2.xml><?xml version="1.0" encoding="utf-8"?>
<table xmlns="http://schemas.openxmlformats.org/spreadsheetml/2006/main" headerRowCount="0" ref="A1:T621" displayName="Table_5" id="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M2:Q2" displayName="Table_2" id="2">
  <tableColumns count="5">
    <tableColumn name="Column1" id="1"/>
    <tableColumn name="Column2" id="2"/>
    <tableColumn name="Column3" id="3"/>
    <tableColumn name="Column4" id="4"/>
    <tableColumn name="Column5" id="5"/>
  </tableColumns>
  <tableStyleInfo name="Stage 2-style" showColumnStripes="0" showFirstColumn="1" showLastColumn="1" showRowStripes="1"/>
</table>
</file>

<file path=xl/tables/table4.xml><?xml version="1.0" encoding="utf-8"?>
<table xmlns="http://schemas.openxmlformats.org/spreadsheetml/2006/main" ref="M1:Q3" displayName="Table_3" id="3">
  <tableColumns count="5">
    <tableColumn name="YAL ID" id="1"/>
    <tableColumn name="File name" id="2"/>
    <tableColumn name="RECORDED" id="3"/>
    <tableColumn name="MP4" id="4"/>
    <tableColumn name="S3" id="5"/>
  </tableColumns>
  <tableStyleInfo name="Stage 3-style" showColumnStripes="0" showFirstColumn="1" showLastColumn="1" showRowStripes="1"/>
</table>
</file>

<file path=xl/tables/table5.xml><?xml version="1.0" encoding="utf-8"?>
<table xmlns="http://schemas.openxmlformats.org/spreadsheetml/2006/main" headerRowCount="0" ref="A1:T533" displayName="Table_4" id="4">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4, Day 1-style"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1:T43" displayName="Table_7" id="7">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4, Day 2&amp;3-style"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M1:Q2" displayName="Table_6" id="6">
  <tableColumns count="5">
    <tableColumn name="YAL ID" id="1"/>
    <tableColumn name="File name" id="2"/>
    <tableColumn name="RECORDED" id="3"/>
    <tableColumn name="MP4" id="4"/>
    <tableColumn name="S3" id="5"/>
  </tableColumns>
  <tableStyleInfo name="Stage 5, Day 1-style" showColumnStripes="0" showFirstColumn="1" showLastColumn="1" showRowStripes="1"/>
</table>
</file>

<file path=xl/tables/table8.xml><?xml version="1.0" encoding="utf-8"?>
<table xmlns="http://schemas.openxmlformats.org/spreadsheetml/2006/main" ref="M1:Q2" displayName="Table_9" id="9">
  <tableColumns count="5">
    <tableColumn name="YAL ID" id="1"/>
    <tableColumn name="File name" id="2"/>
    <tableColumn name="RECORDED" id="3"/>
    <tableColumn name="MP4" id="4"/>
    <tableColumn name="S3" id="5"/>
  </tableColumns>
  <tableStyleInfo name="Stage 5, Day 2-style" showColumnStripes="0" showFirstColumn="1" showLastColumn="1" showRowStripes="1"/>
</table>
</file>

<file path=xl/tables/table9.xml><?xml version="1.0" encoding="utf-8"?>
<table xmlns="http://schemas.openxmlformats.org/spreadsheetml/2006/main" ref="M1:Q2" displayName="Table_8" id="8">
  <tableColumns count="5">
    <tableColumn name="YAL ID" id="1"/>
    <tableColumn name="File name" id="2"/>
    <tableColumn name="RECORDED" id="3"/>
    <tableColumn name="MP4" id="4"/>
    <tableColumn name="S3" id="5"/>
  </tableColumns>
  <tableStyleInfo name="Stage 5, Day 3-style" showColumnStripes="0" showFirstColumn="1" showLastColumn="1" showRowStripes="1"/>
</table>
</file>

<file path=xl/tables/table10.xml><?xml version="1.0" encoding="utf-8"?>
<table xmlns="http://schemas.openxmlformats.org/spreadsheetml/2006/main" headerRowCount="0" ref="A1:T521" displayName="Table_12" id="12">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1-style"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A1:T517" displayName="Table_11" id="1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2-style"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A1:T17" displayName="Table_10" id="1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3-style"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headerRowCount="0" ref="A1:T569" displayName="Table_16" id="16">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7-style"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headerRowCount="0" ref="A1:T8" displayName="Table_13" id="13">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8, Day 1-style" showColumnStripes="0" showFirstColumn="1" showLastColumn="1" showRowStripes="1"/>
  <extLst>
    <ext uri="GoogleSheetsCustomDataVersion1">
      <go:sheetsCustomData xmlns:go="http://customooxmlschemas.google.com/" headerRowCount="1"/>
    </ext>
  </extLst>
</table>
</file>

<file path=xl/tables/table15.xml><?xml version="1.0" encoding="utf-8"?>
<table xmlns="http://schemas.openxmlformats.org/spreadsheetml/2006/main" headerRowCount="0" ref="A1:I12" displayName="Table_18" id="1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TEST-style" showColumnStripes="0" showFirstColumn="1" showLastColumn="1" showRowStripes="1"/>
</table>
</file>

<file path=xl/tables/table16.xml><?xml version="1.0" encoding="utf-8"?>
<table xmlns="http://schemas.openxmlformats.org/spreadsheetml/2006/main" ref="A1:Q12" displayName="Table_14" id="14">
  <tableColumns count="17">
    <tableColumn name="Talk" id="1"/>
    <tableColumn name="Stage" id="2"/>
    <tableColumn name="Speaker" id="3"/>
    <tableColumn name="Time/Start" id="4"/>
    <tableColumn name="Time/End" id="5"/>
    <tableColumn name="ID" id="6"/>
    <tableColumn name="Start date" id="7"/>
    <tableColumn name="Start time" id="8"/>
    <tableColumn name="End date" id="9"/>
    <tableColumn name="End time" id="10"/>
    <tableColumn name="Duration" id="11"/>
    <tableColumn name="Formatting" id="12"/>
    <tableColumn name="YAL ID" id="13"/>
    <tableColumn name="File name" id="14"/>
    <tableColumn name="RECORDED" id="15"/>
    <tableColumn name="MP4" id="16"/>
    <tableColumn name="S3" id="17"/>
  </tableColumns>
  <tableStyleInfo name="Stage 8, Day 2&amp;3-style" showColumnStripes="0" showFirstColumn="1" showLastColumn="1" showRowStripes="1"/>
</table>
</file>

<file path=xl/tables/table17.xml><?xml version="1.0" encoding="utf-8"?>
<table xmlns="http://schemas.openxmlformats.org/spreadsheetml/2006/main" headerRowCount="0" ref="A1:T24" displayName="Table_15" id="1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9, Day 1-style" showColumnStripes="0" showFirstColumn="1" showLastColumn="1" showRowStripes="1"/>
  <extLst>
    <ext uri="GoogleSheetsCustomDataVersion1">
      <go:sheetsCustomData xmlns:go="http://customooxmlschemas.google.com/" headerRowCount="1"/>
    </ext>
  </extLst>
</table>
</file>

<file path=xl/tables/table18.xml><?xml version="1.0" encoding="utf-8"?>
<table xmlns="http://schemas.openxmlformats.org/spreadsheetml/2006/main" headerRowCount="0" ref="A1:T549" displayName="Table_19" id="19">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9, Day 2&amp;3-style" showColumnStripes="0" showFirstColumn="1" showLastColumn="1" showRowStripes="1"/>
  <extLst>
    <ext uri="GoogleSheetsCustomDataVersion1">
      <go:sheetsCustomData xmlns:go="http://customooxmlschemas.google.com/" headerRowCount="1"/>
    </ext>
  </extLst>
</table>
</file>

<file path=xl/tables/table19.xml><?xml version="1.0" encoding="utf-8"?>
<table xmlns="http://schemas.openxmlformats.org/spreadsheetml/2006/main" headerRowCount="0" ref="A1:T23" displayName="Table_17" id="17">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1-style" showColumnStripes="0" showFirstColumn="1" showLastColumn="1" showRowStripes="1"/>
  <extLst>
    <ext uri="GoogleSheetsCustomDataVersion1">
      <go:sheetsCustomData xmlns:go="http://customooxmlschemas.google.com/" headerRowCount="1"/>
    </ext>
  </extLst>
</table>
</file>

<file path=xl/tables/table20.xml><?xml version="1.0" encoding="utf-8"?>
<table xmlns="http://schemas.openxmlformats.org/spreadsheetml/2006/main" headerRowCount="0" ref="A1:T524" displayName="Table_20" id="2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2-style" showColumnStripes="0" showFirstColumn="1" showLastColumn="1" showRowStripes="1"/>
  <extLst>
    <ext uri="GoogleSheetsCustomDataVersion1">
      <go:sheetsCustomData xmlns:go="http://customooxmlschemas.google.com/" headerRowCount="1"/>
    </ext>
  </extLst>
</table>
</file>

<file path=xl/tables/table21.xml><?xml version="1.0" encoding="utf-8"?>
<table xmlns="http://schemas.openxmlformats.org/spreadsheetml/2006/main" headerRowCount="0" ref="A1:T523" displayName="Table_21" id="2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3-style" showColumnStripes="0" showFirstColumn="1" showLastColumn="1" showRowStripes="1"/>
  <extLst>
    <ext uri="GoogleSheetsCustomDataVersion1">
      <go:sheetsCustomData xmlns:go="http://customooxmlschemas.google.com/" headerRowCount="1"/>
    </ext>
  </extLst>
</table>
</file>

<file path=xl/tables/table22.xml><?xml version="1.0" encoding="utf-8"?>
<table xmlns="http://schemas.openxmlformats.org/spreadsheetml/2006/main" headerRowCount="0" ref="A1:T545" displayName="Table_25" id="2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1, Day 1&amp;2-style" showColumnStripes="0" showFirstColumn="1" showLastColumn="1" showRowStripes="1"/>
  <extLst>
    <ext uri="GoogleSheetsCustomDataVersion1">
      <go:sheetsCustomData xmlns:go="http://customooxmlschemas.google.com/" headerRowCount="1"/>
    </ext>
  </extLst>
</table>
</file>

<file path=xl/tables/table23.xml><?xml version="1.0" encoding="utf-8"?>
<table xmlns="http://schemas.openxmlformats.org/spreadsheetml/2006/main" headerRowCount="0" ref="A1:T524" displayName="Table_23" id="23">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1, Day 3-style" showColumnStripes="0" showFirstColumn="1" showLastColumn="1" showRowStripes="1"/>
  <extLst>
    <ext uri="GoogleSheetsCustomDataVersion1">
      <go:sheetsCustomData xmlns:go="http://customooxmlschemas.google.com/" headerRowCount="1"/>
    </ext>
  </extLst>
</table>
</file>

<file path=xl/tables/table24.xml><?xml version="1.0" encoding="utf-8"?>
<table xmlns="http://schemas.openxmlformats.org/spreadsheetml/2006/main" headerRowCount="0" ref="A1:T197" displayName="Table_22" id="22">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2-style" showColumnStripes="0" showFirstColumn="1" showLastColumn="1" showRowStripes="1"/>
  <extLst>
    <ext uri="GoogleSheetsCustomDataVersion1">
      <go:sheetsCustomData xmlns:go="http://customooxmlschemas.google.com/" headerRowCount="1"/>
    </ext>
  </extLst>
</table>
</file>

<file path=xl/tables/table25.xml><?xml version="1.0" encoding="utf-8"?>
<table xmlns="http://schemas.openxmlformats.org/spreadsheetml/2006/main" ref="M1:Q2" displayName="Table_24" id="24">
  <tableColumns count="5">
    <tableColumn name="YAL ID" id="1"/>
    <tableColumn name="File name" id="2"/>
    <tableColumn name="RECORDED" id="3"/>
    <tableColumn name="MP4" id="4"/>
    <tableColumn name="S3" id="5"/>
  </tableColumns>
  <tableStyleInfo name="Stage 13, Day 1-style" showColumnStripes="0" showFirstColumn="1" showLastColumn="1" showRowStripes="1"/>
</table>
</file>

<file path=xl/tables/table26.xml><?xml version="1.0" encoding="utf-8"?>
<table xmlns="http://schemas.openxmlformats.org/spreadsheetml/2006/main" headerRowCount="0" ref="A1:T509" displayName="Table_26" id="26">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3, Day 2&amp;3-style" showColumnStripes="0" showFirstColumn="1" showLastColumn="1" showRowStripes="1"/>
  <extLst>
    <ext uri="GoogleSheetsCustomDataVersion1">
      <go:sheetsCustomData xmlns:go="http://customooxmlschemas.google.com/" headerRowCount="1"/>
    </ext>
  </extLst>
</table>
</file>

<file path=xl/tables/table27.xml><?xml version="1.0" encoding="utf-8"?>
<table xmlns="http://schemas.openxmlformats.org/spreadsheetml/2006/main" headerRowCount="0" ref="A1:T565" displayName="Table_28" id="28">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4-style" showColumnStripes="0" showFirstColumn="1" showLastColumn="1" showRowStripes="1"/>
  <extLst>
    <ext uri="GoogleSheetsCustomDataVersion1">
      <go:sheetsCustomData xmlns:go="http://customooxmlschemas.google.com/" headerRowCount="1"/>
    </ext>
  </extLst>
</table>
</file>

<file path=xl/tables/table28.xml><?xml version="1.0" encoding="utf-8"?>
<table xmlns="http://schemas.openxmlformats.org/spreadsheetml/2006/main" headerRowCount="0" ref="A1:T545" displayName="Table_27" id="27">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5, Day 1&amp;2-style" showColumnStripes="0" showFirstColumn="1" showLastColumn="1" showRowStripes="1"/>
  <extLst>
    <ext uri="GoogleSheetsCustomDataVersion1">
      <go:sheetsCustomData xmlns:go="http://customooxmlschemas.google.com/" headerRowCount="1"/>
    </ext>
  </extLst>
</table>
</file>

<file path=xl/tables/table29.xml><?xml version="1.0" encoding="utf-8"?>
<table xmlns="http://schemas.openxmlformats.org/spreadsheetml/2006/main" headerRowCount="0" ref="A1:T523" displayName="Table_29" id="29">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5, Day 3-style" showColumnStripes="0" showFirstColumn="1" showLastColumn="1" showRowStripes="1"/>
  <extLst>
    <ext uri="GoogleSheetsCustomDataVersion1">
      <go:sheetsCustomData xmlns:go="http://customooxmlschemas.google.com/" headerRowCount="1"/>
    </ext>
  </extLst>
</table>
</file>

<file path=xl/tables/table30.xml><?xml version="1.0" encoding="utf-8"?>
<table xmlns="http://schemas.openxmlformats.org/spreadsheetml/2006/main" headerRowCount="0" ref="A1:T560" displayName="Table_30" id="3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6-style" showColumnStripes="0" showFirstColumn="1" showLastColumn="1" showRowStripes="1"/>
  <extLst>
    <ext uri="GoogleSheetsCustomDataVersion1">
      <go:sheetsCustomData xmlns:go="http://customooxmlschemas.google.com/" headerRowCount="1"/>
    </ext>
  </extLst>
</table>
</file>

<file path=xl/tables/table31.xml><?xml version="1.0" encoding="utf-8"?>
<table xmlns="http://schemas.openxmlformats.org/spreadsheetml/2006/main" headerRowCount="0" ref="A1:T568" displayName="Table_31" id="3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7-style" showColumnStripes="0" showFirstColumn="1" showLastColumn="1" showRowStripes="1"/>
  <extLst>
    <ext uri="GoogleSheetsCustomDataVersion1">
      <go:sheetsCustomData xmlns:go="http://customooxmlschemas.google.com/" headerRowCount="1"/>
    </ext>
  </extLst>
</table>
</file>

<file path=xl/tables/table32.xml><?xml version="1.0" encoding="utf-8"?>
<table xmlns="http://schemas.openxmlformats.org/spreadsheetml/2006/main" headerRowCount="0" ref="A1:T564" displayName="Table_32" id="32">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8-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binate.io" TargetMode="External"/><Relationship Id="rId10" Type="http://schemas.openxmlformats.org/officeDocument/2006/relationships/hyperlink" Target="http://binate.io" TargetMode="External"/><Relationship Id="rId13" Type="http://schemas.openxmlformats.org/officeDocument/2006/relationships/hyperlink" Target="http://binate.io" TargetMode="External"/><Relationship Id="rId12" Type="http://schemas.openxmlformats.org/officeDocument/2006/relationships/hyperlink" Target="http://binate.io" TargetMode="External"/><Relationship Id="rId1" Type="http://schemas.openxmlformats.org/officeDocument/2006/relationships/hyperlink" Target="http://binate.io" TargetMode="External"/><Relationship Id="rId2" Type="http://schemas.openxmlformats.org/officeDocument/2006/relationships/hyperlink" Target="http://binate.io" TargetMode="External"/><Relationship Id="rId3" Type="http://schemas.openxmlformats.org/officeDocument/2006/relationships/hyperlink" Target="http://binate.io" TargetMode="External"/><Relationship Id="rId4" Type="http://schemas.openxmlformats.org/officeDocument/2006/relationships/hyperlink" Target="http://binate.io" TargetMode="External"/><Relationship Id="rId9" Type="http://schemas.openxmlformats.org/officeDocument/2006/relationships/hyperlink" Target="http://binate.io" TargetMode="External"/><Relationship Id="rId15" Type="http://schemas.openxmlformats.org/officeDocument/2006/relationships/drawing" Target="../drawings/drawing1.xml"/><Relationship Id="rId14" Type="http://schemas.openxmlformats.org/officeDocument/2006/relationships/hyperlink" Target="http://binate.io" TargetMode="External"/><Relationship Id="rId5" Type="http://schemas.openxmlformats.org/officeDocument/2006/relationships/hyperlink" Target="http://binate.io" TargetMode="External"/><Relationship Id="rId6" Type="http://schemas.openxmlformats.org/officeDocument/2006/relationships/hyperlink" Target="http://amazon.ai" TargetMode="External"/><Relationship Id="rId7" Type="http://schemas.openxmlformats.org/officeDocument/2006/relationships/hyperlink" Target="http://binate.io" TargetMode="External"/><Relationship Id="rId8" Type="http://schemas.openxmlformats.org/officeDocument/2006/relationships/hyperlink" Target="http://binate.io"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binate.io" TargetMode="External"/><Relationship Id="rId2" Type="http://schemas.openxmlformats.org/officeDocument/2006/relationships/drawing" Target="../drawings/drawing3.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amazon.ai" TargetMode="External"/><Relationship Id="rId2" Type="http://schemas.openxmlformats.org/officeDocument/2006/relationships/drawing" Target="../drawings/drawing4.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1" Type="http://schemas.openxmlformats.org/officeDocument/2006/relationships/hyperlink" Target="http://binate.io" TargetMode="External"/><Relationship Id="rId10" Type="http://schemas.openxmlformats.org/officeDocument/2006/relationships/hyperlink" Target="http://binate.io" TargetMode="External"/><Relationship Id="rId13" Type="http://schemas.openxmlformats.org/officeDocument/2006/relationships/hyperlink" Target="http://binate.io" TargetMode="External"/><Relationship Id="rId12" Type="http://schemas.openxmlformats.org/officeDocument/2006/relationships/hyperlink" Target="http://binate.io" TargetMode="External"/><Relationship Id="rId1" Type="http://schemas.openxmlformats.org/officeDocument/2006/relationships/hyperlink" Target="http://binate.io" TargetMode="External"/><Relationship Id="rId2" Type="http://schemas.openxmlformats.org/officeDocument/2006/relationships/hyperlink" Target="http://binate.io" TargetMode="External"/><Relationship Id="rId3" Type="http://schemas.openxmlformats.org/officeDocument/2006/relationships/hyperlink" Target="http://binate.io" TargetMode="External"/><Relationship Id="rId4" Type="http://schemas.openxmlformats.org/officeDocument/2006/relationships/hyperlink" Target="http://binate.io" TargetMode="External"/><Relationship Id="rId9" Type="http://schemas.openxmlformats.org/officeDocument/2006/relationships/hyperlink" Target="http://binate.io" TargetMode="External"/><Relationship Id="rId14" Type="http://schemas.openxmlformats.org/officeDocument/2006/relationships/drawing" Target="../drawings/drawing13.xml"/><Relationship Id="rId16" Type="http://schemas.openxmlformats.org/officeDocument/2006/relationships/table" Target="../tables/table11.xml"/><Relationship Id="rId5" Type="http://schemas.openxmlformats.org/officeDocument/2006/relationships/hyperlink" Target="http://binate.io" TargetMode="External"/><Relationship Id="rId6" Type="http://schemas.openxmlformats.org/officeDocument/2006/relationships/hyperlink" Target="http://binate.io" TargetMode="External"/><Relationship Id="rId7" Type="http://schemas.openxmlformats.org/officeDocument/2006/relationships/hyperlink" Target="http://binate.io" TargetMode="External"/><Relationship Id="rId8" Type="http://schemas.openxmlformats.org/officeDocument/2006/relationships/hyperlink" Target="http://binate.io"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3"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3"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 Id="rId3" Type="http://schemas.openxmlformats.org/officeDocument/2006/relationships/table" Target="../tables/table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 Id="rId3"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 Id="rId3" Type="http://schemas.openxmlformats.org/officeDocument/2006/relationships/table" Target="../tables/table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 Id="rId3" Type="http://schemas.openxmlformats.org/officeDocument/2006/relationships/table" Target="../tables/table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 Id="rId3"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 Id="rId3" Type="http://schemas.openxmlformats.org/officeDocument/2006/relationships/table" Target="../tables/table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 Id="rId3" Type="http://schemas.openxmlformats.org/officeDocument/2006/relationships/table" Target="../tables/table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 Id="rId3"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 Id="rId3" Type="http://schemas.openxmlformats.org/officeDocument/2006/relationships/table" Target="../tables/table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9.57"/>
  </cols>
  <sheetData>
    <row r="1">
      <c r="A1" s="8" t="str">
        <f>IFERROR(__xludf.DUMMYFUNCTION("IMPORTRANGE(""https://docs.google.com/spreadsheets/d/1LafAM4Ru3fZYEyt44J-Pixul0VV4Yfxmvu7hr5te-vg/edit#gid=1150202327"",""A:I"")"),"title")</f>
        <v>title</v>
      </c>
      <c r="B1" s="10" t="str">
        <f>IFERROR(__xludf.DUMMYFUNCTION("""COMPUTED_VALUE"""),"description")</f>
        <v>description</v>
      </c>
      <c r="C1" s="10" t="str">
        <f>IFERROR(__xludf.DUMMYFUNCTION("""COMPUTED_VALUE"""),"location")</f>
        <v>location</v>
      </c>
      <c r="D1" s="10" t="str">
        <f>IFERROR(__xludf.DUMMYFUNCTION("""COMPUTED_VALUE"""),"speakers")</f>
        <v>speakers</v>
      </c>
      <c r="E1" s="10" t="str">
        <f>IFERROR(__xludf.DUMMYFUNCTION("""COMPUTED_VALUE"""),"speakers_for_emails")</f>
        <v>speakers_for_emails</v>
      </c>
      <c r="F1" s="10" t="str">
        <f>IFERROR(__xludf.DUMMYFUNCTION("""COMPUTED_VALUE"""),"start_time")</f>
        <v>start_time</v>
      </c>
      <c r="G1" s="10" t="str">
        <f>IFERROR(__xludf.DUMMYFUNCTION("""COMPUTED_VALUE"""),"end_time")</f>
        <v>end_time</v>
      </c>
      <c r="H1" s="10" t="str">
        <f>IFERROR(__xludf.DUMMYFUNCTION("""COMPUTED_VALUE"""),"id")</f>
        <v>id</v>
      </c>
      <c r="I1" s="10" t="str">
        <f>IFERROR(__xludf.DUMMYFUNCTION("""COMPUTED_VALUE"""),"uuid")</f>
        <v>uuid</v>
      </c>
    </row>
    <row r="2">
      <c r="A2" s="10" t="str">
        <f>IFERROR(__xludf.DUMMYFUNCTION("""COMPUTED_VALUE"""),"Opening remarks")</f>
        <v>Opening remarks</v>
      </c>
      <c r="B2" s="10" t="str">
        <f>IFERROR(__xludf.DUMMYFUNCTION("""COMPUTED_VALUE"""),"")</f>
        <v/>
      </c>
      <c r="C2" s="24" t="str">
        <f>IFERROR(__xludf.DUMMYFUNCTION("""COMPUTED_VALUE"""),"binate.io")</f>
        <v>binate.io</v>
      </c>
      <c r="D2" s="10" t="str">
        <f>IFERROR(__xludf.DUMMYFUNCTION("""COMPUTED_VALUE"""),"Josh Holmes")</f>
        <v>Josh Holmes</v>
      </c>
      <c r="E2" s="10" t="str">
        <f>IFERROR(__xludf.DUMMYFUNCTION("""COMPUTED_VALUE"""),"Josh Holmes")</f>
        <v>Josh Holmes</v>
      </c>
      <c r="F2" s="10" t="str">
        <f>IFERROR(__xludf.DUMMYFUNCTION("""COMPUTED_VALUE"""),"2019/11/06 13:50:00")</f>
        <v>2019/11/06 13:50:00</v>
      </c>
      <c r="G2" s="10" t="str">
        <f>IFERROR(__xludf.DUMMYFUNCTION("""COMPUTED_VALUE"""),"2019/11/06 14:05:00")</f>
        <v>2019/11/06 14:05:00</v>
      </c>
      <c r="H2" s="10" t="str">
        <f>IFERROR(__xludf.DUMMYFUNCTION("""COMPUTED_VALUE"""),"9d714d63-b884-4c31-aee7-36124f71ac27")</f>
        <v>9d714d63-b884-4c31-aee7-36124f71ac27</v>
      </c>
      <c r="I2" s="10" t="str">
        <f>IFERROR(__xludf.DUMMYFUNCTION("""COMPUTED_VALUE"""),"9d714d63-b884-4c31-aee7-36124f71ac27")</f>
        <v>9d714d63-b884-4c31-aee7-36124f71ac27</v>
      </c>
    </row>
    <row r="3">
      <c r="A3" s="10" t="str">
        <f>IFERROR(__xludf.DUMMYFUNCTION("""COMPUTED_VALUE"""),"Has technology replaced religion?")</f>
        <v>Has technology replaced religion?</v>
      </c>
      <c r="B3" s="10" t="str">
        <f>IFERROR(__xludf.DUMMYFUNCTION("""COMPUTED_VALUE"""),"Religion and faith have played central roles in human society for centuries. However, with technological advancements that role is being increasingly questioned. In this session we will hear from both sides of the aisle about whether religion can still pl"&amp;"ay a role and if it can what that role might be.")</f>
        <v>Religion and faith have played central roles in human society for centuries. However, with technological advancements that role is being increasingly questioned. In this session we will hear from both sides of the aisle about whether religion can still play a role and if it can what that role might be.</v>
      </c>
      <c r="C3" s="10" t="str">
        <f>IFERROR(__xludf.DUMMYFUNCTION("""COMPUTED_VALUE"""),"Future Societies")</f>
        <v>Future Societies</v>
      </c>
      <c r="D3" s="10" t="str">
        <f>IFERROR(__xludf.DUMMYFUNCTION("""COMPUTED_VALUE"""),"Tony Campolo, Steve Petersen and Steve Clemons")</f>
        <v>Tony Campolo, Steve Petersen and Steve Clemons</v>
      </c>
      <c r="E3" s="10" t="str">
        <f>IFERROR(__xludf.DUMMYFUNCTION("""COMPUTED_VALUE"""),"Tony Campolo,Steve Petersen,Steve Clemons")</f>
        <v>Tony Campolo,Steve Petersen,Steve Clemons</v>
      </c>
      <c r="F3" s="10" t="str">
        <f>IFERROR(__xludf.DUMMYFUNCTION("""COMPUTED_VALUE"""),"2019/11/05 14:00:00")</f>
        <v>2019/11/05 14:00:00</v>
      </c>
      <c r="G3" s="10" t="str">
        <f>IFERROR(__xludf.DUMMYFUNCTION("""COMPUTED_VALUE"""),"2019/11/05 14:25:00")</f>
        <v>2019/11/05 14:25:00</v>
      </c>
      <c r="H3" s="10" t="str">
        <f>IFERROR(__xludf.DUMMYFUNCTION("""COMPUTED_VALUE"""),"8a633e90-7b95-455f-a099-73eacee56700")</f>
        <v>8a633e90-7b95-455f-a099-73eacee56700</v>
      </c>
      <c r="I3" s="10" t="str">
        <f>IFERROR(__xludf.DUMMYFUNCTION("""COMPUTED_VALUE"""),"8a633e90-7b95-455f-a099-73eacee56700")</f>
        <v>8a633e90-7b95-455f-a099-73eacee56700</v>
      </c>
    </row>
    <row r="4">
      <c r="A4" s="10" t="str">
        <f>IFERROR(__xludf.DUMMYFUNCTION("""COMPUTED_VALUE"""),"Consolidation of the agency world")</f>
        <v>Consolidation of the agency world</v>
      </c>
      <c r="B4" s="10" t="str">
        <f>IFERROR(__xludf.DUMMYFUNCTION("""COMPUTED_VALUE"""),"Big, consolidated agencies aren't exactly seen as sexy. But as consumer expectations evolve and technology speeds ahead, they're taking on a new appeal. Data now shows that integrated teams are the more successful teams. Let's hear from the leaders of the"&amp;" creative world.")</f>
        <v>Big, consolidated agencies aren't exactly seen as sexy. But as consumer expectations evolve and technology speeds ahead, they're taking on a new appeal. Data now shows that integrated teams are the more successful teams. Let's hear from the leaders of the creative world.</v>
      </c>
      <c r="C4" s="10" t="str">
        <f>IFERROR(__xludf.DUMMYFUNCTION("""COMPUTED_VALUE"""),"PandaConf")</f>
        <v>PandaConf</v>
      </c>
      <c r="D4" s="10" t="str">
        <f>IFERROR(__xludf.DUMMYFUNCTION("""COMPUTED_VALUE"""),"Mel Edwards, Sairah Ashman, Brian Collins and Michelle Castillo")</f>
        <v>Mel Edwards, Sairah Ashman, Brian Collins and Michelle Castillo</v>
      </c>
      <c r="E4" s="10" t="str">
        <f>IFERROR(__xludf.DUMMYFUNCTION("""COMPUTED_VALUE"""),"Mel Edwards,Sairah Ashman,Brian Collins,Michelle Castillo")</f>
        <v>Mel Edwards,Sairah Ashman,Brian Collins,Michelle Castillo</v>
      </c>
      <c r="F4" s="10" t="str">
        <f>IFERROR(__xludf.DUMMYFUNCTION("""COMPUTED_VALUE"""),"2019/11/05 12:10:00")</f>
        <v>2019/11/05 12:10:00</v>
      </c>
      <c r="G4" s="10" t="str">
        <f>IFERROR(__xludf.DUMMYFUNCTION("""COMPUTED_VALUE"""),"2019/11/05 12:35:00")</f>
        <v>2019/11/05 12:35:00</v>
      </c>
      <c r="H4" s="10" t="str">
        <f>IFERROR(__xludf.DUMMYFUNCTION("""COMPUTED_VALUE"""),"573ce78e-2bdf-41c6-a33f-860d08c777f3")</f>
        <v>573ce78e-2bdf-41c6-a33f-860d08c777f3</v>
      </c>
      <c r="I4" s="10" t="str">
        <f>IFERROR(__xludf.DUMMYFUNCTION("""COMPUTED_VALUE"""),"573ce78e-2bdf-41c6-a33f-860d08c777f3")</f>
        <v>573ce78e-2bdf-41c6-a33f-860d08c777f3</v>
      </c>
    </row>
    <row r="5">
      <c r="A5" s="10" t="str">
        <f>IFERROR(__xludf.DUMMYFUNCTION("""COMPUTED_VALUE"""),"Startup Showcase")</f>
        <v>Startup Showcase</v>
      </c>
      <c r="B5" s="10" t="str">
        <f>IFERROR(__xludf.DUMMYFUNCTION("""COMPUTED_VALUE"""),"On this brand new stage, expect quickfire presentations where startups will showcase their solutions to the future's biggest challenges. This hour focuses on  AI and data, covering topics like analytics, big data, ML processing and AI, computer vision, as"&amp;" well as AI-based applications in other sectors.
")</f>
        <v>On this brand new stage, expect quickfire presentations where startups will showcase their solutions to the future's biggest challenges. This hour focuses on  AI and data, covering topics like analytics, big data, ML processing and AI, computer vision, as well as AI-based applications in other sectors.
</v>
      </c>
      <c r="C5" s="10" t="str">
        <f>IFERROR(__xludf.DUMMYFUNCTION("""COMPUTED_VALUE"""),"Startup Showcase 2")</f>
        <v>Startup Showcase 2</v>
      </c>
      <c r="D5" s="10" t="str">
        <f>IFERROR(__xludf.DUMMYFUNCTION("""COMPUTED_VALUE"""),"Longzhen Han, Said Zadou, Heitor Fox, Jose Gonzalez, Fabiana Clemente, Sarah Faiz, Sergei Polevikov, Mari-Sanna Paukkeri, Gonçalo Ribeiro, Dmitry Gaiduk, Martin Hrisko, Ángel Cañestro, Travis Nadelhoffer, Jordy Aarts, Kristina Shimko, Stephen Longo, David"&amp;" Brami, Zaki Darouzi, Rui Teixeira Alves, Antoine Aarts, Kamil Borowik, Hiroki Imabayashi, Carlos Albo, Omid Asgari, Jakub Manas, Manuel Dominguez, Yusuke Maruyama, Tashfin Shafique, Michal Kiezik, Rebeca Jimenez, Benjamin Dight, Maxim Yatskevich, Benjami"&amp;"n Benichou, Simon Brami, Sandeep Mehta, Johannes King, Janne Huuskonen, Javier Cañestro, Giada Zanatta, Mariia Silina, Mizan Rahman, Alexander Thielecke, Madan Raj Rajagopal, Alexander Uhlig, Martin Cvicek, Miks Vasiljevs and Tuukka Josefsson")</f>
        <v>Longzhen Han, Said Zadou, Heitor Fox, Jose Gonzalez, Fabiana Clemente, Sarah Faiz, Sergei Polevikov, Mari-Sanna Paukkeri, Gonçalo Ribeiro, Dmitry Gaiduk, Martin Hrisko, Ángel Cañestro, Travis Nadelhoffer, Jordy Aarts, Kristina Shimko, Stephen Longo, David Brami, Zaki Darouzi, Rui Teixeira Alves, Antoine Aarts, Kamil Borowik, Hiroki Imabayashi, Carlos Albo, Omid Asgari, Jakub Manas, Manuel Dominguez, Yusuke Maruyama, Tashfin Shafique, Michal Kiezik, Rebeca Jimenez, Benjamin Dight, Maxim Yatskevich, Benjamin Benichou, Simon Brami, Sandeep Mehta, Johannes King, Janne Huuskonen, Javier Cañestro, Giada Zanatta, Mariia Silina, Mizan Rahman, Alexander Thielecke, Madan Raj Rajagopal, Alexander Uhlig, Martin Cvicek, Miks Vasiljevs and Tuukka Josefsson</v>
      </c>
      <c r="E5" s="10" t="str">
        <f>IFERROR(__xludf.DUMMYFUNCTION("""COMPUTED_VALUE"""),"Longzhen Han,Said Zadou,Heitor Fox,Jose Gonzalez,Fabiana Clemente,Sarah Faiz,Sergei Polevikov,Mari-Sanna Paukkeri,Gonçalo Ribeiro,Dmitry Gaiduk,Martin Hrisko,Ángel Cañestro,Travis Nadelhoffer,Jordy Aarts,Kristina Shimko,Stephen Longo,David Brami,Zaki Daro"&amp;"uzi,Rui Teixeira Alves,Antoine Aarts,Kamil Borowik,Hiroki Imabayashi,Carlos Albo,Omid Asgari,Jakub Manas,Manuel Dominguez,Yusuke Maruyama,Tashfin Shafique,Michal Kiezik,Rebeca Jimenez,Benjamin Dight,Maxim Yatskevich,Benjamin Benichou,Simon Brami,Sandeep M"&amp;"ehta,Johannes King,Janne Huuskonen,Javier Cañestro,Giada Zanatta,Mariia Silina,Mizan Rahman,Alexander Thielecke,Madan Raj Rajagopal,Alexander Uhlig,Martin Cvicek,Miks Vasiljevs,Tuukka Josefsson")</f>
        <v>Longzhen Han,Said Zadou,Heitor Fox,Jose Gonzalez,Fabiana Clemente,Sarah Faiz,Sergei Polevikov,Mari-Sanna Paukkeri,Gonçalo Ribeiro,Dmitry Gaiduk,Martin Hrisko,Ángel Cañestro,Travis Nadelhoffer,Jordy Aarts,Kristina Shimko,Stephen Longo,David Brami,Zaki Darouzi,Rui Teixeira Alves,Antoine Aarts,Kamil Borowik,Hiroki Imabayashi,Carlos Albo,Omid Asgari,Jakub Manas,Manuel Dominguez,Yusuke Maruyama,Tashfin Shafique,Michal Kiezik,Rebeca Jimenez,Benjamin Dight,Maxim Yatskevich,Benjamin Benichou,Simon Brami,Sandeep Mehta,Johannes King,Janne Huuskonen,Javier Cañestro,Giada Zanatta,Mariia Silina,Mizan Rahman,Alexander Thielecke,Madan Raj Rajagopal,Alexander Uhlig,Martin Cvicek,Miks Vasiljevs,Tuukka Josefsson</v>
      </c>
      <c r="F5" s="10" t="str">
        <f>IFERROR(__xludf.DUMMYFUNCTION("""COMPUTED_VALUE"""),"2019/11/07 16:15:00")</f>
        <v>2019/11/07 16:15:00</v>
      </c>
      <c r="G5" s="10" t="str">
        <f>IFERROR(__xludf.DUMMYFUNCTION("""COMPUTED_VALUE"""),"2019/11/07 17:15:00")</f>
        <v>2019/11/07 17:15:00</v>
      </c>
      <c r="H5" s="10" t="str">
        <f>IFERROR(__xludf.DUMMYFUNCTION("""COMPUTED_VALUE"""),"b86770fb-b821-48b5-856c-0354464bf35a")</f>
        <v>b86770fb-b821-48b5-856c-0354464bf35a</v>
      </c>
      <c r="I5" s="10" t="str">
        <f>IFERROR(__xludf.DUMMYFUNCTION("""COMPUTED_VALUE"""),"b86770fb-b821-48b5-856c-0354464bf35a")</f>
        <v>b86770fb-b821-48b5-856c-0354464bf35a</v>
      </c>
    </row>
    <row r="6">
      <c r="A6" s="10" t="str">
        <f>IFERROR(__xludf.DUMMYFUNCTION("""COMPUTED_VALUE"""),"Going global")</f>
        <v>Going global</v>
      </c>
      <c r="B6" s="10" t="str">
        <f>IFERROR(__xludf.DUMMYFUNCTION("""COMPUTED_VALUE"""),"Hear from Adludio CEO, Paul Coggins, on going global, and the challenges startups and scale ups face in opening offices overseas and where those offices should be based. ")</f>
        <v>Hear from Adludio CEO, Paul Coggins, on going global, and the challenges startups and scale ups face in opening offices overseas and where those offices should be based. </v>
      </c>
      <c r="C6" s="10" t="str">
        <f>IFERROR(__xludf.DUMMYFUNCTION("""COMPUTED_VALUE"""),"Growth Summit")</f>
        <v>Growth Summit</v>
      </c>
      <c r="D6" s="10" t="str">
        <f>IFERROR(__xludf.DUMMYFUNCTION("""COMPUTED_VALUE"""),"Paul Coggins")</f>
        <v>Paul Coggins</v>
      </c>
      <c r="E6" s="10" t="str">
        <f>IFERROR(__xludf.DUMMYFUNCTION("""COMPUTED_VALUE"""),"Paul Coggins")</f>
        <v>Paul Coggins</v>
      </c>
      <c r="F6" s="10" t="str">
        <f>IFERROR(__xludf.DUMMYFUNCTION("""COMPUTED_VALUE"""),"2019/11/07 10:34:00")</f>
        <v>2019/11/07 10:34:00</v>
      </c>
      <c r="G6" s="10" t="str">
        <f>IFERROR(__xludf.DUMMYFUNCTION("""COMPUTED_VALUE"""),"2019/11/07 10:38:00")</f>
        <v>2019/11/07 10:38:00</v>
      </c>
      <c r="H6" s="10" t="str">
        <f>IFERROR(__xludf.DUMMYFUNCTION("""COMPUTED_VALUE"""),"96b9f7e2-775d-408a-a509-3b78d464126f")</f>
        <v>96b9f7e2-775d-408a-a509-3b78d464126f</v>
      </c>
      <c r="I6" s="10" t="str">
        <f>IFERROR(__xludf.DUMMYFUNCTION("""COMPUTED_VALUE"""),"96b9f7e2-775d-408a-a509-3b78d464126f")</f>
        <v>96b9f7e2-775d-408a-a509-3b78d464126f</v>
      </c>
    </row>
    <row r="7">
      <c r="A7" s="10" t="str">
        <f>IFERROR(__xludf.DUMMYFUNCTION("""COMPUTED_VALUE"""),"Lunch break")</f>
        <v>Lunch break</v>
      </c>
      <c r="B7" s="10" t="str">
        <f>IFERROR(__xludf.DUMMYFUNCTION("""COMPUTED_VALUE"""),"")</f>
        <v/>
      </c>
      <c r="C7" s="10" t="str">
        <f>IFERROR(__xludf.DUMMYFUNCTION("""COMPUTED_VALUE"""),"Future Societies")</f>
        <v>Future Societies</v>
      </c>
      <c r="D7" s="10" t="str">
        <f>IFERROR(__xludf.DUMMYFUNCTION("""COMPUTED_VALUE"""),"")</f>
        <v/>
      </c>
      <c r="E7" s="10" t="str">
        <f>IFERROR(__xludf.DUMMYFUNCTION("""COMPUTED_VALUE"""),"")</f>
        <v/>
      </c>
      <c r="F7" s="10" t="str">
        <f>IFERROR(__xludf.DUMMYFUNCTION("""COMPUTED_VALUE"""),"2019/11/05 12:10:00")</f>
        <v>2019/11/05 12:10:00</v>
      </c>
      <c r="G7" s="10" t="str">
        <f>IFERROR(__xludf.DUMMYFUNCTION("""COMPUTED_VALUE"""),"2019/11/05 12:53:00")</f>
        <v>2019/11/05 12:53:00</v>
      </c>
      <c r="H7" s="10" t="str">
        <f>IFERROR(__xludf.DUMMYFUNCTION("""COMPUTED_VALUE"""),"aa326a5b-0ebc-41e4-ac88-b468893a93c1")</f>
        <v>aa326a5b-0ebc-41e4-ac88-b468893a93c1</v>
      </c>
      <c r="I7" s="10" t="str">
        <f>IFERROR(__xludf.DUMMYFUNCTION("""COMPUTED_VALUE"""),"aa326a5b-0ebc-41e4-ac88-b468893a93c1")</f>
        <v>aa326a5b-0ebc-41e4-ac88-b468893a93c1</v>
      </c>
    </row>
    <row r="8">
      <c r="A8" s="10" t="str">
        <f>IFERROR(__xludf.DUMMYFUNCTION("""COMPUTED_VALUE"""),"Harmonising urban mobility, hosted by HERE Technologies")</f>
        <v>Harmonising urban mobility, hosted by HERE Technologies</v>
      </c>
      <c r="B8" s="10" t="str">
        <f>IFERROR(__xludf.DUMMYFUNCTION("""COMPUTED_VALUE"""),"How can location data and location technology harmonise urban mobility? Learn how HERE is supporting industry needs and solving real-world problems for companies, customers and our partners.")</f>
        <v>How can location data and location technology harmonise urban mobility? Learn how HERE is supporting industry needs and solving real-world problems for companies, customers and our partners.</v>
      </c>
      <c r="C8" s="10" t="str">
        <f>IFERROR(__xludf.DUMMYFUNCTION("""COMPUTED_VALUE"""),"Workshop 4")</f>
        <v>Workshop 4</v>
      </c>
      <c r="D8" s="10" t="str">
        <f>IFERROR(__xludf.DUMMYFUNCTION("""COMPUTED_VALUE"""),"")</f>
        <v/>
      </c>
      <c r="E8" s="10" t="str">
        <f>IFERROR(__xludf.DUMMYFUNCTION("""COMPUTED_VALUE"""),"")</f>
        <v/>
      </c>
      <c r="F8" s="10" t="str">
        <f>IFERROR(__xludf.DUMMYFUNCTION("""COMPUTED_VALUE"""),"2019/11/07 12:15:00")</f>
        <v>2019/11/07 12:15:00</v>
      </c>
      <c r="G8" s="10" t="str">
        <f>IFERROR(__xludf.DUMMYFUNCTION("""COMPUTED_VALUE"""),"2019/11/07 13:15:00")</f>
        <v>2019/11/07 13:15:00</v>
      </c>
      <c r="H8" s="10" t="str">
        <f>IFERROR(__xludf.DUMMYFUNCTION("""COMPUTED_VALUE"""),"e43614c7-bf50-4f37-9dc7-9e7b604bd5ac")</f>
        <v>e43614c7-bf50-4f37-9dc7-9e7b604bd5ac</v>
      </c>
      <c r="I8" s="10" t="str">
        <f>IFERROR(__xludf.DUMMYFUNCTION("""COMPUTED_VALUE"""),"e43614c7-bf50-4f37-9dc7-9e7b604bd5ac")</f>
        <v>e43614c7-bf50-4f37-9dc7-9e7b604bd5ac</v>
      </c>
    </row>
    <row r="9">
      <c r="A9" s="10" t="str">
        <f>IFERROR(__xludf.DUMMYFUNCTION("""COMPUTED_VALUE"""),"How we got corporate treasurers to trust us more than their banks")</f>
        <v>How we got corporate treasurers to trust us more than their banks</v>
      </c>
      <c r="B9" s="10" t="str">
        <f>IFERROR(__xludf.DUMMYFUNCTION("""COMPUTED_VALUE"""),"Anders, founder and CEO of Just, will talk about how Just uses trust and transparency as a competitive advantage in the enterprise B2B software market.")</f>
        <v>Anders, founder and CEO of Just, will talk about how Just uses trust and transparency as a competitive advantage in the enterprise B2B software market.</v>
      </c>
      <c r="C9" s="10" t="str">
        <f>IFERROR(__xludf.DUMMYFUNCTION("""COMPUTED_VALUE"""),"Growth Summit")</f>
        <v>Growth Summit</v>
      </c>
      <c r="D9" s="10" t="str">
        <f>IFERROR(__xludf.DUMMYFUNCTION("""COMPUTED_VALUE"""),"Anders Nicolai Bakke")</f>
        <v>Anders Nicolai Bakke</v>
      </c>
      <c r="E9" s="10" t="str">
        <f>IFERROR(__xludf.DUMMYFUNCTION("""COMPUTED_VALUE"""),"Anders Nicolai Bakke")</f>
        <v>Anders Nicolai Bakke</v>
      </c>
      <c r="F9" s="10" t="str">
        <f>IFERROR(__xludf.DUMMYFUNCTION("""COMPUTED_VALUE"""),"2019/11/07 10:50:00")</f>
        <v>2019/11/07 10:50:00</v>
      </c>
      <c r="G9" s="10" t="str">
        <f>IFERROR(__xludf.DUMMYFUNCTION("""COMPUTED_VALUE"""),"2019/11/07 10:54:00")</f>
        <v>2019/11/07 10:54:00</v>
      </c>
      <c r="H9" s="10" t="str">
        <f>IFERROR(__xludf.DUMMYFUNCTION("""COMPUTED_VALUE"""),"28dfd30c-11ce-43b7-a067-a820ed35146d")</f>
        <v>28dfd30c-11ce-43b7-a067-a820ed35146d</v>
      </c>
      <c r="I9" s="10" t="str">
        <f>IFERROR(__xludf.DUMMYFUNCTION("""COMPUTED_VALUE"""),"28dfd30c-11ce-43b7-a067-a820ed35146d")</f>
        <v>28dfd30c-11ce-43b7-a067-a820ed35146d</v>
      </c>
    </row>
    <row r="10">
      <c r="A10" s="10" t="str">
        <f>IFERROR(__xludf.DUMMYFUNCTION("""COMPUTED_VALUE"""),"Startup Showcase")</f>
        <v>Startup Showcase</v>
      </c>
      <c r="B10" s="10" t="str">
        <f>IFERROR(__xludf.DUMMYFUNCTION("""COMPUTED_VALUE"""),"On this brand new stage, expect quickfire presentations where startups will showcase their solutions to the future's biggest challenges. This hour focuses on the consumer, covering topics like lifestyle, B2C And C2C, entertainment and social apps
")</f>
        <v>On this brand new stage, expect quickfire presentations where startups will showcase their solutions to the future's biggest challenges. This hour focuses on the consumer, covering topics like lifestyle, B2C And C2C, entertainment and social apps
</v>
      </c>
      <c r="C10" s="10" t="str">
        <f>IFERROR(__xludf.DUMMYFUNCTION("""COMPUTED_VALUE"""),"Startup Showcase 3")</f>
        <v>Startup Showcase 3</v>
      </c>
      <c r="D10" s="10" t="str">
        <f>IFERROR(__xludf.DUMMYFUNCTION("""COMPUTED_VALUE"""),"Chris McClelland, Raakin Iqbal, Victor Coutinho, Madalena Pestana, Denis Borisov, Julie Kinsella, Age Viks, Artur Fjodorov, Sara Partridge, Mikhail Gavrilov, Innokenty  Nesterenko, Märt Pikkani, Matteo Albrizio, Paulo Mauricio, Irvin Kendall, Paulo Barroc"&amp;"as, Álvaro Freire, Igor Leontiev, Carlos Estévez, Sabine Wiederhold, Varun Gajjar, Vadym Syliava, Sergio García, Jakob Knutzen, francesco bertani, Ian De Bolle, Marloes Decraemer, Bruno Vide, Ricardo Carvalho, Nuno Santos, Sietse-arne schelpe, Jeroen Van "&amp;"Raemdonck, Christian Alexander Vasco Bertoia, Pasquale Ragozzino, Keivan Francesco  Djafari Zad, Ivo Hoogveld, Nirali Shah, Soham Thacker, Miha Jagodic, João Lopes, Stefano Andreani, Miguel Gallo, Daniil Mazepin, Mateus Viegas, Guillermo Urquijo, Marlee D"&amp;"urand, Andreas Piculell, Nicolò Santin and Adriaan De Bolle")</f>
        <v>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Nicolò Santin and Adriaan De Bolle</v>
      </c>
      <c r="E10" s="10" t="str">
        <f>IFERROR(__xludf.DUMMYFUNCTION("""COMPUTED_VALUE"""),"Chris McClelland,Raakin Iqbal,Victor Coutinho,Madalena Pestana,Denis Borisov,Julie Kinsella,Age Viks,Artur Fjodorov,Sara Partridge,Mikhail Gavrilov,Innokenty  Nesterenko,Märt Pikkani,Matteo Albrizio,Paulo Mauricio,Irvin Kendall,Paulo Barrocas,Álvaro Freir"&amp;"e,Igor Leontiev,Carlos Estévez,Sabine Wiederhold,Varun Gajjar,Vadym Syliava,Sergio García,Jakob Knutzen,francesco bertani,Ian De Bolle,Marloes Decraemer,Bruno Vide,Ricardo Carvalho,Nuno Santos,Sietse-arne schelpe,Jeroen Van Raemdonck,Christian Alexander V"&amp;"asco Bertoia,Pasquale Ragozzino,Keivan Francesco  Djafari Zad,Ivo Hoogveld,Nirali Shah,Soham Thacker,Miha Jagodic,João Lopes,Stefano Andreani,Miguel Gallo,Daniil Mazepin,Mateus Viegas,Guillermo Urquijo,Marlee Durand,Andreas Piculell,Nicolò Santin,Adriaan "&amp;"De Bolle")</f>
        <v>Chris McClelland,Raakin Iqbal,Victor Coutinho,Madalena Pestana,Denis Borisov,Julie Kinsella,Age Viks,Artur Fjodorov,Sara Partridge,Mikhail Gavrilov,Innokenty  Nesterenko,Märt Pikkani,Matteo Albrizio,Paulo Mauricio,Irvin Kendall,Paulo Barrocas,Álvaro Freire,Igor Leontiev,Carlos Estévez,Sabine Wiederhold,Varun Gajjar,Vadym Syliava,Sergio García,Jakob Knutzen,francesco bertani,Ian De Bolle,Marloes Decraemer,Bruno Vide,Ricardo Carvalho,Nuno Santos,Sietse-arne schelpe,Jeroen Van Raemdonck,Christian Alexander Vasco Bertoia,Pasquale Ragozzino,Keivan Francesco  Djafari Zad,Ivo Hoogveld,Nirali Shah,Soham Thacker,Miha Jagodic,João Lopes,Stefano Andreani,Miguel Gallo,Daniil Mazepin,Mateus Viegas,Guillermo Urquijo,Marlee Durand,Andreas Piculell,Nicolò Santin,Adriaan De Bolle</v>
      </c>
      <c r="F10" s="10" t="str">
        <f>IFERROR(__xludf.DUMMYFUNCTION("""COMPUTED_VALUE"""),"2019/11/07 11:15:00")</f>
        <v>2019/11/07 11:15:00</v>
      </c>
      <c r="G10" s="10" t="str">
        <f>IFERROR(__xludf.DUMMYFUNCTION("""COMPUTED_VALUE"""),"2019/11/07 12:15:00")</f>
        <v>2019/11/07 12:15:00</v>
      </c>
      <c r="H10" s="10" t="str">
        <f>IFERROR(__xludf.DUMMYFUNCTION("""COMPUTED_VALUE"""),"f5093f75-d9b0-4520-a097-0384f6e7b58b")</f>
        <v>f5093f75-d9b0-4520-a097-0384f6e7b58b</v>
      </c>
      <c r="I10" s="10" t="str">
        <f>IFERROR(__xludf.DUMMYFUNCTION("""COMPUTED_VALUE"""),"f5093f75-d9b0-4520-a097-0384f6e7b58b")</f>
        <v>f5093f75-d9b0-4520-a097-0384f6e7b58b</v>
      </c>
    </row>
    <row r="11">
      <c r="A11" s="10" t="str">
        <f>IFERROR(__xludf.DUMMYFUNCTION("""COMPUTED_VALUE"""),"How to spot that special something")</f>
        <v>How to spot that special something</v>
      </c>
      <c r="B11" s="10" t="str">
        <f>IFERROR(__xludf.DUMMYFUNCTION("""COMPUTED_VALUE"""),"Our panel of experts shed light on the real reasons they pass on a startup and what makes them invest in you.")</f>
        <v>Our panel of experts shed light on the real reasons they pass on a startup and what makes them invest in you.</v>
      </c>
      <c r="C11" s="10" t="str">
        <f>IFERROR(__xludf.DUMMYFUNCTION("""COMPUTED_VALUE"""),"Venture stage")</f>
        <v>Venture stage</v>
      </c>
      <c r="D11" s="10" t="str">
        <f>IFERROR(__xludf.DUMMYFUNCTION("""COMPUTED_VALUE"""),"Jackey Wang, Nick Coronges, Carlos Silva and Jeremy Goldman")</f>
        <v>Jackey Wang, Nick Coronges, Carlos Silva and Jeremy Goldman</v>
      </c>
      <c r="E11" s="10" t="str">
        <f>IFERROR(__xludf.DUMMYFUNCTION("""COMPUTED_VALUE"""),"Jackey Wang,Nick Coronges,Carlos Silva,Jeremy Goldman")</f>
        <v>Jackey Wang,Nick Coronges,Carlos Silva,Jeremy Goldman</v>
      </c>
      <c r="F11" s="10" t="str">
        <f>IFERROR(__xludf.DUMMYFUNCTION("""COMPUTED_VALUE"""),"2019/11/07 15:20:00")</f>
        <v>2019/11/07 15:20:00</v>
      </c>
      <c r="G11" s="10" t="str">
        <f>IFERROR(__xludf.DUMMYFUNCTION("""COMPUTED_VALUE"""),"2019/11/07 15:40:00")</f>
        <v>2019/11/07 15:40:00</v>
      </c>
      <c r="H11" s="10" t="str">
        <f>IFERROR(__xludf.DUMMYFUNCTION("""COMPUTED_VALUE"""),"46765f3b-4ab8-4f7f-b3b8-9a45ba14b21e")</f>
        <v>46765f3b-4ab8-4f7f-b3b8-9a45ba14b21e</v>
      </c>
      <c r="I11" s="10" t="str">
        <f>IFERROR(__xludf.DUMMYFUNCTION("""COMPUTED_VALUE"""),"46765f3b-4ab8-4f7f-b3b8-9a45ba14b21e")</f>
        <v>46765f3b-4ab8-4f7f-b3b8-9a45ba14b21e</v>
      </c>
    </row>
    <row r="12">
      <c r="A12" s="10" t="str">
        <f>IFERROR(__xludf.DUMMYFUNCTION("""COMPUTED_VALUE"""),"How much? Metrics for measuring success")</f>
        <v>How much? Metrics for measuring success</v>
      </c>
      <c r="B12" s="10" t="str">
        <f>IFERROR(__xludf.DUMMYFUNCTION("""COMPUTED_VALUE"""),"What are the metrics that really matter when evaluating emerging startups? Join our session to find out more.")</f>
        <v>What are the metrics that really matter when evaluating emerging startups? Join our session to find out more.</v>
      </c>
      <c r="C12" s="10" t="str">
        <f>IFERROR(__xludf.DUMMYFUNCTION("""COMPUTED_VALUE"""),"Venture stage")</f>
        <v>Venture stage</v>
      </c>
      <c r="D12" s="10" t="str">
        <f>IFERROR(__xludf.DUMMYFUNCTION("""COMPUTED_VALUE"""),"Lars Fjeldsoe-Nielsen, Tony Zappala and Arnaud Bonzom")</f>
        <v>Lars Fjeldsoe-Nielsen, Tony Zappala and Arnaud Bonzom</v>
      </c>
      <c r="E12" s="10" t="str">
        <f>IFERROR(__xludf.DUMMYFUNCTION("""COMPUTED_VALUE"""),"Lars Fjeldsoe-Nielsen,Tony Zappala,Arnaud Bonzom")</f>
        <v>Lars Fjeldsoe-Nielsen,Tony Zappala,Arnaud Bonzom</v>
      </c>
      <c r="F12" s="10" t="str">
        <f>IFERROR(__xludf.DUMMYFUNCTION("""COMPUTED_VALUE"""),"2019/11/07 11:10:00")</f>
        <v>2019/11/07 11:10:00</v>
      </c>
      <c r="G12" s="10" t="str">
        <f>IFERROR(__xludf.DUMMYFUNCTION("""COMPUTED_VALUE"""),"2019/11/07 11:35:00")</f>
        <v>2019/11/07 11:35:00</v>
      </c>
      <c r="H12" s="10" t="str">
        <f>IFERROR(__xludf.DUMMYFUNCTION("""COMPUTED_VALUE"""),"dca718fa-55c2-42d7-8fc6-19759d50558c")</f>
        <v>dca718fa-55c2-42d7-8fc6-19759d50558c</v>
      </c>
      <c r="I12" s="10" t="str">
        <f>IFERROR(__xludf.DUMMYFUNCTION("""COMPUTED_VALUE"""),"dca718fa-55c2-42d7-8fc6-19759d50558c")</f>
        <v>dca718fa-55c2-42d7-8fc6-19759d50558c</v>
      </c>
    </row>
    <row r="13">
      <c r="A13" s="10" t="str">
        <f>IFERROR(__xludf.DUMMYFUNCTION("""COMPUTED_VALUE"""),"Q&amp;A Session with Mikhaila Peterson")</f>
        <v>Q&amp;A Session with Mikhaila Peterson</v>
      </c>
      <c r="B13" s="10" t="str">
        <f>IFERROR(__xludf.DUMMYFUNCTION("""COMPUTED_VALUE"""),"")</f>
        <v/>
      </c>
      <c r="C13" s="10" t="str">
        <f>IFERROR(__xludf.DUMMYFUNCTION("""COMPUTED_VALUE"""),"")</f>
        <v/>
      </c>
      <c r="D13" s="10" t="str">
        <f>IFERROR(__xludf.DUMMYFUNCTION("""COMPUTED_VALUE"""),"Mikhaila Peterson")</f>
        <v>Mikhaila Peterson</v>
      </c>
      <c r="E13" s="10" t="str">
        <f>IFERROR(__xludf.DUMMYFUNCTION("""COMPUTED_VALUE"""),"Mikhaila Peterson")</f>
        <v>Mikhaila Peterson</v>
      </c>
      <c r="F13" s="10" t="str">
        <f>IFERROR(__xludf.DUMMYFUNCTION("""COMPUTED_VALUE"""),"")</f>
        <v/>
      </c>
      <c r="G13" s="10" t="str">
        <f>IFERROR(__xludf.DUMMYFUNCTION("""COMPUTED_VALUE"""),"")</f>
        <v/>
      </c>
      <c r="H13" s="10" t="str">
        <f>IFERROR(__xludf.DUMMYFUNCTION("""COMPUTED_VALUE"""),"000ceda5-142d-5dba-997e-68d11e8c805d")</f>
        <v>000ceda5-142d-5dba-997e-68d11e8c805d</v>
      </c>
      <c r="I13" s="10" t="str">
        <f>IFERROR(__xludf.DUMMYFUNCTION("""COMPUTED_VALUE"""),"000ceda5-142d-5dba-997e-68d11e8c805d")</f>
        <v>000ceda5-142d-5dba-997e-68d11e8c805d</v>
      </c>
    </row>
    <row r="14">
      <c r="A14" s="10" t="str">
        <f>IFERROR(__xludf.DUMMYFUNCTION("""COMPUTED_VALUE"""),"Will tech be the downfall of luxury?")</f>
        <v>Will tech be the downfall of luxury?</v>
      </c>
      <c r="B14" s="10" t="str">
        <f>IFERROR(__xludf.DUMMYFUNCTION("""COMPUTED_VALUE"""),"What happens when luxury is available to everyone? Is it even luxury anymore? This panel will tackle the changing nature of luxury as fashion becomes recyclable and brick-and-mortar stores lose their exclusive status. ")</f>
        <v>What happens when luxury is available to everyone? Is it even luxury anymore? This panel will tackle the changing nature of luxury as fashion becomes recyclable and brick-and-mortar stores lose their exclusive status. </v>
      </c>
      <c r="C14" s="10" t="str">
        <f>IFERROR(__xludf.DUMMYFUNCTION("""COMPUTED_VALUE"""),"Modum")</f>
        <v>Modum</v>
      </c>
      <c r="D14" s="10" t="str">
        <f>IFERROR(__xludf.DUMMYFUNCTION("""COMPUTED_VALUE"""),"Josh Luber, Josh Builder and Maghan McDowell")</f>
        <v>Josh Luber, Josh Builder and Maghan McDowell</v>
      </c>
      <c r="E14" s="10" t="str">
        <f>IFERROR(__xludf.DUMMYFUNCTION("""COMPUTED_VALUE"""),"Josh Luber,Josh Builder,Maghan McDowell")</f>
        <v>Josh Luber,Josh Builder,Maghan McDowell</v>
      </c>
      <c r="F14" s="10" t="str">
        <f>IFERROR(__xludf.DUMMYFUNCTION("""COMPUTED_VALUE"""),"2019/11/07 11:55:00")</f>
        <v>2019/11/07 11:55:00</v>
      </c>
      <c r="G14" s="10" t="str">
        <f>IFERROR(__xludf.DUMMYFUNCTION("""COMPUTED_VALUE"""),"2019/11/07 12:15:00")</f>
        <v>2019/11/07 12:15:00</v>
      </c>
      <c r="H14" s="10" t="str">
        <f>IFERROR(__xludf.DUMMYFUNCTION("""COMPUTED_VALUE"""),"68eae125-59cb-4b05-ae94-556cedf8be73")</f>
        <v>68eae125-59cb-4b05-ae94-556cedf8be73</v>
      </c>
      <c r="I14" s="10" t="str">
        <f>IFERROR(__xludf.DUMMYFUNCTION("""COMPUTED_VALUE"""),"68eae125-59cb-4b05-ae94-556cedf8be73")</f>
        <v>68eae125-59cb-4b05-ae94-556cedf8be73</v>
      </c>
    </row>
    <row r="15">
      <c r="A15" s="10" t="str">
        <f>IFERROR(__xludf.DUMMYFUNCTION("""COMPUTED_VALUE"""),"From zero to global: A super-scaling story ")</f>
        <v>From zero to global: A super-scaling story </v>
      </c>
      <c r="B15" s="10" t="str">
        <f>IFERROR(__xludf.DUMMYFUNCTION("""COMPUTED_VALUE"""),"A $4bn dollar startup and one of the most widely read titles in the U.S talk about reaching your audience in every corner of the globe, one city, and one device, at a time. ")</f>
        <v>A $4bn dollar startup and one of the most widely read titles in the U.S talk about reaching your audience in every corner of the globe, one city, and one device, at a time. </v>
      </c>
      <c r="C15" s="10" t="str">
        <f>IFERROR(__xludf.DUMMYFUNCTION("""COMPUTED_VALUE"""),"Startup University")</f>
        <v>Startup University</v>
      </c>
      <c r="D15" s="10" t="str">
        <f>IFERROR(__xludf.DUMMYFUNCTION("""COMPUTED_VALUE"""),"Juan Pablo Ortega, Emilio Garcia - Ruiz and Jeremy Kahn")</f>
        <v>Juan Pablo Ortega, Emilio Garcia - Ruiz and Jeremy Kahn</v>
      </c>
      <c r="E15" s="10" t="str">
        <f>IFERROR(__xludf.DUMMYFUNCTION("""COMPUTED_VALUE"""),"Juan Pablo Ortega,Emilio Garcia - Ruiz,Jeremy Kahn")</f>
        <v>Juan Pablo Ortega,Emilio Garcia - Ruiz,Jeremy Kahn</v>
      </c>
      <c r="F15" s="10" t="str">
        <f>IFERROR(__xludf.DUMMYFUNCTION("""COMPUTED_VALUE"""),"2019/11/05 11:55:00")</f>
        <v>2019/11/05 11:55:00</v>
      </c>
      <c r="G15" s="10" t="str">
        <f>IFERROR(__xludf.DUMMYFUNCTION("""COMPUTED_VALUE"""),"2019/11/05 12:20:00")</f>
        <v>2019/11/05 12:20:00</v>
      </c>
      <c r="H15" s="10" t="str">
        <f>IFERROR(__xludf.DUMMYFUNCTION("""COMPUTED_VALUE"""),"4046ae23-4247-4fe8-8f0b-b610a0fcc31c")</f>
        <v>4046ae23-4247-4fe8-8f0b-b610a0fcc31c</v>
      </c>
      <c r="I15" s="10" t="str">
        <f>IFERROR(__xludf.DUMMYFUNCTION("""COMPUTED_VALUE"""),"4046ae23-4247-4fe8-8f0b-b610a0fcc31c")</f>
        <v>4046ae23-4247-4fe8-8f0b-b610a0fcc31c</v>
      </c>
    </row>
    <row r="16">
      <c r="A16" s="10" t="str">
        <f>IFERROR(__xludf.DUMMYFUNCTION("""COMPUTED_VALUE"""),"A bold move? Insights from our journey to be a leading multiservice mobility provider in Europe")</f>
        <v>A bold move? Insights from our journey to be a leading multiservice mobility provider in Europe</v>
      </c>
      <c r="B16" s="10" t="str">
        <f>IFERROR(__xludf.DUMMYFUNCTION("""COMPUTED_VALUE"""),"Urban areas are the accelerator for culture, tolerance, creativity, innovation and wealth. But mobility systems worldwide are on their way to breakdown. Did you know that an average Berliner is stuck in traffic for 105 hours a year? In London, commuting f"&amp;"eels more stressful than a dentist appointment. It is time to rethink urban mobility. ")</f>
        <v>Urban areas are the accelerator for culture, tolerance, creativity, innovation and wealth. But mobility systems worldwide are on their way to breakdown. Did you know that an average Berliner is stuck in traffic for 105 hours a year? In London, commuting feels more stressful than a dentist appointment. It is time to rethink urban mobility. </v>
      </c>
      <c r="C16" s="10" t="str">
        <f>IFERROR(__xludf.DUMMYFUNCTION("""COMPUTED_VALUE"""),"Auto/Tech &amp; TalkRobot")</f>
        <v>Auto/Tech &amp; TalkRobot</v>
      </c>
      <c r="D16" s="10" t="str">
        <f>IFERROR(__xludf.DUMMYFUNCTION("""COMPUTED_VALUE"""),"Marc Berg")</f>
        <v>Marc Berg</v>
      </c>
      <c r="E16" s="10" t="str">
        <f>IFERROR(__xludf.DUMMYFUNCTION("""COMPUTED_VALUE"""),"Marc Berg")</f>
        <v>Marc Berg</v>
      </c>
      <c r="F16" s="10" t="str">
        <f>IFERROR(__xludf.DUMMYFUNCTION("""COMPUTED_VALUE"""),"2019/11/06 15:20:00")</f>
        <v>2019/11/06 15:20:00</v>
      </c>
      <c r="G16" s="10" t="str">
        <f>IFERROR(__xludf.DUMMYFUNCTION("""COMPUTED_VALUE"""),"2019/11/06 15:40:00")</f>
        <v>2019/11/06 15:40:00</v>
      </c>
      <c r="H16" s="10" t="str">
        <f>IFERROR(__xludf.DUMMYFUNCTION("""COMPUTED_VALUE"""),"dd043b4c-6000-47fb-a67c-6547b28e85af")</f>
        <v>dd043b4c-6000-47fb-a67c-6547b28e85af</v>
      </c>
      <c r="I16" s="10" t="str">
        <f>IFERROR(__xludf.DUMMYFUNCTION("""COMPUTED_VALUE"""),"dd043b4c-6000-47fb-a67c-6547b28e85af")</f>
        <v>dd043b4c-6000-47fb-a67c-6547b28e85af</v>
      </c>
    </row>
    <row r="17">
      <c r="A17" s="10" t="str">
        <f>IFERROR(__xludf.DUMMYFUNCTION("""COMPUTED_VALUE"""),"Stitching fashion back together ")</f>
        <v>Stitching fashion back together </v>
      </c>
      <c r="B17" s="10" t="str">
        <f>IFERROR(__xludf.DUMMYFUNCTION("""COMPUTED_VALUE"""),"Join us as we uncover how PVH is taking a unique approach to implementing disruptive innovation along the Fashion Value Chain that will shape the industry for years to come")</f>
        <v>Join us as we uncover how PVH is taking a unique approach to implementing disruptive innovation along the Fashion Value Chain that will shape the industry for years to come</v>
      </c>
      <c r="C17" s="10" t="str">
        <f>IFERROR(__xludf.DUMMYFUNCTION("""COMPUTED_VALUE"""),"Corporate Innovation Summit")</f>
        <v>Corporate Innovation Summit</v>
      </c>
      <c r="D17" s="10" t="str">
        <f>IFERROR(__xludf.DUMMYFUNCTION("""COMPUTED_VALUE"""),"Anne-Christine Polet")</f>
        <v>Anne-Christine Polet</v>
      </c>
      <c r="E17" s="10" t="str">
        <f>IFERROR(__xludf.DUMMYFUNCTION("""COMPUTED_VALUE"""),"Anne-Christine Polet")</f>
        <v>Anne-Christine Polet</v>
      </c>
      <c r="F17" s="10" t="str">
        <f>IFERROR(__xludf.DUMMYFUNCTION("""COMPUTED_VALUE"""),"2019/11/05 12:00:00")</f>
        <v>2019/11/05 12:00:00</v>
      </c>
      <c r="G17" s="10" t="str">
        <f>IFERROR(__xludf.DUMMYFUNCTION("""COMPUTED_VALUE"""),"2019/11/05 12:20:00")</f>
        <v>2019/11/05 12:20:00</v>
      </c>
      <c r="H17" s="10" t="str">
        <f>IFERROR(__xludf.DUMMYFUNCTION("""COMPUTED_VALUE"""),"a40193d7-a95e-4545-8287-f4fdbe25511a")</f>
        <v>a40193d7-a95e-4545-8287-f4fdbe25511a</v>
      </c>
      <c r="I17" s="10" t="str">
        <f>IFERROR(__xludf.DUMMYFUNCTION("""COMPUTED_VALUE"""),"a40193d7-a95e-4545-8287-f4fdbe25511a")</f>
        <v>a40193d7-a95e-4545-8287-f4fdbe25511a</v>
      </c>
    </row>
    <row r="18">
      <c r="A18" s="10" t="str">
        <f>IFERROR(__xludf.DUMMYFUNCTION("""COMPUTED_VALUE"""),"Lunch break")</f>
        <v>Lunch break</v>
      </c>
      <c r="B18" s="10" t="str">
        <f>IFERROR(__xludf.DUMMYFUNCTION("""COMPUTED_VALUE"""),"")</f>
        <v/>
      </c>
      <c r="C18" s="10" t="str">
        <f>IFERROR(__xludf.DUMMYFUNCTION("""COMPUTED_VALUE"""),"Future Societies")</f>
        <v>Future Societies</v>
      </c>
      <c r="D18" s="10" t="str">
        <f>IFERROR(__xludf.DUMMYFUNCTION("""COMPUTED_VALUE"""),"")</f>
        <v/>
      </c>
      <c r="E18" s="10" t="str">
        <f>IFERROR(__xludf.DUMMYFUNCTION("""COMPUTED_VALUE"""),"")</f>
        <v/>
      </c>
      <c r="F18" s="10" t="str">
        <f>IFERROR(__xludf.DUMMYFUNCTION("""COMPUTED_VALUE"""),"2019/11/06 12:50:00")</f>
        <v>2019/11/06 12:50:00</v>
      </c>
      <c r="G18" s="10" t="str">
        <f>IFERROR(__xludf.DUMMYFUNCTION("""COMPUTED_VALUE"""),"2019/11/06 13:25:00")</f>
        <v>2019/11/06 13:25:00</v>
      </c>
      <c r="H18" s="10" t="str">
        <f>IFERROR(__xludf.DUMMYFUNCTION("""COMPUTED_VALUE"""),"468ffbce-ee73-433d-bb5f-5373baa2cfc3")</f>
        <v>468ffbce-ee73-433d-bb5f-5373baa2cfc3</v>
      </c>
      <c r="I18" s="10" t="str">
        <f>IFERROR(__xludf.DUMMYFUNCTION("""COMPUTED_VALUE"""),"468ffbce-ee73-433d-bb5f-5373baa2cfc3")</f>
        <v>468ffbce-ee73-433d-bb5f-5373baa2cfc3</v>
      </c>
    </row>
    <row r="19">
      <c r="A19" s="10" t="str">
        <f>IFERROR(__xludf.DUMMYFUNCTION("""COMPUTED_VALUE"""),"Kard: An old school growth story")</f>
        <v>Kard: An old school growth story</v>
      </c>
      <c r="B19" s="10" t="str">
        <f>IFERROR(__xludf.DUMMYFUNCTION("""COMPUTED_VALUE"""),"Kard empowers teens to take control over their money by offering them a bank that is cool, social, and free. Building a banking experience with a social twist also means growing a sense of belonging to a community. Join our talk to learn how Kard cracked "&amp;"growth and usage all over French high schools.")</f>
        <v>Kard empowers teens to take control over their money by offering them a bank that is cool, social, and free. Building a banking experience with a social twist also means growing a sense of belonging to a community. Join our talk to learn how Kard cracked growth and usage all over French high schools.</v>
      </c>
      <c r="C19" s="10" t="str">
        <f>IFERROR(__xludf.DUMMYFUNCTION("""COMPUTED_VALUE"""),"Growth Summit")</f>
        <v>Growth Summit</v>
      </c>
      <c r="D19" s="10" t="str">
        <f>IFERROR(__xludf.DUMMYFUNCTION("""COMPUTED_VALUE"""),"Scott Gordon")</f>
        <v>Scott Gordon</v>
      </c>
      <c r="E19" s="10" t="str">
        <f>IFERROR(__xludf.DUMMYFUNCTION("""COMPUTED_VALUE"""),"Scott Gordon")</f>
        <v>Scott Gordon</v>
      </c>
      <c r="F19" s="10" t="str">
        <f>IFERROR(__xludf.DUMMYFUNCTION("""COMPUTED_VALUE"""),"2019/11/07 11:30:00")</f>
        <v>2019/11/07 11:30:00</v>
      </c>
      <c r="G19" s="10" t="str">
        <f>IFERROR(__xludf.DUMMYFUNCTION("""COMPUTED_VALUE"""),"2019/11/07 11:34:00")</f>
        <v>2019/11/07 11:34:00</v>
      </c>
      <c r="H19" s="10" t="str">
        <f>IFERROR(__xludf.DUMMYFUNCTION("""COMPUTED_VALUE"""),"3a31d37f-408b-4df5-a086-b1512a7fda89")</f>
        <v>3a31d37f-408b-4df5-a086-b1512a7fda89</v>
      </c>
      <c r="I19" s="10" t="str">
        <f>IFERROR(__xludf.DUMMYFUNCTION("""COMPUTED_VALUE"""),"3a31d37f-408b-4df5-a086-b1512a7fda89")</f>
        <v>3a31d37f-408b-4df5-a086-b1512a7fda89</v>
      </c>
    </row>
    <row r="20">
      <c r="A20" s="10" t="str">
        <f>IFERROR(__xludf.DUMMYFUNCTION("""COMPUTED_VALUE"""),"Why innovation is key to the success of your company")</f>
        <v>Why innovation is key to the success of your company</v>
      </c>
      <c r="B20" s="10" t="str">
        <f>IFERROR(__xludf.DUMMYFUNCTION("""COMPUTED_VALUE"""),"CEO of Glowbl, Laurent, will outline why it's time to bring real life interactions into digital experiences. That's how an edtech startup like Glowbl, facing world-class competitors, makes the difference by mimicking human behaviour. ")</f>
        <v>CEO of Glowbl, Laurent, will outline why it's time to bring real life interactions into digital experiences. That's how an edtech startup like Glowbl, facing world-class competitors, makes the difference by mimicking human behaviour. </v>
      </c>
      <c r="C20" s="10" t="str">
        <f>IFERROR(__xludf.DUMMYFUNCTION("""COMPUTED_VALUE"""),"Growth Summit")</f>
        <v>Growth Summit</v>
      </c>
      <c r="D20" s="10" t="str">
        <f>IFERROR(__xludf.DUMMYFUNCTION("""COMPUTED_VALUE"""),"Laurent Souloumiac")</f>
        <v>Laurent Souloumiac</v>
      </c>
      <c r="E20" s="10" t="str">
        <f>IFERROR(__xludf.DUMMYFUNCTION("""COMPUTED_VALUE"""),"Laurent Souloumiac")</f>
        <v>Laurent Souloumiac</v>
      </c>
      <c r="F20" s="10" t="str">
        <f>IFERROR(__xludf.DUMMYFUNCTION("""COMPUTED_VALUE"""),"2019/11/05 10:22:00")</f>
        <v>2019/11/05 10:22:00</v>
      </c>
      <c r="G20" s="10" t="str">
        <f>IFERROR(__xludf.DUMMYFUNCTION("""COMPUTED_VALUE"""),"2019/11/05 10:26:00")</f>
        <v>2019/11/05 10:26:00</v>
      </c>
      <c r="H20" s="10" t="str">
        <f>IFERROR(__xludf.DUMMYFUNCTION("""COMPUTED_VALUE"""),"9abd472c-efa7-4678-9322-3d0a2485e955")</f>
        <v>9abd472c-efa7-4678-9322-3d0a2485e955</v>
      </c>
      <c r="I20" s="10" t="str">
        <f>IFERROR(__xludf.DUMMYFUNCTION("""COMPUTED_VALUE"""),"9abd472c-efa7-4678-9322-3d0a2485e955")</f>
        <v>9abd472c-efa7-4678-9322-3d0a2485e955</v>
      </c>
    </row>
    <row r="21">
      <c r="A21" s="10" t="str">
        <f>IFERROR(__xludf.DUMMYFUNCTION("""COMPUTED_VALUE"""),"Winter is here")</f>
        <v>Winter is here</v>
      </c>
      <c r="B21" s="10" t="str">
        <f>IFERROR(__xludf.DUMMYFUNCTION("""COMPUTED_VALUE"""),"We call them unicorns because they are so rare. However, these days as more and more companies rush to IPO we are seeing companies valued increasingly high. Is this being done to keep investors happy? Is overvaluation an issue? Our panel of experts will d"&amp;"iscuss the big financial issues circling tech.")</f>
        <v>We call them unicorns because they are so rare. However, these days as more and more companies rush to IPO we are seeing companies valued increasingly high. Is this being done to keep investors happy? Is overvaluation an issue? Our panel of experts will discuss the big financial issues circling tech.</v>
      </c>
      <c r="C21" s="10" t="str">
        <f>IFERROR(__xludf.DUMMYFUNCTION("""COMPUTED_VALUE"""),"SaaS Monster")</f>
        <v>SaaS Monster</v>
      </c>
      <c r="D21" s="10" t="str">
        <f>IFERROR(__xludf.DUMMYFUNCTION("""COMPUTED_VALUE"""),"Christina Bechhold Russ, Rashmi Gopinath, Philippe Botteri and Peter Thal Larsen")</f>
        <v>Christina Bechhold Russ, Rashmi Gopinath, Philippe Botteri and Peter Thal Larsen</v>
      </c>
      <c r="E21" s="10" t="str">
        <f>IFERROR(__xludf.DUMMYFUNCTION("""COMPUTED_VALUE"""),"Christina Bechhold Russ,Rashmi Gopinath,Philippe Botteri,Peter Thal Larsen")</f>
        <v>Christina Bechhold Russ,Rashmi Gopinath,Philippe Botteri,Peter Thal Larsen</v>
      </c>
      <c r="F21" s="10" t="str">
        <f>IFERROR(__xludf.DUMMYFUNCTION("""COMPUTED_VALUE"""),"2019/11/06 14:20:00")</f>
        <v>2019/11/06 14:20:00</v>
      </c>
      <c r="G21" s="10" t="str">
        <f>IFERROR(__xludf.DUMMYFUNCTION("""COMPUTED_VALUE"""),"2019/11/06 14:45:00")</f>
        <v>2019/11/06 14:45:00</v>
      </c>
      <c r="H21" s="10" t="str">
        <f>IFERROR(__xludf.DUMMYFUNCTION("""COMPUTED_VALUE"""),"c2a1daa1-bf62-4720-bb17-1d620e401f3a")</f>
        <v>c2a1daa1-bf62-4720-bb17-1d620e401f3a</v>
      </c>
      <c r="I21" s="10" t="str">
        <f>IFERROR(__xludf.DUMMYFUNCTION("""COMPUTED_VALUE"""),"c2a1daa1-bf62-4720-bb17-1d620e401f3a")</f>
        <v>c2a1daa1-bf62-4720-bb17-1d620e401f3a</v>
      </c>
    </row>
    <row r="22">
      <c r="A22" s="10" t="str">
        <f>IFERROR(__xludf.DUMMYFUNCTION("""COMPUTED_VALUE"""),"To boldly hack where no one has hacked before")</f>
        <v>To boldly hack where no one has hacked before</v>
      </c>
      <c r="B22" s="10" t="str">
        <f>IFERROR(__xludf.DUMMYFUNCTION("""COMPUTED_VALUE"""),"Already a vital part of both the internet of things and the critical infrastructure of the internet, satellites are set to take on a more significant role with the expansion of 5G and IoT.  But many satellites with primitive security could become threat v"&amp;"ectors for cybercriminals. Ed will share possible attack scenarios and discuss potential solutions to this growing threat.")</f>
        <v>Already a vital part of both the internet of things and the critical infrastructure of the internet, satellites are set to take on a more significant role with the expansion of 5G and IoT.  But many satellites with primitive security could become threat vectors for cybercriminals. Ed will share possible attack scenarios and discuss potential solutions to this growing threat.</v>
      </c>
      <c r="C22" s="24" t="str">
        <f>IFERROR(__xludf.DUMMYFUNCTION("""COMPUTED_VALUE"""),"binate.io")</f>
        <v>binate.io</v>
      </c>
      <c r="D22" s="10" t="str">
        <f>IFERROR(__xludf.DUMMYFUNCTION("""COMPUTED_VALUE"""),"Eduardo Cabrera")</f>
        <v>Eduardo Cabrera</v>
      </c>
      <c r="E22" s="10" t="str">
        <f>IFERROR(__xludf.DUMMYFUNCTION("""COMPUTED_VALUE"""),"Eduardo Cabrera")</f>
        <v>Eduardo Cabrera</v>
      </c>
      <c r="F22" s="10" t="str">
        <f>IFERROR(__xludf.DUMMYFUNCTION("""COMPUTED_VALUE"""),"2019/11/06 12:45:00")</f>
        <v>2019/11/06 12:45:00</v>
      </c>
      <c r="G22" s="10" t="str">
        <f>IFERROR(__xludf.DUMMYFUNCTION("""COMPUTED_VALUE"""),"2019/11/06 13:05:00")</f>
        <v>2019/11/06 13:05:00</v>
      </c>
      <c r="H22" s="10" t="str">
        <f>IFERROR(__xludf.DUMMYFUNCTION("""COMPUTED_VALUE"""),"9ee604b7-e376-4226-8b7b-a5ddf0cafc4d")</f>
        <v>9ee604b7-e376-4226-8b7b-a5ddf0cafc4d</v>
      </c>
      <c r="I22" s="10" t="str">
        <f>IFERROR(__xludf.DUMMYFUNCTION("""COMPUTED_VALUE"""),"9ee604b7-e376-4226-8b7b-a5ddf0cafc4d")</f>
        <v>9ee604b7-e376-4226-8b7b-a5ddf0cafc4d</v>
      </c>
    </row>
    <row r="23">
      <c r="A23" s="10" t="str">
        <f>IFERROR(__xludf.DUMMYFUNCTION("""COMPUTED_VALUE"""),"Explore your digital futures, hosted by Shell")</f>
        <v>Explore your digital futures, hosted by Shell</v>
      </c>
      <c r="B23" s="10"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23" s="10" t="str">
        <f>IFERROR(__xludf.DUMMYFUNCTION("""COMPUTED_VALUE"""),"Workshop 3")</f>
        <v>Workshop 3</v>
      </c>
      <c r="D23" s="10" t="str">
        <f>IFERROR(__xludf.DUMMYFUNCTION("""COMPUTED_VALUE"""),"Adam Eales")</f>
        <v>Adam Eales</v>
      </c>
      <c r="E23" s="10" t="str">
        <f>IFERROR(__xludf.DUMMYFUNCTION("""COMPUTED_VALUE"""),"Adam Eales")</f>
        <v>Adam Eales</v>
      </c>
      <c r="F23" s="10" t="str">
        <f>IFERROR(__xludf.DUMMYFUNCTION("""COMPUTED_VALUE"""),"2019/11/07 15:00:00")</f>
        <v>2019/11/07 15:00:00</v>
      </c>
      <c r="G23" s="10" t="str">
        <f>IFERROR(__xludf.DUMMYFUNCTION("""COMPUTED_VALUE"""),"2019/11/07 15:45:00")</f>
        <v>2019/11/07 15:45:00</v>
      </c>
      <c r="H23" s="10" t="str">
        <f>IFERROR(__xludf.DUMMYFUNCTION("""COMPUTED_VALUE"""),"dcd49978-c622-4a4b-9c6c-766c2839af51")</f>
        <v>dcd49978-c622-4a4b-9c6c-766c2839af51</v>
      </c>
      <c r="I23" s="10" t="str">
        <f>IFERROR(__xludf.DUMMYFUNCTION("""COMPUTED_VALUE"""),"dcd49978-c622-4a4b-9c6c-766c2839af51")</f>
        <v>dcd49978-c622-4a4b-9c6c-766c2839af51</v>
      </c>
    </row>
    <row r="24">
      <c r="A24" s="10" t="str">
        <f>IFERROR(__xludf.DUMMYFUNCTION("""COMPUTED_VALUE"""),"An introduction to deep learning")</f>
        <v>An introduction to deep learning</v>
      </c>
      <c r="B24" s="10" t="str">
        <f>IFERROR(__xludf.DUMMYFUNCTION("""COMPUTED_VALUE"""),"Getting started with deep learning can feel really intimidating. In this session we'll dive right in to explaining the basic concepts of deep learning with barely any jargon and a small amount of arithmetic. We'll see how easy it is to take an existing pr"&amp;"e-trained, general-purpose image classification model from the cloud and re-train it to identify objects that we want the computer to recognise. We'll show how to do all of this with Python, using a Jupyter notebook hosted from Amazon Sagemaker (a service"&amp;" from AWS that makes it easy to develop, train, and deploy deep-learning models in the cloud). Finally, we'll finish up with a review of where to continue learning more.")</f>
        <v>Getting started with deep learning can feel really intimidating. In this session we'll dive right in to explaining the basic concepts of deep learning with barely any jargon and a small amount of arithmetic. We'll see how easy it is to take an existing pre-trained, general-purpose image classification model from the cloud and re-train it to identify objects that we want the computer to recognise. We'll show how to do all of this with Python, using a Jupyter notebook hosted from Amazon Sagemaker (a service from AWS that makes it easy to develop, train, and deploy deep-learning models in the cloud). Finally, we'll finish up with a review of where to continue learning more.</v>
      </c>
      <c r="C24" s="10" t="str">
        <f>IFERROR(__xludf.DUMMYFUNCTION("""COMPUTED_VALUE"""),"AWS Developer Workshops")</f>
        <v>AWS Developer Workshops</v>
      </c>
      <c r="D24" s="10" t="str">
        <f>IFERROR(__xludf.DUMMYFUNCTION("""COMPUTED_VALUE"""),"")</f>
        <v/>
      </c>
      <c r="E24" s="10" t="str">
        <f>IFERROR(__xludf.DUMMYFUNCTION("""COMPUTED_VALUE"""),"")</f>
        <v/>
      </c>
      <c r="F24" s="10" t="str">
        <f>IFERROR(__xludf.DUMMYFUNCTION("""COMPUTED_VALUE"""),"2019/11/06 13:00:00")</f>
        <v>2019/11/06 13:00:00</v>
      </c>
      <c r="G24" s="10" t="str">
        <f>IFERROR(__xludf.DUMMYFUNCTION("""COMPUTED_VALUE"""),"2019/11/06 13:50:00")</f>
        <v>2019/11/06 13:50:00</v>
      </c>
      <c r="H24" s="10" t="str">
        <f>IFERROR(__xludf.DUMMYFUNCTION("""COMPUTED_VALUE"""),"872d1db2-6992-47d3-8a28-a6e3e4adffca")</f>
        <v>872d1db2-6992-47d3-8a28-a6e3e4adffca</v>
      </c>
      <c r="I24" s="10" t="str">
        <f>IFERROR(__xludf.DUMMYFUNCTION("""COMPUTED_VALUE"""),"872d1db2-6992-47d3-8a28-a6e3e4adffca")</f>
        <v>872d1db2-6992-47d3-8a28-a6e3e4adffca</v>
      </c>
    </row>
    <row r="25">
      <c r="A25" s="10" t="str">
        <f>IFERROR(__xludf.DUMMYFUNCTION("""COMPUTED_VALUE"""),"Opening Remarks")</f>
        <v>Opening Remarks</v>
      </c>
      <c r="B25" s="10" t="str">
        <f>IFERROR(__xludf.DUMMYFUNCTION("""COMPUTED_VALUE"""),"Peek behind the marketing as the year's biggest consumer electronics are reviewed by independent industry critics and consumers themselves.  ")</f>
        <v>Peek behind the marketing as the year's biggest consumer electronics are reviewed by independent industry critics and consumers themselves.  </v>
      </c>
      <c r="C25" s="10" t="str">
        <f>IFERROR(__xludf.DUMMYFUNCTION("""COMPUTED_VALUE"""),"UnBoxed")</f>
        <v>UnBoxed</v>
      </c>
      <c r="D25" s="10" t="str">
        <f>IFERROR(__xludf.DUMMYFUNCTION("""COMPUTED_VALUE"""),"Lindsey Turrentine")</f>
        <v>Lindsey Turrentine</v>
      </c>
      <c r="E25" s="10" t="str">
        <f>IFERROR(__xludf.DUMMYFUNCTION("""COMPUTED_VALUE"""),"Lindsey Turrentine")</f>
        <v>Lindsey Turrentine</v>
      </c>
      <c r="F25" s="10" t="str">
        <f>IFERROR(__xludf.DUMMYFUNCTION("""COMPUTED_VALUE"""),"2019/11/05 11:00:00")</f>
        <v>2019/11/05 11:00:00</v>
      </c>
      <c r="G25" s="10" t="str">
        <f>IFERROR(__xludf.DUMMYFUNCTION("""COMPUTED_VALUE"""),"2019/11/05 11:15:00")</f>
        <v>2019/11/05 11:15:00</v>
      </c>
      <c r="H25" s="10" t="str">
        <f>IFERROR(__xludf.DUMMYFUNCTION("""COMPUTED_VALUE"""),"fb2eb711-8180-4ab8-a386-6e110d43d84e")</f>
        <v>fb2eb711-8180-4ab8-a386-6e110d43d84e</v>
      </c>
      <c r="I25" s="10" t="str">
        <f>IFERROR(__xludf.DUMMYFUNCTION("""COMPUTED_VALUE"""),"fb2eb711-8180-4ab8-a386-6e110d43d84e")</f>
        <v>fb2eb711-8180-4ab8-a386-6e110d43d84e</v>
      </c>
    </row>
    <row r="26">
      <c r="A26" s="10" t="str">
        <f>IFERROR(__xludf.DUMMYFUNCTION("""COMPUTED_VALUE"""),"Startup Showcase")</f>
        <v>Startup Showcase</v>
      </c>
      <c r="B26" s="10"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v>
      </c>
      <c r="C26" s="10" t="str">
        <f>IFERROR(__xludf.DUMMYFUNCTION("""COMPUTED_VALUE"""),"Startup Showcase 2")</f>
        <v>Startup Showcase 2</v>
      </c>
      <c r="D26" s="10" t="str">
        <f>IFERROR(__xludf.DUMMYFUNCTION("""COMPUTED_VALUE"""),"Phil Gillman, Benjamin Peillard, Tomas Ferreira, Vignesh Kalimuthu, Jasper Verplanken, Joep Wittebrood, Bruno Ribeiro, Beatriz Ferreira, Thomas Verschuere, David Duarte, Alexander Hilton, Jinan Khoirunnisa, Gordian Braun, Lorenzo Gama, Joana Baptista, Tom"&amp;" Roelofs, Imelda Fossu, Tommy Lee Monte, Ahmed Shamy, Andreas De Neve, Nabela Huwaida, Marc Turbé, Alexander Sie To, Vincent Schelstraete, Arini Astari, Sunny Paris, Sharan cooper, Sevo Widodo, Frank Fahrner, Achim Schneider, Fabrizio Bosio, Charles Boute"&amp;"ns, Thibo Vanquaethem, Omar Ferreira, REINHARD FALSCHLEHNER, Mohamed El Harty, Oscar Di Pasquale, Igor Furniel, Guilherme Kiellander, Raul Ranauro Javales Jr, Pablo Peillard, Anna Bremer, Paula Morais,  , Stefan Hoogenboom, Muhammad Ahsan Naseem, Liam Man"&amp;"ning, Tiago Ribeiro, Ali Shaheen and Qudsia Piracha")</f>
        <v>Phil Gillman, Benjamin Peillard, Tomas Ferreira, Vignesh Kalimuthu, Jasper Verplanken, Joep Wittebrood, Bruno Ribeiro, Beatriz Ferreira, Thomas Verschuere, David Duarte, Alexander Hilton, Jinan Khoirunnisa, Gordian Braun, Lorenzo Gama, Joana Baptista, Tom Roelofs, Imelda Fossu, Tommy Lee Monte, Ahmed Shamy, Andreas De Neve, Nabela Huwaida, Marc Turbé, Alexander Sie To, Vincent Schelstraete, Arini Astari, Sunny Paris, Sharan cooper, Sevo Widodo, Frank Fahrner, Achim Schneider, Fabrizio Bosio, Charles Boutens, Thibo Vanquaethem, Omar Ferreira, REINHARD FALSCHLEHNER, Mohamed El Harty, Oscar Di Pasquale, Igor Furniel, Guilherme Kiellander, Raul Ranauro Javales Jr, Pablo Peillard, Anna Bremer, Paula Morais,  , Stefan Hoogenboom, Muhammad Ahsan Naseem, Liam Manning, Tiago Ribeiro, Ali Shaheen and Qudsia Piracha</v>
      </c>
      <c r="E26" s="10" t="str">
        <f>IFERROR(__xludf.DUMMYFUNCTION("""COMPUTED_VALUE"""),"Phil Gillman,Benjamin Peillard,Tomas Ferreira,Vignesh Kalimuthu,Jasper Verplanken,Joep Wittebrood,Bruno Ribeiro,Beatriz Ferreira,Thomas Verschuere,David Duarte,Alexander Hilton,Jinan Khoirunnisa,Gordian Braun,Lorenzo Gama,Joana Baptista,Tom Roelofs,Imelda"&amp;" Fossu,Tommy Lee Monte,Ahmed Shamy,Andreas De Neve,Nabela Huwaida,Marc Turbé,Alexander Sie To,Vincent Schelstraete,Arini Astari,Sunny Paris,Sharan cooper,Sevo Widodo,Frank Fahrner,Achim Schneider,Fabrizio Bosio,Charles Boutens,Thibo Vanquaethem,Omar Ferre"&amp;"ira,REINHARD FALSCHLEHNER,Mohamed El Harty,Oscar Di Pasquale,Igor Furniel,Guilherme Kiellander,Raul Ranauro Javales Jr,Pablo Peillard,Anna Bremer,Paula Morais, ,Stefan Hoogenboom,Muhammad Ahsan Naseem,Liam Manning,Tiago Ribeiro,Ali Shaheen,Qudsia Piracha")</f>
        <v>Phil Gillman,Benjamin Peillard,Tomas Ferreira,Vignesh Kalimuthu,Jasper Verplanken,Joep Wittebrood,Bruno Ribeiro,Beatriz Ferreira,Thomas Verschuere,David Duarte,Alexander Hilton,Jinan Khoirunnisa,Gordian Braun,Lorenzo Gama,Joana Baptista,Tom Roelofs,Imelda Fossu,Tommy Lee Monte,Ahmed Shamy,Andreas De Neve,Nabela Huwaida,Marc Turbé,Alexander Sie To,Vincent Schelstraete,Arini Astari,Sunny Paris,Sharan cooper,Sevo Widodo,Frank Fahrner,Achim Schneider,Fabrizio Bosio,Charles Boutens,Thibo Vanquaethem,Omar Ferreira,REINHARD FALSCHLEHNER,Mohamed El Harty,Oscar Di Pasquale,Igor Furniel,Guilherme Kiellander,Raul Ranauro Javales Jr,Pablo Peillard,Anna Bremer,Paula Morais, ,Stefan Hoogenboom,Muhammad Ahsan Naseem,Liam Manning,Tiago Ribeiro,Ali Shaheen,Qudsia Piracha</v>
      </c>
      <c r="F26" s="10" t="str">
        <f>IFERROR(__xludf.DUMMYFUNCTION("""COMPUTED_VALUE"""),"2019/11/07 11:15:00")</f>
        <v>2019/11/07 11:15:00</v>
      </c>
      <c r="G26" s="10" t="str">
        <f>IFERROR(__xludf.DUMMYFUNCTION("""COMPUTED_VALUE"""),"2019/11/07 12:15:00")</f>
        <v>2019/11/07 12:15:00</v>
      </c>
      <c r="H26" s="10" t="str">
        <f>IFERROR(__xludf.DUMMYFUNCTION("""COMPUTED_VALUE"""),"eb623feb-0327-4da0-ac58-412a4ba3fea5")</f>
        <v>eb623feb-0327-4da0-ac58-412a4ba3fea5</v>
      </c>
      <c r="I26" s="10" t="str">
        <f>IFERROR(__xludf.DUMMYFUNCTION("""COMPUTED_VALUE"""),"eb623feb-0327-4da0-ac58-412a4ba3fea5")</f>
        <v>eb623feb-0327-4da0-ac58-412a4ba3fea5</v>
      </c>
    </row>
    <row r="27">
      <c r="A27" s="10" t="str">
        <f>IFERROR(__xludf.DUMMYFUNCTION("""COMPUTED_VALUE"""),"Will the machines eat us all?")</f>
        <v>Will the machines eat us all?</v>
      </c>
      <c r="B27" s="10" t="str">
        <f>IFERROR(__xludf.DUMMYFUNCTION("""COMPUTED_VALUE"""),"This talk is an AI toolkit for surviving the robot apocalypse. Chris will discuss the developments that have led up to where we are today, the current state of AI tools in the creative space, and speculate as to where we're headed in the future. ")</f>
        <v>This talk is an AI toolkit for surviving the robot apocalypse. Chris will discuss the developments that have led up to where we are today, the current state of AI tools in the creative space, and speculate as to where we're headed in the future. </v>
      </c>
      <c r="C27" s="10" t="str">
        <f>IFERROR(__xludf.DUMMYFUNCTION("""COMPUTED_VALUE"""),"MusicNotes")</f>
        <v>MusicNotes</v>
      </c>
      <c r="D27" s="10" t="str">
        <f>IFERROR(__xludf.DUMMYFUNCTION("""COMPUTED_VALUE"""),"Christopher Leacock")</f>
        <v>Christopher Leacock</v>
      </c>
      <c r="E27" s="10" t="str">
        <f>IFERROR(__xludf.DUMMYFUNCTION("""COMPUTED_VALUE"""),"Christopher Leacock")</f>
        <v>Christopher Leacock</v>
      </c>
      <c r="F27" s="10" t="str">
        <f>IFERROR(__xludf.DUMMYFUNCTION("""COMPUTED_VALUE"""),"2019/11/07 11:00:00")</f>
        <v>2019/11/07 11:00:00</v>
      </c>
      <c r="G27" s="10" t="str">
        <f>IFERROR(__xludf.DUMMYFUNCTION("""COMPUTED_VALUE"""),"2019/11/07 11:20:00")</f>
        <v>2019/11/07 11:20:00</v>
      </c>
      <c r="H27" s="10" t="str">
        <f>IFERROR(__xludf.DUMMYFUNCTION("""COMPUTED_VALUE"""),"ff1cf35a-7993-44fe-9d51-f8e75084a33c")</f>
        <v>ff1cf35a-7993-44fe-9d51-f8e75084a33c</v>
      </c>
      <c r="I27" s="10" t="str">
        <f>IFERROR(__xludf.DUMMYFUNCTION("""COMPUTED_VALUE"""),"ff1cf35a-7993-44fe-9d51-f8e75084a33c")</f>
        <v>ff1cf35a-7993-44fe-9d51-f8e75084a33c</v>
      </c>
    </row>
    <row r="28">
      <c r="A28" s="10" t="str">
        <f>IFERROR(__xludf.DUMMYFUNCTION("""COMPUTED_VALUE"""),"Pushing the envelope: Aiming for the impossible and going beyond")</f>
        <v>Pushing the envelope: Aiming for the impossible and going beyond</v>
      </c>
      <c r="B28" s="10" t="str">
        <f>IFERROR(__xludf.DUMMYFUNCTION("""COMPUTED_VALUE"""),"Vasco will discuss how he set up a labs team to explore new technologies that ultimately translated into disruptive products with a huge business impact.")</f>
        <v>Vasco will discuss how he set up a labs team to explore new technologies that ultimately translated into disruptive products with a huge business impact.</v>
      </c>
      <c r="C28" s="10" t="str">
        <f>IFERROR(__xludf.DUMMYFUNCTION("""COMPUTED_VALUE"""),"Growth Summit")</f>
        <v>Growth Summit</v>
      </c>
      <c r="D28" s="10" t="str">
        <f>IFERROR(__xludf.DUMMYFUNCTION("""COMPUTED_VALUE"""),"Vasco Pedro")</f>
        <v>Vasco Pedro</v>
      </c>
      <c r="E28" s="10" t="str">
        <f>IFERROR(__xludf.DUMMYFUNCTION("""COMPUTED_VALUE"""),"Vasco Pedro")</f>
        <v>Vasco Pedro</v>
      </c>
      <c r="F28" s="10" t="str">
        <f>IFERROR(__xludf.DUMMYFUNCTION("""COMPUTED_VALUE"""),"2019/11/05 13:58:00")</f>
        <v>2019/11/05 13:58:00</v>
      </c>
      <c r="G28" s="10" t="str">
        <f>IFERROR(__xludf.DUMMYFUNCTION("""COMPUTED_VALUE"""),"2019/11/05 14:09:00")</f>
        <v>2019/11/05 14:09:00</v>
      </c>
      <c r="H28" s="10" t="str">
        <f>IFERROR(__xludf.DUMMYFUNCTION("""COMPUTED_VALUE"""),"062b5913-edcb-4272-a370-8039d92e1fc5")</f>
        <v>062b5913-edcb-4272-a370-8039d92e1fc5</v>
      </c>
      <c r="I28" s="10" t="str">
        <f>IFERROR(__xludf.DUMMYFUNCTION("""COMPUTED_VALUE"""),"062b5913-edcb-4272-a370-8039d92e1fc5")</f>
        <v>062b5913-edcb-4272-a370-8039d92e1fc5</v>
      </c>
    </row>
    <row r="29">
      <c r="A29" s="10" t="str">
        <f>IFERROR(__xludf.DUMMYFUNCTION("""COMPUTED_VALUE"""),"A manifesto for a more generous world")</f>
        <v>A manifesto for a more generous world</v>
      </c>
      <c r="B29" s="10" t="str">
        <f>IFERROR(__xludf.DUMMYFUNCTION("""COMPUTED_VALUE"""),"The pursuit of wealth has produced innovation and prosperity. It also established an implicit belief that the rational choice in any decision is whichever option makes the most money. Join the founder of Kickstarter as he shares how we can refocus our ene"&amp;"rgies to build a society that’s generous, fair, and ready for the future.")</f>
        <v>The pursuit of wealth has produced innovation and prosperity. It also established an implicit belief that the rational choice in any decision is whichever option makes the most money. Join the founder of Kickstarter as he shares how we can refocus our energies to build a society that’s generous, fair, and ready for the future.</v>
      </c>
      <c r="C29" s="10" t="str">
        <f>IFERROR(__xludf.DUMMYFUNCTION("""COMPUTED_VALUE"""),"MoneyConf")</f>
        <v>MoneyConf</v>
      </c>
      <c r="D29" s="10" t="str">
        <f>IFERROR(__xludf.DUMMYFUNCTION("""COMPUTED_VALUE"""),"Yancey Strickler")</f>
        <v>Yancey Strickler</v>
      </c>
      <c r="E29" s="10" t="str">
        <f>IFERROR(__xludf.DUMMYFUNCTION("""COMPUTED_VALUE"""),"Yancey Strickler")</f>
        <v>Yancey Strickler</v>
      </c>
      <c r="F29" s="10" t="str">
        <f>IFERROR(__xludf.DUMMYFUNCTION("""COMPUTED_VALUE"""),"2019/11/07 14:50:00")</f>
        <v>2019/11/07 14:50:00</v>
      </c>
      <c r="G29" s="10" t="str">
        <f>IFERROR(__xludf.DUMMYFUNCTION("""COMPUTED_VALUE"""),"2019/11/07 15:10:00")</f>
        <v>2019/11/07 15:10:00</v>
      </c>
      <c r="H29" s="10" t="str">
        <f>IFERROR(__xludf.DUMMYFUNCTION("""COMPUTED_VALUE"""),"c64ad9c6-1b07-4457-aa8a-d1dbeb2d397a")</f>
        <v>c64ad9c6-1b07-4457-aa8a-d1dbeb2d397a</v>
      </c>
      <c r="I29" s="10" t="str">
        <f>IFERROR(__xludf.DUMMYFUNCTION("""COMPUTED_VALUE"""),"c64ad9c6-1b07-4457-aa8a-d1dbeb2d397a")</f>
        <v>c64ad9c6-1b07-4457-aa8a-d1dbeb2d397a</v>
      </c>
    </row>
    <row r="30">
      <c r="A30" s="10" t="str">
        <f>IFERROR(__xludf.DUMMYFUNCTION("""COMPUTED_VALUE"""),"Make your technology compliant from day one")</f>
        <v>Make your technology compliant from day one</v>
      </c>
      <c r="B30" s="10" t="str">
        <f>IFERROR(__xludf.DUMMYFUNCTION("""COMPUTED_VALUE"""),"Regulatory compliance can stop the adoption of any new technology. Instead of spending time and money trying to influence regulators why not take another approach? Co-founder of Billon, Robert will explain how the company chose to design with embedded reg"&amp;"ulatory compliance existing regulations in mind. This led to unique technological choices and gave them the advantage of having a solution which is ready to use in a live business environment from day one.")</f>
        <v>Regulatory compliance can stop the adoption of any new technology. Instead of spending time and money trying to influence regulators why not take another approach? Co-founder of Billon, Robert will explain how the company chose to design with embedded regulatory compliance existing regulations in mind. This led to unique technological choices and gave them the advantage of having a solution which is ready to use in a live business environment from day one.</v>
      </c>
      <c r="C30" s="10" t="str">
        <f>IFERROR(__xludf.DUMMYFUNCTION("""COMPUTED_VALUE"""),"Growth Summit")</f>
        <v>Growth Summit</v>
      </c>
      <c r="D30" s="10" t="str">
        <f>IFERROR(__xludf.DUMMYFUNCTION("""COMPUTED_VALUE"""),"Robert Kaluza")</f>
        <v>Robert Kaluza</v>
      </c>
      <c r="E30" s="10" t="str">
        <f>IFERROR(__xludf.DUMMYFUNCTION("""COMPUTED_VALUE"""),"Robert Kaluza")</f>
        <v>Robert Kaluza</v>
      </c>
      <c r="F30" s="10" t="str">
        <f>IFERROR(__xludf.DUMMYFUNCTION("""COMPUTED_VALUE"""),"2019/11/05 11:38:00")</f>
        <v>2019/11/05 11:38:00</v>
      </c>
      <c r="G30" s="10" t="str">
        <f>IFERROR(__xludf.DUMMYFUNCTION("""COMPUTED_VALUE"""),"2019/11/05 11:42:00")</f>
        <v>2019/11/05 11:42:00</v>
      </c>
      <c r="H30" s="10" t="str">
        <f>IFERROR(__xludf.DUMMYFUNCTION("""COMPUTED_VALUE"""),"a3123bfb-f991-4877-8298-a58d69c74cba")</f>
        <v>a3123bfb-f991-4877-8298-a58d69c74cba</v>
      </c>
      <c r="I30" s="10" t="str">
        <f>IFERROR(__xludf.DUMMYFUNCTION("""COMPUTED_VALUE"""),"a3123bfb-f991-4877-8298-a58d69c74cba")</f>
        <v>a3123bfb-f991-4877-8298-a58d69c74cba</v>
      </c>
    </row>
    <row r="31">
      <c r="A31" s="10" t="str">
        <f>IFERROR(__xludf.DUMMYFUNCTION("""COMPUTED_VALUE"""),"European cohesion policy for Portuguese startups and small/medium enterprises, hosted by European Commission ")</f>
        <v>European cohesion policy for Portuguese startups and small/medium enterprises, hosted by European Commission </v>
      </c>
      <c r="B31" s="10" t="str">
        <f>IFERROR(__xludf.DUMMYFUNCTION("""COMPUTED_VALUE"""),"This workshop is an introduction to the European Union’s regional policy and its funding opportunities for Portuguese technological startups and SMEs. Specifically, we are going to unfold the upcoming financial support opportunities provided by the Operat"&amp;"ional Programme Compete 2020. We will explain how to submit a grant application and how to apply for a loan or other financial instruments for your business.")</f>
        <v>This workshop is an introduction to the European Union’s regional policy and its funding opportunities for Portuguese technological startups and SMEs. Specifically, we are going to unfold the upcoming financial support opportunities provided by the Operational Programme Compete 2020. We will explain how to submit a grant application and how to apply for a loan or other financial instruments for your business.</v>
      </c>
      <c r="C31" s="10" t="str">
        <f>IFERROR(__xludf.DUMMYFUNCTION("""COMPUTED_VALUE"""),"Workshop 2")</f>
        <v>Workshop 2</v>
      </c>
      <c r="D31" s="10" t="str">
        <f>IFERROR(__xludf.DUMMYFUNCTION("""COMPUTED_VALUE"""),"Ricardo Banha")</f>
        <v>Ricardo Banha</v>
      </c>
      <c r="E31" s="10" t="str">
        <f>IFERROR(__xludf.DUMMYFUNCTION("""COMPUTED_VALUE"""),"Ricardo Banha")</f>
        <v>Ricardo Banha</v>
      </c>
      <c r="F31" s="10" t="str">
        <f>IFERROR(__xludf.DUMMYFUNCTION("""COMPUTED_VALUE"""),"2019/11/05 11:00:00")</f>
        <v>2019/11/05 11:00:00</v>
      </c>
      <c r="G31" s="10" t="str">
        <f>IFERROR(__xludf.DUMMYFUNCTION("""COMPUTED_VALUE"""),"2019/11/05 11:45:00")</f>
        <v>2019/11/05 11:45:00</v>
      </c>
      <c r="H31" s="10" t="str">
        <f>IFERROR(__xludf.DUMMYFUNCTION("""COMPUTED_VALUE"""),"47c7cd90-151d-425e-9447-f5c78924dbe2")</f>
        <v>47c7cd90-151d-425e-9447-f5c78924dbe2</v>
      </c>
      <c r="I31" s="10" t="str">
        <f>IFERROR(__xludf.DUMMYFUNCTION("""COMPUTED_VALUE"""),"47c7cd90-151d-425e-9447-f5c78924dbe2")</f>
        <v>47c7cd90-151d-425e-9447-f5c78924dbe2</v>
      </c>
    </row>
    <row r="32">
      <c r="A32" s="10" t="str">
        <f>IFERROR(__xludf.DUMMYFUNCTION("""COMPUTED_VALUE"""),"Every day amplified: The Lamborghini experience")</f>
        <v>Every day amplified: The Lamborghini experience</v>
      </c>
      <c r="B32" s="10" t="str">
        <f>IFERROR(__xludf.DUMMYFUNCTION("""COMPUTED_VALUE"""),"Imagine designing your own Lamborghini. Now, stop imagining. Let's see how Lamborghini is making your dreams into reality.")</f>
        <v>Imagine designing your own Lamborghini. Now, stop imagining. Let's see how Lamborghini is making your dreams into reality.</v>
      </c>
      <c r="C32" s="10" t="str">
        <f>IFERROR(__xludf.DUMMYFUNCTION("""COMPUTED_VALUE"""),"PandaConf")</f>
        <v>PandaConf</v>
      </c>
      <c r="D32" s="10" t="str">
        <f>IFERROR(__xludf.DUMMYFUNCTION("""COMPUTED_VALUE"""),"Katia Bassi")</f>
        <v>Katia Bassi</v>
      </c>
      <c r="E32" s="10" t="str">
        <f>IFERROR(__xludf.DUMMYFUNCTION("""COMPUTED_VALUE"""),"Katia Bassi")</f>
        <v>Katia Bassi</v>
      </c>
      <c r="F32" s="10" t="str">
        <f>IFERROR(__xludf.DUMMYFUNCTION("""COMPUTED_VALUE"""),"2019/11/06 11:00:00")</f>
        <v>2019/11/06 11:00:00</v>
      </c>
      <c r="G32" s="10" t="str">
        <f>IFERROR(__xludf.DUMMYFUNCTION("""COMPUTED_VALUE"""),"2019/11/06 11:30:00")</f>
        <v>2019/11/06 11:30:00</v>
      </c>
      <c r="H32" s="10" t="str">
        <f>IFERROR(__xludf.DUMMYFUNCTION("""COMPUTED_VALUE"""),"2480ada4-aa87-4928-9270-10496ee3b070")</f>
        <v>2480ada4-aa87-4928-9270-10496ee3b070</v>
      </c>
      <c r="I32" s="10" t="str">
        <f>IFERROR(__xludf.DUMMYFUNCTION("""COMPUTED_VALUE"""),"2480ada4-aa87-4928-9270-10496ee3b070")</f>
        <v>2480ada4-aa87-4928-9270-10496ee3b070</v>
      </c>
    </row>
    <row r="33">
      <c r="A33" s="10" t="str">
        <f>IFERROR(__xludf.DUMMYFUNCTION("""COMPUTED_VALUE"""),"Grow fast or die slow")</f>
        <v>Grow fast or die slow</v>
      </c>
      <c r="B33" s="10" t="str">
        <f>IFERROR(__xludf.DUMMYFUNCTION("""COMPUTED_VALUE"""),"Today’s hyper-growth entrepreneurial successes go from one to hundreds of customers and employees in just a few years. Often with little budget, these upstarts recognise that to break out and stave off competitors, they need to quickly acquire as many cus"&amp;"tomers as possible, rapidly expand and scale globally, all while cementing enduring and defensible market leadership. Join this talk to discover how your company can weather the storms of hyper-growth.")</f>
        <v>Today’s hyper-growth entrepreneurial successes go from one to hundreds of customers and employees in just a few years. Often with little budget, these upstarts recognise that to break out and stave off competitors, they need to quickly acquire as many customers as possible, rapidly expand and scale globally, all while cementing enduring and defensible market leadership. Join this talk to discover how your company can weather the storms of hyper-growth.</v>
      </c>
      <c r="C33" s="10" t="str">
        <f>IFERROR(__xludf.DUMMYFUNCTION("""COMPUTED_VALUE"""),"SaaS Monster")</f>
        <v>SaaS Monster</v>
      </c>
      <c r="D33" s="10" t="str">
        <f>IFERROR(__xludf.DUMMYFUNCTION("""COMPUTED_VALUE"""),"Gaurav Dhillon, Frida Polli, Allan Grant and Liam Proud")</f>
        <v>Gaurav Dhillon, Frida Polli, Allan Grant and Liam Proud</v>
      </c>
      <c r="E33" s="10" t="str">
        <f>IFERROR(__xludf.DUMMYFUNCTION("""COMPUTED_VALUE"""),"Gaurav Dhillon,Frida Polli,Allan Grant,Liam Proud")</f>
        <v>Gaurav Dhillon,Frida Polli,Allan Grant,Liam Proud</v>
      </c>
      <c r="F33" s="10" t="str">
        <f>IFERROR(__xludf.DUMMYFUNCTION("""COMPUTED_VALUE"""),"2019/11/05 14:05:00")</f>
        <v>2019/11/05 14:05:00</v>
      </c>
      <c r="G33" s="10" t="str">
        <f>IFERROR(__xludf.DUMMYFUNCTION("""COMPUTED_VALUE"""),"2019/11/05 14:25:00")</f>
        <v>2019/11/05 14:25:00</v>
      </c>
      <c r="H33" s="10" t="str">
        <f>IFERROR(__xludf.DUMMYFUNCTION("""COMPUTED_VALUE"""),"5e174c71-64d5-46a5-90a1-f607b057db02")</f>
        <v>5e174c71-64d5-46a5-90a1-f607b057db02</v>
      </c>
      <c r="I33" s="10" t="str">
        <f>IFERROR(__xludf.DUMMYFUNCTION("""COMPUTED_VALUE"""),"5e174c71-64d5-46a5-90a1-f607b057db02")</f>
        <v>5e174c71-64d5-46a5-90a1-f607b057db02</v>
      </c>
    </row>
    <row r="34">
      <c r="A34" s="10" t="str">
        <f>IFERROR(__xludf.DUMMYFUNCTION("""COMPUTED_VALUE"""),"Lunch break")</f>
        <v>Lunch break</v>
      </c>
      <c r="B34" s="10" t="str">
        <f>IFERROR(__xludf.DUMMYFUNCTION("""COMPUTED_VALUE"""),"")</f>
        <v/>
      </c>
      <c r="C34" s="10" t="str">
        <f>IFERROR(__xludf.DUMMYFUNCTION("""COMPUTED_VALUE"""),"Growth Summit")</f>
        <v>Growth Summit</v>
      </c>
      <c r="D34" s="10" t="str">
        <f>IFERROR(__xludf.DUMMYFUNCTION("""COMPUTED_VALUE"""),"")</f>
        <v/>
      </c>
      <c r="E34" s="10" t="str">
        <f>IFERROR(__xludf.DUMMYFUNCTION("""COMPUTED_VALUE"""),"")</f>
        <v/>
      </c>
      <c r="F34" s="10" t="str">
        <f>IFERROR(__xludf.DUMMYFUNCTION("""COMPUTED_VALUE"""),"2019/11/06 11:58:00")</f>
        <v>2019/11/06 11:58:00</v>
      </c>
      <c r="G34" s="10" t="str">
        <f>IFERROR(__xludf.DUMMYFUNCTION("""COMPUTED_VALUE"""),"2019/11/06 12:28:00")</f>
        <v>2019/11/06 12:28:00</v>
      </c>
      <c r="H34" s="10" t="str">
        <f>IFERROR(__xludf.DUMMYFUNCTION("""COMPUTED_VALUE"""),"ad321c9f-fcbe-4d6f-95c2-8e0e96d708b3")</f>
        <v>ad321c9f-fcbe-4d6f-95c2-8e0e96d708b3</v>
      </c>
      <c r="I34" s="10" t="str">
        <f>IFERROR(__xludf.DUMMYFUNCTION("""COMPUTED_VALUE"""),"ad321c9f-fcbe-4d6f-95c2-8e0e96d708b3")</f>
        <v>ad321c9f-fcbe-4d6f-95c2-8e0e96d708b3</v>
      </c>
    </row>
    <row r="35">
      <c r="A35" s="10" t="str">
        <f>IFERROR(__xludf.DUMMYFUNCTION("""COMPUTED_VALUE"""),"Lunch break")</f>
        <v>Lunch break</v>
      </c>
      <c r="B35" s="10" t="str">
        <f>IFERROR(__xludf.DUMMYFUNCTION("""COMPUTED_VALUE"""),"")</f>
        <v/>
      </c>
      <c r="C35" s="10" t="str">
        <f>IFERROR(__xludf.DUMMYFUNCTION("""COMPUTED_VALUE"""),"MoneyConf")</f>
        <v>MoneyConf</v>
      </c>
      <c r="D35" s="10" t="str">
        <f>IFERROR(__xludf.DUMMYFUNCTION("""COMPUTED_VALUE"""),"")</f>
        <v/>
      </c>
      <c r="E35" s="10" t="str">
        <f>IFERROR(__xludf.DUMMYFUNCTION("""COMPUTED_VALUE"""),"")</f>
        <v/>
      </c>
      <c r="F35" s="10" t="str">
        <f>IFERROR(__xludf.DUMMYFUNCTION("""COMPUTED_VALUE"""),"2019/11/06 13:00:00")</f>
        <v>2019/11/06 13:00:00</v>
      </c>
      <c r="G35" s="10" t="str">
        <f>IFERROR(__xludf.DUMMYFUNCTION("""COMPUTED_VALUE"""),"2019/11/06 13:45:00")</f>
        <v>2019/11/06 13:45:00</v>
      </c>
      <c r="H35" s="10" t="str">
        <f>IFERROR(__xludf.DUMMYFUNCTION("""COMPUTED_VALUE"""),"959e7693-d8f0-4eba-be2e-ed601de35951")</f>
        <v>959e7693-d8f0-4eba-be2e-ed601de35951</v>
      </c>
      <c r="I35" s="10" t="str">
        <f>IFERROR(__xludf.DUMMYFUNCTION("""COMPUTED_VALUE"""),"959e7693-d8f0-4eba-be2e-ed601de35951")</f>
        <v>959e7693-d8f0-4eba-be2e-ed601de35951</v>
      </c>
    </row>
    <row r="36">
      <c r="A36" s="10" t="str">
        <f>IFERROR(__xludf.DUMMYFUNCTION("""COMPUTED_VALUE"""),"Building a unicorn in 48 months")</f>
        <v>Building a unicorn in 48 months</v>
      </c>
      <c r="B36" s="10" t="str">
        <f>IFERROR(__xludf.DUMMYFUNCTION("""COMPUTED_VALUE"""),"CEO of Swvl, Mostafa will outline his vision for the companies app that allows customers to book fixed rate rides on buses and vans in their network.")</f>
        <v>CEO of Swvl, Mostafa will outline his vision for the companies app that allows customers to book fixed rate rides on buses and vans in their network.</v>
      </c>
      <c r="C36" s="10" t="str">
        <f>IFERROR(__xludf.DUMMYFUNCTION("""COMPUTED_VALUE"""),"Growth Summit")</f>
        <v>Growth Summit</v>
      </c>
      <c r="D36" s="10" t="str">
        <f>IFERROR(__xludf.DUMMYFUNCTION("""COMPUTED_VALUE"""),"Mostafa Kandil")</f>
        <v>Mostafa Kandil</v>
      </c>
      <c r="E36" s="10" t="str">
        <f>IFERROR(__xludf.DUMMYFUNCTION("""COMPUTED_VALUE"""),"Mostafa Kandil")</f>
        <v>Mostafa Kandil</v>
      </c>
      <c r="F36" s="10" t="str">
        <f>IFERROR(__xludf.DUMMYFUNCTION("""COMPUTED_VALUE"""),"2019/11/07 15:48:00")</f>
        <v>2019/11/07 15:48:00</v>
      </c>
      <c r="G36" s="10" t="str">
        <f>IFERROR(__xludf.DUMMYFUNCTION("""COMPUTED_VALUE"""),"2019/11/07 15:59:00")</f>
        <v>2019/11/07 15:59:00</v>
      </c>
      <c r="H36" s="10" t="str">
        <f>IFERROR(__xludf.DUMMYFUNCTION("""COMPUTED_VALUE"""),"cacc34f7-2a9a-4f44-99fb-4183b368745b")</f>
        <v>cacc34f7-2a9a-4f44-99fb-4183b368745b</v>
      </c>
      <c r="I36" s="10" t="str">
        <f>IFERROR(__xludf.DUMMYFUNCTION("""COMPUTED_VALUE"""),"cacc34f7-2a9a-4f44-99fb-4183b368745b")</f>
        <v>cacc34f7-2a9a-4f44-99fb-4183b368745b</v>
      </c>
    </row>
    <row r="37">
      <c r="A37" s="10" t="str">
        <f>IFERROR(__xludf.DUMMYFUNCTION("""COMPUTED_VALUE"""),"The future of space: from AI to the multiverse ")</f>
        <v>The future of space: from AI to the multiverse </v>
      </c>
      <c r="B37" s="10" t="str">
        <f>IFERROR(__xludf.DUMMYFUNCTION("""COMPUTED_VALUE"""),"An in-depth look at how cosmology and space research are increasingly becoming hotbeds of development for AI methods that might one day impact us all.")</f>
        <v>An in-depth look at how cosmology and space research are increasingly becoming hotbeds of development for AI methods that might one day impact us all.</v>
      </c>
      <c r="C37" s="10" t="str">
        <f>IFERROR(__xludf.DUMMYFUNCTION("""COMPUTED_VALUE"""),"DeepTech")</f>
        <v>DeepTech</v>
      </c>
      <c r="D37" s="10" t="str">
        <f>IFERROR(__xludf.DUMMYFUNCTION("""COMPUTED_VALUE"""),"Roberto Trotta")</f>
        <v>Roberto Trotta</v>
      </c>
      <c r="E37" s="10" t="str">
        <f>IFERROR(__xludf.DUMMYFUNCTION("""COMPUTED_VALUE"""),"Roberto Trotta")</f>
        <v>Roberto Trotta</v>
      </c>
      <c r="F37" s="10" t="str">
        <f>IFERROR(__xludf.DUMMYFUNCTION("""COMPUTED_VALUE"""),"2019/11/06 14:30:00")</f>
        <v>2019/11/06 14:30:00</v>
      </c>
      <c r="G37" s="10" t="str">
        <f>IFERROR(__xludf.DUMMYFUNCTION("""COMPUTED_VALUE"""),"2019/11/06 14:50:00")</f>
        <v>2019/11/06 14:50:00</v>
      </c>
      <c r="H37" s="10" t="str">
        <f>IFERROR(__xludf.DUMMYFUNCTION("""COMPUTED_VALUE"""),"47536078-a25d-4729-b47d-74e8169a3703")</f>
        <v>47536078-a25d-4729-b47d-74e8169a3703</v>
      </c>
      <c r="I37" s="10" t="str">
        <f>IFERROR(__xludf.DUMMYFUNCTION("""COMPUTED_VALUE"""),"47536078-a25d-4729-b47d-74e8169a3703")</f>
        <v>47536078-a25d-4729-b47d-74e8169a3703</v>
      </c>
    </row>
    <row r="38">
      <c r="A38" s="10" t="str">
        <f>IFERROR(__xludf.DUMMYFUNCTION("""COMPUTED_VALUE"""),"From quitting my job to raising a Series A")</f>
        <v>From quitting my job to raising a Series A</v>
      </c>
      <c r="B38" s="10" t="str">
        <f>IFERROR(__xludf.DUMMYFUNCTION("""COMPUTED_VALUE"""),"Founder and CEO of flatfair, Franz speaks about what he learned on his journey from quitting his job at Deutsche Bank to building flatfair, one of Europe’s fastest-growing fintech companies, and how it helped in raising a successful $11m Series A.")</f>
        <v>Founder and CEO of flatfair, Franz speaks about what he learned on his journey from quitting his job at Deutsche Bank to building flatfair, one of Europe’s fastest-growing fintech companies, and how it helped in raising a successful $11m Series A.</v>
      </c>
      <c r="C38" s="10" t="str">
        <f>IFERROR(__xludf.DUMMYFUNCTION("""COMPUTED_VALUE"""),"Growth Summit")</f>
        <v>Growth Summit</v>
      </c>
      <c r="D38" s="10" t="str">
        <f>IFERROR(__xludf.DUMMYFUNCTION("""COMPUTED_VALUE"""),"Franz Dörr")</f>
        <v>Franz Dörr</v>
      </c>
      <c r="E38" s="10" t="str">
        <f>IFERROR(__xludf.DUMMYFUNCTION("""COMPUTED_VALUE"""),"Franz Dörr")</f>
        <v>Franz Dörr</v>
      </c>
      <c r="F38" s="10" t="str">
        <f>IFERROR(__xludf.DUMMYFUNCTION("""COMPUTED_VALUE"""),"2019/11/07 10:30:00")</f>
        <v>2019/11/07 10:30:00</v>
      </c>
      <c r="G38" s="10" t="str">
        <f>IFERROR(__xludf.DUMMYFUNCTION("""COMPUTED_VALUE"""),"2019/11/07 10:34:00")</f>
        <v>2019/11/07 10:34:00</v>
      </c>
      <c r="H38" s="10" t="str">
        <f>IFERROR(__xludf.DUMMYFUNCTION("""COMPUTED_VALUE"""),"19946a2a-d83b-4e81-8649-f59d10791e8b")</f>
        <v>19946a2a-d83b-4e81-8649-f59d10791e8b</v>
      </c>
      <c r="I38" s="10" t="str">
        <f>IFERROR(__xludf.DUMMYFUNCTION("""COMPUTED_VALUE"""),"19946a2a-d83b-4e81-8649-f59d10791e8b")</f>
        <v>19946a2a-d83b-4e81-8649-f59d10791e8b</v>
      </c>
    </row>
    <row r="39">
      <c r="A39" s="10" t="str">
        <f>IFERROR(__xludf.DUMMYFUNCTION("""COMPUTED_VALUE"""),"Building an ecosystem for big growth")</f>
        <v>Building an ecosystem for big growth</v>
      </c>
      <c r="B39" s="10" t="str">
        <f>IFERROR(__xludf.DUMMYFUNCTION("""COMPUTED_VALUE"""),"The term 'ecosystem' has been inordinately referenced in the modern day. What does it take to genuinely cultivate an innovation ecosystem for meaningful economic growth? In conversation with author and historian Margaret O'Mara, we welcome ecosystem leade"&amp;"rs from three different continents to come together and exchange their learnings, drawing on similarities on the components required to induce purposeful growth.")</f>
        <v>The term 'ecosystem' has been inordinately referenced in the modern day. What does it take to genuinely cultivate an innovation ecosystem for meaningful economic growth? In conversation with author and historian Margaret O'Mara, we welcome ecosystem leaders from three different continents to come together and exchange their learnings, drawing on similarities on the components required to induce purposeful growth.</v>
      </c>
      <c r="C39" s="10" t="str">
        <f>IFERROR(__xludf.DUMMYFUNCTION("""COMPUTED_VALUE"""),"Corporate Innovation Summit")</f>
        <v>Corporate Innovation Summit</v>
      </c>
      <c r="D39" s="10" t="str">
        <f>IFERROR(__xludf.DUMMYFUNCTION("""COMPUTED_VALUE"""),"George Tee, Kat Borlongan, Paula Ingabire and Margaret O'Mara")</f>
        <v>George Tee, Kat Borlongan, Paula Ingabire and Margaret O'Mara</v>
      </c>
      <c r="E39" s="10" t="str">
        <f>IFERROR(__xludf.DUMMYFUNCTION("""COMPUTED_VALUE"""),"George Tee,Kat Borlongan,Paula Ingabire,Margaret O'Mara")</f>
        <v>George Tee,Kat Borlongan,Paula Ingabire,Margaret O'Mara</v>
      </c>
      <c r="F39" s="10" t="str">
        <f>IFERROR(__xludf.DUMMYFUNCTION("""COMPUTED_VALUE"""),"2019/11/05 14:40:00")</f>
        <v>2019/11/05 14:40:00</v>
      </c>
      <c r="G39" s="10" t="str">
        <f>IFERROR(__xludf.DUMMYFUNCTION("""COMPUTED_VALUE"""),"2019/11/05 15:00:00")</f>
        <v>2019/11/05 15:00:00</v>
      </c>
      <c r="H39" s="10" t="str">
        <f>IFERROR(__xludf.DUMMYFUNCTION("""COMPUTED_VALUE"""),"6ecc4201-82fb-4356-aba6-a4d145ee7f6b")</f>
        <v>6ecc4201-82fb-4356-aba6-a4d145ee7f6b</v>
      </c>
      <c r="I39" s="10" t="str">
        <f>IFERROR(__xludf.DUMMYFUNCTION("""COMPUTED_VALUE"""),"6ecc4201-82fb-4356-aba6-a4d145ee7f6b")</f>
        <v>6ecc4201-82fb-4356-aba6-a4d145ee7f6b</v>
      </c>
    </row>
    <row r="40">
      <c r="A40" s="10" t="str">
        <f>IFERROR(__xludf.DUMMYFUNCTION("""COMPUTED_VALUE"""),"Secret code of digital transformation, hosted by Netguru")</f>
        <v>Secret code of digital transformation, hosted by Netguru</v>
      </c>
      <c r="B40" s="10" t="str">
        <f>IFERROR(__xludf.DUMMYFUNCTION("""COMPUTED_VALUE"""),"Ever wondered how to change your company and make your customers love you twice as much? Join this workshop to hear the lessons learned from running digital transformation projects, both good and bad. Explore the best use cases from the financial industry"&amp;" and many more.
You’ll learn:
* How to transform internal processes;
* How to quickly adapt to a customers’ and employees’ needs;
* How to stimulate innovative thinking.")</f>
        <v>Ever wondered how to change your company and make your customers love you twice as much? Join this workshop to hear the lessons learned from running digital transformation projects, both good and bad. Explore the best use cases from the financial industry and many more.
You’ll learn:
* How to transform internal processes;
* How to quickly adapt to a customers’ and employees’ needs;
* How to stimulate innovative thinking.</v>
      </c>
      <c r="C40" s="10" t="str">
        <f>IFERROR(__xludf.DUMMYFUNCTION("""COMPUTED_VALUE"""),"Workshop 3")</f>
        <v>Workshop 3</v>
      </c>
      <c r="D40" s="10" t="str">
        <f>IFERROR(__xludf.DUMMYFUNCTION("""COMPUTED_VALUE"""),"Wiktor Schmidt, Roland Folz, Jonathon Spanos, Rodolphe Ardant, Rita Costa Waite, Alain Bindels, Mats Lundquist, Kristian Hart-Hansen and Mateusz Czajka")</f>
        <v>Wiktor Schmidt, Roland Folz, Jonathon Spanos, Rodolphe Ardant, Rita Costa Waite, Alain Bindels, Mats Lundquist, Kristian Hart-Hansen and Mateusz Czajka</v>
      </c>
      <c r="E40" s="10" t="str">
        <f>IFERROR(__xludf.DUMMYFUNCTION("""COMPUTED_VALUE"""),"Wiktor Schmidt,Roland Folz,Jonathon Spanos,Rodolphe Ardant,Rita Costa Waite,Alain Bindels,Mats Lundquist,Kristian Hart-Hansen,Mateusz Czajka")</f>
        <v>Wiktor Schmidt,Roland Folz,Jonathon Spanos,Rodolphe Ardant,Rita Costa Waite,Alain Bindels,Mats Lundquist,Kristian Hart-Hansen,Mateusz Czajka</v>
      </c>
      <c r="F40" s="10" t="str">
        <f>IFERROR(__xludf.DUMMYFUNCTION("""COMPUTED_VALUE"""),"2019/11/06 12:15:00")</f>
        <v>2019/11/06 12:15:00</v>
      </c>
      <c r="G40" s="10" t="str">
        <f>IFERROR(__xludf.DUMMYFUNCTION("""COMPUTED_VALUE"""),"2019/11/06 13:15:00")</f>
        <v>2019/11/06 13:15:00</v>
      </c>
      <c r="H40" s="10" t="str">
        <f>IFERROR(__xludf.DUMMYFUNCTION("""COMPUTED_VALUE"""),"ee3f763c-73d0-45da-b3cd-d224d07bb6fa")</f>
        <v>ee3f763c-73d0-45da-b3cd-d224d07bb6fa</v>
      </c>
      <c r="I40" s="10" t="str">
        <f>IFERROR(__xludf.DUMMYFUNCTION("""COMPUTED_VALUE"""),"ee3f763c-73d0-45da-b3cd-d224d07bb6fa")</f>
        <v>ee3f763c-73d0-45da-b3cd-d224d07bb6fa</v>
      </c>
    </row>
    <row r="41">
      <c r="A41" s="10" t="str">
        <f>IFERROR(__xludf.DUMMYFUNCTION("""COMPUTED_VALUE"""),"The middle mile - breaking american car culture")</f>
        <v>The middle mile - breaking american car culture</v>
      </c>
      <c r="B41" s="10" t="str">
        <f>IFERROR(__xludf.DUMMYFUNCTION("""COMPUTED_VALUE"""),"Is the way that we commute completely broken? If so, how do we fix it? In this keynote, we’ll be examining how the last part of your journey can impact the greater commute for everyone. ")</f>
        <v>Is the way that we commute completely broken? If so, how do we fix it? In this keynote, we’ll be examining how the last part of your journey can impact the greater commute for everyone. </v>
      </c>
      <c r="C41" s="10" t="str">
        <f>IFERROR(__xludf.DUMMYFUNCTION("""COMPUTED_VALUE"""),"Auto/Tech &amp; TalkRobot")</f>
        <v>Auto/Tech &amp; TalkRobot</v>
      </c>
      <c r="D41" s="10" t="str">
        <f>IFERROR(__xludf.DUMMYFUNCTION("""COMPUTED_VALUE"""),"Frank Reig")</f>
        <v>Frank Reig</v>
      </c>
      <c r="E41" s="10" t="str">
        <f>IFERROR(__xludf.DUMMYFUNCTION("""COMPUTED_VALUE"""),"Frank Reig")</f>
        <v>Frank Reig</v>
      </c>
      <c r="F41" s="10" t="str">
        <f>IFERROR(__xludf.DUMMYFUNCTION("""COMPUTED_VALUE"""),"2019/11/07 14:30:00")</f>
        <v>2019/11/07 14:30:00</v>
      </c>
      <c r="G41" s="10" t="str">
        <f>IFERROR(__xludf.DUMMYFUNCTION("""COMPUTED_VALUE"""),"2019/11/07 14:50:00")</f>
        <v>2019/11/07 14:50:00</v>
      </c>
      <c r="H41" s="10" t="str">
        <f>IFERROR(__xludf.DUMMYFUNCTION("""COMPUTED_VALUE"""),"a0cf0658-f16a-4c4c-a816-d9a93784684d")</f>
        <v>a0cf0658-f16a-4c4c-a816-d9a93784684d</v>
      </c>
      <c r="I41" s="10" t="str">
        <f>IFERROR(__xludf.DUMMYFUNCTION("""COMPUTED_VALUE"""),"a0cf0658-f16a-4c4c-a816-d9a93784684d")</f>
        <v>a0cf0658-f16a-4c4c-a816-d9a93784684d</v>
      </c>
    </row>
    <row r="42">
      <c r="A42" s="10" t="str">
        <f>IFERROR(__xludf.DUMMYFUNCTION("""COMPUTED_VALUE"""),"Shortcuts to succ-Saas")</f>
        <v>Shortcuts to succ-Saas</v>
      </c>
      <c r="B42" s="10" t="str">
        <f>IFERROR(__xludf.DUMMYFUNCTION("""COMPUTED_VALUE"""),"How do staff based inhouse and remotely affect how SaaS companies build their marketing teams? What is the ideal team structure to ensure growth? Join this session to find out.")</f>
        <v>How do staff based inhouse and remotely affect how SaaS companies build their marketing teams? What is the ideal team structure to ensure growth? Join this session to find out.</v>
      </c>
      <c r="C42" s="10" t="str">
        <f>IFERROR(__xludf.DUMMYFUNCTION("""COMPUTED_VALUE"""),"SaaS Monster")</f>
        <v>SaaS Monster</v>
      </c>
      <c r="D42" s="10" t="str">
        <f>IFERROR(__xludf.DUMMYFUNCTION("""COMPUTED_VALUE"""),"Janine Pelosi, Tom Klein and Jordan French")</f>
        <v>Janine Pelosi, Tom Klein and Jordan French</v>
      </c>
      <c r="E42" s="10" t="str">
        <f>IFERROR(__xludf.DUMMYFUNCTION("""COMPUTED_VALUE"""),"Janine Pelosi,Tom Klein,Jordan French")</f>
        <v>Janine Pelosi,Tom Klein,Jordan French</v>
      </c>
      <c r="F42" s="10" t="str">
        <f>IFERROR(__xludf.DUMMYFUNCTION("""COMPUTED_VALUE"""),"2019/11/05 12:30:00")</f>
        <v>2019/11/05 12:30:00</v>
      </c>
      <c r="G42" s="10" t="str">
        <f>IFERROR(__xludf.DUMMYFUNCTION("""COMPUTED_VALUE"""),"2019/11/05 12:50:00")</f>
        <v>2019/11/05 12:50:00</v>
      </c>
      <c r="H42" s="10" t="str">
        <f>IFERROR(__xludf.DUMMYFUNCTION("""COMPUTED_VALUE"""),"d13de206-4905-431f-be23-206ebc7b96b9")</f>
        <v>d13de206-4905-431f-be23-206ebc7b96b9</v>
      </c>
      <c r="I42" s="10" t="str">
        <f>IFERROR(__xludf.DUMMYFUNCTION("""COMPUTED_VALUE"""),"d13de206-4905-431f-be23-206ebc7b96b9")</f>
        <v>d13de206-4905-431f-be23-206ebc7b96b9</v>
      </c>
    </row>
    <row r="43">
      <c r="A43" s="10" t="str">
        <f>IFERROR(__xludf.DUMMYFUNCTION("""COMPUTED_VALUE"""),"What does it take to be a modern CMO?")</f>
        <v>What does it take to be a modern CMO?</v>
      </c>
      <c r="B43" s="10" t="str">
        <f>IFERROR(__xludf.DUMMYFUNCTION("""COMPUTED_VALUE"""),"A unique opportunity to go behind the scenes with three of the world's leading marketers as they share their insights on building the modern brand.")</f>
        <v>A unique opportunity to go behind the scenes with three of the world's leading marketers as they share their insights on building the modern brand.</v>
      </c>
      <c r="C43" s="10" t="str">
        <f>IFERROR(__xludf.DUMMYFUNCTION("""COMPUTED_VALUE"""),"PandaConf")</f>
        <v>PandaConf</v>
      </c>
      <c r="D43" s="10" t="str">
        <f>IFERROR(__xludf.DUMMYFUNCTION("""COMPUTED_VALUE"""),"Meagen Eisenberg, Tom Klein, Janine Pelosi and Katie Deighton")</f>
        <v>Meagen Eisenberg, Tom Klein, Janine Pelosi and Katie Deighton</v>
      </c>
      <c r="E43" s="10" t="str">
        <f>IFERROR(__xludf.DUMMYFUNCTION("""COMPUTED_VALUE"""),"Meagen Eisenberg,Tom Klein,Janine Pelosi,Katie Deighton")</f>
        <v>Meagen Eisenberg,Tom Klein,Janine Pelosi,Katie Deighton</v>
      </c>
      <c r="F43" s="10" t="str">
        <f>IFERROR(__xludf.DUMMYFUNCTION("""COMPUTED_VALUE"""),"2019/11/05 14:10:00")</f>
        <v>2019/11/05 14:10:00</v>
      </c>
      <c r="G43" s="10" t="str">
        <f>IFERROR(__xludf.DUMMYFUNCTION("""COMPUTED_VALUE"""),"2019/11/05 14:35:00")</f>
        <v>2019/11/05 14:35:00</v>
      </c>
      <c r="H43" s="10" t="str">
        <f>IFERROR(__xludf.DUMMYFUNCTION("""COMPUTED_VALUE"""),"f9830c98-c828-4bff-97b9-d496bb65eb0b")</f>
        <v>f9830c98-c828-4bff-97b9-d496bb65eb0b</v>
      </c>
      <c r="I43" s="10" t="str">
        <f>IFERROR(__xludf.DUMMYFUNCTION("""COMPUTED_VALUE"""),"f9830c98-c828-4bff-97b9-d496bb65eb0b")</f>
        <v>f9830c98-c828-4bff-97b9-d496bb65eb0b</v>
      </c>
    </row>
    <row r="44">
      <c r="A44" s="10" t="str">
        <f>IFERROR(__xludf.DUMMYFUNCTION("""COMPUTED_VALUE"""),"Getting a VC to say yes: Securing the funding you need to grow")</f>
        <v>Getting a VC to say yes: Securing the funding you need to grow</v>
      </c>
      <c r="B44" s="10" t="str">
        <f>IFERROR(__xludf.DUMMYFUNCTION("""COMPUTED_VALUE"""),"Hear from CEO of Futril, Hannah, on key factors which will help turn that “no” into a “yes”, and secure that crucial funding you need to fuel your growth.")</f>
        <v>Hear from CEO of Futril, Hannah, on key factors which will help turn that “no” into a “yes”, and secure that crucial funding you need to fuel your growth.</v>
      </c>
      <c r="C44" s="10" t="str">
        <f>IFERROR(__xludf.DUMMYFUNCTION("""COMPUTED_VALUE"""),"Growth Summit")</f>
        <v>Growth Summit</v>
      </c>
      <c r="D44" s="10" t="str">
        <f>IFERROR(__xludf.DUMMYFUNCTION("""COMPUTED_VALUE"""),"Hannah Dawson")</f>
        <v>Hannah Dawson</v>
      </c>
      <c r="E44" s="10" t="str">
        <f>IFERROR(__xludf.DUMMYFUNCTION("""COMPUTED_VALUE"""),"Hannah Dawson")</f>
        <v>Hannah Dawson</v>
      </c>
      <c r="F44" s="10" t="str">
        <f>IFERROR(__xludf.DUMMYFUNCTION("""COMPUTED_VALUE"""),"2019/11/05 10:02:00")</f>
        <v>2019/11/05 10:02:00</v>
      </c>
      <c r="G44" s="10" t="str">
        <f>IFERROR(__xludf.DUMMYFUNCTION("""COMPUTED_VALUE"""),"2019/11/05 10:06:00")</f>
        <v>2019/11/05 10:06:00</v>
      </c>
      <c r="H44" s="10" t="str">
        <f>IFERROR(__xludf.DUMMYFUNCTION("""COMPUTED_VALUE"""),"5b5fa4ff-6683-438d-be33-29e501d9991f")</f>
        <v>5b5fa4ff-6683-438d-be33-29e501d9991f</v>
      </c>
      <c r="I44" s="10" t="str">
        <f>IFERROR(__xludf.DUMMYFUNCTION("""COMPUTED_VALUE"""),"5b5fa4ff-6683-438d-be33-29e501d9991f")</f>
        <v>5b5fa4ff-6683-438d-be33-29e501d9991f</v>
      </c>
    </row>
    <row r="45">
      <c r="A45" s="10" t="str">
        <f>IFERROR(__xludf.DUMMYFUNCTION("""COMPUTED_VALUE"""),"Lunch break")</f>
        <v>Lunch break</v>
      </c>
      <c r="B45" s="10" t="str">
        <f>IFERROR(__xludf.DUMMYFUNCTION("""COMPUTED_VALUE"""),"")</f>
        <v/>
      </c>
      <c r="C45" s="10" t="str">
        <f>IFERROR(__xludf.DUMMYFUNCTION("""COMPUTED_VALUE"""),"Auto/Tech &amp; TalkRobot")</f>
        <v>Auto/Tech &amp; TalkRobot</v>
      </c>
      <c r="D45" s="10" t="str">
        <f>IFERROR(__xludf.DUMMYFUNCTION("""COMPUTED_VALUE"""),"")</f>
        <v/>
      </c>
      <c r="E45" s="10" t="str">
        <f>IFERROR(__xludf.DUMMYFUNCTION("""COMPUTED_VALUE"""),"")</f>
        <v/>
      </c>
      <c r="F45" s="10" t="str">
        <f>IFERROR(__xludf.DUMMYFUNCTION("""COMPUTED_VALUE"""),"2019/11/05 13:20:00")</f>
        <v>2019/11/05 13:20:00</v>
      </c>
      <c r="G45" s="10" t="str">
        <f>IFERROR(__xludf.DUMMYFUNCTION("""COMPUTED_VALUE"""),"2019/11/05 14:05:00")</f>
        <v>2019/11/05 14:05:00</v>
      </c>
      <c r="H45" s="10" t="str">
        <f>IFERROR(__xludf.DUMMYFUNCTION("""COMPUTED_VALUE"""),"3d27d484-34eb-41a7-b86c-b4aeec184dcf")</f>
        <v>3d27d484-34eb-41a7-b86c-b4aeec184dcf</v>
      </c>
      <c r="I45" s="10" t="str">
        <f>IFERROR(__xludf.DUMMYFUNCTION("""COMPUTED_VALUE"""),"3d27d484-34eb-41a7-b86c-b4aeec184dcf")</f>
        <v>3d27d484-34eb-41a7-b86c-b4aeec184dcf</v>
      </c>
    </row>
    <row r="46">
      <c r="A46" s="10" t="str">
        <f>IFERROR(__xludf.DUMMYFUNCTION("""COMPUTED_VALUE"""),"The importance of secure communications for global growth")</f>
        <v>The importance of secure communications for global growth</v>
      </c>
      <c r="B46" s="10" t="str">
        <f>IFERROR(__xludf.DUMMYFUNCTION("""COMPUTED_VALUE"""),"Sikur CEO, Fabio Fischer, joins us to explain how tunneling and integration between encrypted apps, cloud, OS and devices, based on white label mobile platforms and private cloud is imperative to ensure privacy over a company’s strategic information and c"&amp;"ompliance with regulatory challenges worldwide.")</f>
        <v>Sikur CEO, Fabio Fischer, joins us to explain how tunneling and integration between encrypted apps, cloud, OS and devices, based on white label mobile platforms and private cloud is imperative to ensure privacy over a company’s strategic information and compliance with regulatory challenges worldwide.</v>
      </c>
      <c r="C46" s="10" t="str">
        <f>IFERROR(__xludf.DUMMYFUNCTION("""COMPUTED_VALUE"""),"Growth Summit")</f>
        <v>Growth Summit</v>
      </c>
      <c r="D46" s="10" t="str">
        <f>IFERROR(__xludf.DUMMYFUNCTION("""COMPUTED_VALUE"""),"Fabio Fischer de Aguiar")</f>
        <v>Fabio Fischer de Aguiar</v>
      </c>
      <c r="E46" s="10" t="str">
        <f>IFERROR(__xludf.DUMMYFUNCTION("""COMPUTED_VALUE"""),"Fabio Fischer de Aguiar")</f>
        <v>Fabio Fischer de Aguiar</v>
      </c>
      <c r="F46" s="10" t="str">
        <f>IFERROR(__xludf.DUMMYFUNCTION("""COMPUTED_VALUE"""),"2019/11/06 11:02:00")</f>
        <v>2019/11/06 11:02:00</v>
      </c>
      <c r="G46" s="10" t="str">
        <f>IFERROR(__xludf.DUMMYFUNCTION("""COMPUTED_VALUE"""),"2019/11/06 11:06:00")</f>
        <v>2019/11/06 11:06:00</v>
      </c>
      <c r="H46" s="10" t="str">
        <f>IFERROR(__xludf.DUMMYFUNCTION("""COMPUTED_VALUE"""),"9155bfae-4012-4e93-bac9-daea87f8de59")</f>
        <v>9155bfae-4012-4e93-bac9-daea87f8de59</v>
      </c>
      <c r="I46" s="10" t="str">
        <f>IFERROR(__xludf.DUMMYFUNCTION("""COMPUTED_VALUE"""),"9155bfae-4012-4e93-bac9-daea87f8de59")</f>
        <v>9155bfae-4012-4e93-bac9-daea87f8de59</v>
      </c>
    </row>
    <row r="47">
      <c r="A47" s="10" t="str">
        <f>IFERROR(__xludf.DUMMYFUNCTION("""COMPUTED_VALUE"""),"Scaling a startup globally from Europe: Lessons learned")</f>
        <v>Scaling a startup globally from Europe: Lessons learned</v>
      </c>
      <c r="B47" s="10" t="str">
        <f>IFERROR(__xludf.DUMMYFUNCTION("""COMPUTED_VALUE"""),"Since Profitero’s launch at Web Summit 2010, the company and its founders have gone through a steep learning curve. CEO and co-founder, Vol will share how, despite being based in Ireland, Profitero managed to raise funding from a top US VC, open offices a"&amp;"round the world and sell to enterprise customers in over 50 countries.")</f>
        <v>Since Profitero’s launch at Web Summit 2010, the company and its founders have gone through a steep learning curve. CEO and co-founder, Vol will share how, despite being based in Ireland, Profitero managed to raise funding from a top US VC, open offices around the world and sell to enterprise customers in over 50 countries.</v>
      </c>
      <c r="C47" s="10" t="str">
        <f>IFERROR(__xludf.DUMMYFUNCTION("""COMPUTED_VALUE"""),"Growth Summit")</f>
        <v>Growth Summit</v>
      </c>
      <c r="D47" s="10" t="str">
        <f>IFERROR(__xludf.DUMMYFUNCTION("""COMPUTED_VALUE"""),"Vol Pigrukh")</f>
        <v>Vol Pigrukh</v>
      </c>
      <c r="E47" s="10" t="str">
        <f>IFERROR(__xludf.DUMMYFUNCTION("""COMPUTED_VALUE"""),"Vol Pigrukh")</f>
        <v>Vol Pigrukh</v>
      </c>
      <c r="F47" s="10" t="str">
        <f>IFERROR(__xludf.DUMMYFUNCTION("""COMPUTED_VALUE"""),"2019/11/05 11:42:00")</f>
        <v>2019/11/05 11:42:00</v>
      </c>
      <c r="G47" s="10" t="str">
        <f>IFERROR(__xludf.DUMMYFUNCTION("""COMPUTED_VALUE"""),"2019/11/05 11:46:00")</f>
        <v>2019/11/05 11:46:00</v>
      </c>
      <c r="H47" s="10" t="str">
        <f>IFERROR(__xludf.DUMMYFUNCTION("""COMPUTED_VALUE"""),"e39a9b0a-2940-466b-a31d-ffd0d7810eb1")</f>
        <v>e39a9b0a-2940-466b-a31d-ffd0d7810eb1</v>
      </c>
      <c r="I47" s="10" t="str">
        <f>IFERROR(__xludf.DUMMYFUNCTION("""COMPUTED_VALUE"""),"e39a9b0a-2940-466b-a31d-ffd0d7810eb1")</f>
        <v>e39a9b0a-2940-466b-a31d-ffd0d7810eb1</v>
      </c>
    </row>
    <row r="48">
      <c r="A48" s="10" t="str">
        <f>IFERROR(__xludf.DUMMYFUNCTION("""COMPUTED_VALUE"""),"Retention as the new conversion")</f>
        <v>Retention as the new conversion</v>
      </c>
      <c r="B48" s="10" t="str">
        <f>IFERROR(__xludf.DUMMYFUNCTION("""COMPUTED_VALUE"""),"The old world of SaaS marketing is one replete with hacks, tips, tricks, and techniques all designed to get a user to signup and hopefully convert. But when most modern revenue is through subscription, what is a conversion today? After all, we don’t buy s"&amp;"oftware these days, we subscribe to it. This talk covers the new techniques that modern day product owners and marketers will need for the new world of customer relationships.")</f>
        <v>The old world of SaaS marketing is one replete with hacks, tips, tricks, and techniques all designed to get a user to signup and hopefully convert. But when most modern revenue is through subscription, what is a conversion today? After all, we don’t buy software these days, we subscribe to it. This talk covers the new techniques that modern day product owners and marketers will need for the new world of customer relationships.</v>
      </c>
      <c r="C48" s="10" t="str">
        <f>IFERROR(__xludf.DUMMYFUNCTION("""COMPUTED_VALUE"""),"SaaS Monster")</f>
        <v>SaaS Monster</v>
      </c>
      <c r="D48" s="10" t="str">
        <f>IFERROR(__xludf.DUMMYFUNCTION("""COMPUTED_VALUE"""),"Des Traynor")</f>
        <v>Des Traynor</v>
      </c>
      <c r="E48" s="10" t="str">
        <f>IFERROR(__xludf.DUMMYFUNCTION("""COMPUTED_VALUE"""),"Des Traynor")</f>
        <v>Des Traynor</v>
      </c>
      <c r="F48" s="10" t="str">
        <f>IFERROR(__xludf.DUMMYFUNCTION("""COMPUTED_VALUE"""),"2019/11/05 11:10:00")</f>
        <v>2019/11/05 11:10:00</v>
      </c>
      <c r="G48" s="10" t="str">
        <f>IFERROR(__xludf.DUMMYFUNCTION("""COMPUTED_VALUE"""),"2019/11/05 11:30:00")</f>
        <v>2019/11/05 11:30:00</v>
      </c>
      <c r="H48" s="10" t="str">
        <f>IFERROR(__xludf.DUMMYFUNCTION("""COMPUTED_VALUE"""),"1212862d-08b2-4165-9c8f-e9316b2c9cd4")</f>
        <v>1212862d-08b2-4165-9c8f-e9316b2c9cd4</v>
      </c>
      <c r="I48" s="10" t="str">
        <f>IFERROR(__xludf.DUMMYFUNCTION("""COMPUTED_VALUE"""),"1212862d-08b2-4165-9c8f-e9316b2c9cd4")</f>
        <v>1212862d-08b2-4165-9c8f-e9316b2c9cd4</v>
      </c>
    </row>
    <row r="49">
      <c r="A49" s="10" t="str">
        <f>IFERROR(__xludf.DUMMYFUNCTION("""COMPUTED_VALUE"""),"What will the first human martians look like?")</f>
        <v>What will the first human martians look like?</v>
      </c>
      <c r="B49" s="10" t="str">
        <f>IFERROR(__xludf.DUMMYFUNCTION("""COMPUTED_VALUE"""),"Meet the mutant humans of Mars. Professor of evolutionary biology Scott Solomon explains why babies born on the Red Planet will look, function, and behave dramatically different from us Earthlings.")</f>
        <v>Meet the mutant humans of Mars. Professor of evolutionary biology Scott Solomon explains why babies born on the Red Planet will look, function, and behave dramatically different from us Earthlings.</v>
      </c>
      <c r="C49" s="10" t="str">
        <f>IFERROR(__xludf.DUMMYFUNCTION("""COMPUTED_VALUE"""),"DeepTech")</f>
        <v>DeepTech</v>
      </c>
      <c r="D49" s="10" t="str">
        <f>IFERROR(__xludf.DUMMYFUNCTION("""COMPUTED_VALUE"""),"Scott Solomon")</f>
        <v>Scott Solomon</v>
      </c>
      <c r="E49" s="10" t="str">
        <f>IFERROR(__xludf.DUMMYFUNCTION("""COMPUTED_VALUE"""),"Scott Solomon")</f>
        <v>Scott Solomon</v>
      </c>
      <c r="F49" s="10" t="str">
        <f>IFERROR(__xludf.DUMMYFUNCTION("""COMPUTED_VALUE"""),"2019/11/06 15:35:00")</f>
        <v>2019/11/06 15:35:00</v>
      </c>
      <c r="G49" s="10" t="str">
        <f>IFERROR(__xludf.DUMMYFUNCTION("""COMPUTED_VALUE"""),"2019/11/06 15:55:00")</f>
        <v>2019/11/06 15:55:00</v>
      </c>
      <c r="H49" s="10" t="str">
        <f>IFERROR(__xludf.DUMMYFUNCTION("""COMPUTED_VALUE"""),"b834088e-e41d-4ee5-8b35-5691609ff728")</f>
        <v>b834088e-e41d-4ee5-8b35-5691609ff728</v>
      </c>
      <c r="I49" s="10" t="str">
        <f>IFERROR(__xludf.DUMMYFUNCTION("""COMPUTED_VALUE"""),"b834088e-e41d-4ee5-8b35-5691609ff728")</f>
        <v>b834088e-e41d-4ee5-8b35-5691609ff728</v>
      </c>
    </row>
    <row r="50">
      <c r="A50" s="10" t="str">
        <f>IFERROR(__xludf.DUMMYFUNCTION("""COMPUTED_VALUE"""),"The best new smart speakers on the market")</f>
        <v>The best new smart speakers on the market</v>
      </c>
      <c r="B50" s="10" t="str">
        <f>IFERROR(__xludf.DUMMYFUNCTION("""COMPUTED_VALUE"""),"In an overcrowded market, how can you sort through the noise and choose the best speaker for your home, office or daily life?  Meet our panel of reviewers, who've done the hard work for you.")</f>
        <v>In an overcrowded market, how can you sort through the noise and choose the best speaker for your home, office or daily life?  Meet our panel of reviewers, who've done the hard work for you.</v>
      </c>
      <c r="C50" s="10" t="str">
        <f>IFERROR(__xludf.DUMMYFUNCTION("""COMPUTED_VALUE"""),"UnBoxed")</f>
        <v>UnBoxed</v>
      </c>
      <c r="D50" s="10" t="str">
        <f>IFERROR(__xludf.DUMMYFUNCTION("""COMPUTED_VALUE"""),"Dirk Kuchel, Daniel Catalão, Kevin Lynch and Lindsey Turrentine")</f>
        <v>Dirk Kuchel, Daniel Catalão, Kevin Lynch and Lindsey Turrentine</v>
      </c>
      <c r="E50" s="10" t="str">
        <f>IFERROR(__xludf.DUMMYFUNCTION("""COMPUTED_VALUE"""),"Dirk Kuchel,Daniel Catalão,Kevin Lynch,Lindsey Turrentine")</f>
        <v>Dirk Kuchel,Daniel Catalão,Kevin Lynch,Lindsey Turrentine</v>
      </c>
      <c r="F50" s="10" t="str">
        <f>IFERROR(__xludf.DUMMYFUNCTION("""COMPUTED_VALUE"""),"2019/11/05 12:20:00")</f>
        <v>2019/11/05 12:20:00</v>
      </c>
      <c r="G50" s="10" t="str">
        <f>IFERROR(__xludf.DUMMYFUNCTION("""COMPUTED_VALUE"""),"2019/11/05 12:45:00")</f>
        <v>2019/11/05 12:45:00</v>
      </c>
      <c r="H50" s="10" t="str">
        <f>IFERROR(__xludf.DUMMYFUNCTION("""COMPUTED_VALUE"""),"e2b32d36-da41-45cb-95f7-aacdcfd78bd4")</f>
        <v>e2b32d36-da41-45cb-95f7-aacdcfd78bd4</v>
      </c>
      <c r="I50" s="10" t="str">
        <f>IFERROR(__xludf.DUMMYFUNCTION("""COMPUTED_VALUE"""),"e2b32d36-da41-45cb-95f7-aacdcfd78bd4")</f>
        <v>e2b32d36-da41-45cb-95f7-aacdcfd78bd4</v>
      </c>
    </row>
    <row r="51">
      <c r="A51" s="10" t="str">
        <f>IFERROR(__xludf.DUMMYFUNCTION("""COMPUTED_VALUE"""),"Inbound sales and data protection")</f>
        <v>Inbound sales and data protection</v>
      </c>
      <c r="B51" s="10" t="str">
        <f>IFERROR(__xludf.DUMMYFUNCTION("""COMPUTED_VALUE"""),"Inbound is great but many people try to hide behind a personal email. How do you find them? You can run but you can't hide: my super trick to double our qualified leads.")</f>
        <v>Inbound is great but many people try to hide behind a personal email. How do you find them? You can run but you can't hide: my super trick to double our qualified leads.</v>
      </c>
      <c r="C51" s="10" t="str">
        <f>IFERROR(__xludf.DUMMYFUNCTION("""COMPUTED_VALUE"""),"Growth Summit")</f>
        <v>Growth Summit</v>
      </c>
      <c r="D51" s="10" t="str">
        <f>IFERROR(__xludf.DUMMYFUNCTION("""COMPUTED_VALUE"""),"Sylvain Tillon")</f>
        <v>Sylvain Tillon</v>
      </c>
      <c r="E51" s="10" t="str">
        <f>IFERROR(__xludf.DUMMYFUNCTION("""COMPUTED_VALUE"""),"Sylvain Tillon")</f>
        <v>Sylvain Tillon</v>
      </c>
      <c r="F51" s="10" t="str">
        <f>IFERROR(__xludf.DUMMYFUNCTION("""COMPUTED_VALUE"""),"2019/11/06 11:42:00")</f>
        <v>2019/11/06 11:42:00</v>
      </c>
      <c r="G51" s="10" t="str">
        <f>IFERROR(__xludf.DUMMYFUNCTION("""COMPUTED_VALUE"""),"2019/11/06 11:46:00")</f>
        <v>2019/11/06 11:46:00</v>
      </c>
      <c r="H51" s="10" t="str">
        <f>IFERROR(__xludf.DUMMYFUNCTION("""COMPUTED_VALUE"""),"05a729be-6401-4b5c-9b09-d263e20f5f60")</f>
        <v>05a729be-6401-4b5c-9b09-d263e20f5f60</v>
      </c>
      <c r="I51" s="10" t="str">
        <f>IFERROR(__xludf.DUMMYFUNCTION("""COMPUTED_VALUE"""),"05a729be-6401-4b5c-9b09-d263e20f5f60")</f>
        <v>05a729be-6401-4b5c-9b09-d263e20f5f60</v>
      </c>
    </row>
    <row r="52">
      <c r="A52" s="10" t="str">
        <f>IFERROR(__xludf.DUMMYFUNCTION("""COMPUTED_VALUE"""),"Crowdsourcing is the future of beauty")</f>
        <v>Crowdsourcing is the future of beauty</v>
      </c>
      <c r="B52" s="10" t="str">
        <f>IFERROR(__xludf.DUMMYFUNCTION("""COMPUTED_VALUE"""),"90% of all new launches fail - beauty products are no exception. At Scentbird we believe in a world of building something people love, every single time. So when we set out to create a line of beauty products - we went directly to the source - our growing"&amp;" digital community of beauty lovers.")</f>
        <v>90% of all new launches fail - beauty products are no exception. At Scentbird we believe in a world of building something people love, every single time. So when we set out to create a line of beauty products - we went directly to the source - our growing digital community of beauty lovers.</v>
      </c>
      <c r="C52" s="10" t="str">
        <f>IFERROR(__xludf.DUMMYFUNCTION("""COMPUTED_VALUE"""),"Growth Summit")</f>
        <v>Growth Summit</v>
      </c>
      <c r="D52" s="10" t="str">
        <f>IFERROR(__xludf.DUMMYFUNCTION("""COMPUTED_VALUE"""),"Mariya Nurislamova")</f>
        <v>Mariya Nurislamova</v>
      </c>
      <c r="E52" s="10" t="str">
        <f>IFERROR(__xludf.DUMMYFUNCTION("""COMPUTED_VALUE"""),"Mariya Nurislamova")</f>
        <v>Mariya Nurislamova</v>
      </c>
      <c r="F52" s="10" t="str">
        <f>IFERROR(__xludf.DUMMYFUNCTION("""COMPUTED_VALUE"""),"2019/11/07 15:15:00")</f>
        <v>2019/11/07 15:15:00</v>
      </c>
      <c r="G52" s="10" t="str">
        <f>IFERROR(__xludf.DUMMYFUNCTION("""COMPUTED_VALUE"""),"2019/11/07 15:26:00")</f>
        <v>2019/11/07 15:26:00</v>
      </c>
      <c r="H52" s="10" t="str">
        <f>IFERROR(__xludf.DUMMYFUNCTION("""COMPUTED_VALUE"""),"23e74f82-23c4-4b53-a988-85427bff99ea")</f>
        <v>23e74f82-23c4-4b53-a988-85427bff99ea</v>
      </c>
      <c r="I52" s="10" t="str">
        <f>IFERROR(__xludf.DUMMYFUNCTION("""COMPUTED_VALUE"""),"23e74f82-23c4-4b53-a988-85427bff99ea")</f>
        <v>23e74f82-23c4-4b53-a988-85427bff99ea</v>
      </c>
    </row>
    <row r="53">
      <c r="A53" s="10" t="str">
        <f>IFERROR(__xludf.DUMMYFUNCTION("""COMPUTED_VALUE"""),"Welcome to the future of mobile robots")</f>
        <v>Welcome to the future of mobile robots</v>
      </c>
      <c r="B53" s="10" t="str">
        <f>IFERROR(__xludf.DUMMYFUNCTION("""COMPUTED_VALUE"""),"A pioneering company at the cutting edge of robotics showcases its vision for the future of robotic technology that interacts with the world.")</f>
        <v>A pioneering company at the cutting edge of robotics showcases its vision for the future of robotic technology that interacts with the world.</v>
      </c>
      <c r="C53" s="10" t="str">
        <f>IFERROR(__xludf.DUMMYFUNCTION("""COMPUTED_VALUE"""),"Centre Stage")</f>
        <v>Centre Stage</v>
      </c>
      <c r="D53" s="10" t="str">
        <f>IFERROR(__xludf.DUMMYFUNCTION("""COMPUTED_VALUE"""),"Marc Raibert")</f>
        <v>Marc Raibert</v>
      </c>
      <c r="E53" s="10" t="str">
        <f>IFERROR(__xludf.DUMMYFUNCTION("""COMPUTED_VALUE"""),"Marc Raibert")</f>
        <v>Marc Raibert</v>
      </c>
      <c r="F53" s="10" t="str">
        <f>IFERROR(__xludf.DUMMYFUNCTION("""COMPUTED_VALUE"""),"2019/11/07 14:00:00")</f>
        <v>2019/11/07 14:00:00</v>
      </c>
      <c r="G53" s="10" t="str">
        <f>IFERROR(__xludf.DUMMYFUNCTION("""COMPUTED_VALUE"""),"2019/11/07 14:25:00")</f>
        <v>2019/11/07 14:25:00</v>
      </c>
      <c r="H53" s="10" t="str">
        <f>IFERROR(__xludf.DUMMYFUNCTION("""COMPUTED_VALUE"""),"6c79a820-5adc-475a-b059-378cf1e5e7d0")</f>
        <v>6c79a820-5adc-475a-b059-378cf1e5e7d0</v>
      </c>
      <c r="I53" s="10" t="str">
        <f>IFERROR(__xludf.DUMMYFUNCTION("""COMPUTED_VALUE"""),"6c79a820-5adc-475a-b059-378cf1e5e7d0")</f>
        <v>6c79a820-5adc-475a-b059-378cf1e5e7d0</v>
      </c>
    </row>
    <row r="54">
      <c r="A54" s="10" t="str">
        <f>IFERROR(__xludf.DUMMYFUNCTION("""COMPUTED_VALUE"""),"Opening remarks")</f>
        <v>Opening remarks</v>
      </c>
      <c r="B54" s="10" t="str">
        <f>IFERROR(__xludf.DUMMYFUNCTION("""COMPUTED_VALUE"""),"")</f>
        <v/>
      </c>
      <c r="C54" s="10" t="str">
        <f>IFERROR(__xludf.DUMMYFUNCTION("""COMPUTED_VALUE"""),"MusicNotes")</f>
        <v>MusicNotes</v>
      </c>
      <c r="D54" s="10" t="str">
        <f>IFERROR(__xludf.DUMMYFUNCTION("""COMPUTED_VALUE"""),"Jane Gideon")</f>
        <v>Jane Gideon</v>
      </c>
      <c r="E54" s="10" t="str">
        <f>IFERROR(__xludf.DUMMYFUNCTION("""COMPUTED_VALUE"""),"Jane Gideon")</f>
        <v>Jane Gideon</v>
      </c>
      <c r="F54" s="10" t="str">
        <f>IFERROR(__xludf.DUMMYFUNCTION("""COMPUTED_VALUE"""),"2019/11/07 13:45:00")</f>
        <v>2019/11/07 13:45:00</v>
      </c>
      <c r="G54" s="10" t="str">
        <f>IFERROR(__xludf.DUMMYFUNCTION("""COMPUTED_VALUE"""),"2019/11/07 14:00:00")</f>
        <v>2019/11/07 14:00:00</v>
      </c>
      <c r="H54" s="10" t="str">
        <f>IFERROR(__xludf.DUMMYFUNCTION("""COMPUTED_VALUE"""),"49ccd40c-1f83-468b-a46a-3b0b3af46969")</f>
        <v>49ccd40c-1f83-468b-a46a-3b0b3af46969</v>
      </c>
      <c r="I54" s="10" t="str">
        <f>IFERROR(__xludf.DUMMYFUNCTION("""COMPUTED_VALUE"""),"49ccd40c-1f83-468b-a46a-3b0b3af46969")</f>
        <v>49ccd40c-1f83-468b-a46a-3b0b3af46969</v>
      </c>
    </row>
    <row r="55">
      <c r="A55" s="10" t="str">
        <f>IFERROR(__xludf.DUMMYFUNCTION("""COMPUTED_VALUE"""),"Net-zero, now achievable")</f>
        <v>Net-zero, now achievable</v>
      </c>
      <c r="B55" s="10" t="str">
        <f>IFERROR(__xludf.DUMMYFUNCTION("""COMPUTED_VALUE"""),"What are the implications and opportunities of being able to put atmospheric carbon back in the ground?  In this exclusive solo session, we hear from one of the only companies in the world engaged in carbon upcycling and find out if the tech behind it is "&amp;"all that's been promised.")</f>
        <v>What are the implications and opportunities of being able to put atmospheric carbon back in the ground?  In this exclusive solo session, we hear from one of the only companies in the world engaged in carbon upcycling and find out if the tech behind it is all that's been promised.</v>
      </c>
      <c r="C55" s="10" t="str">
        <f>IFERROR(__xludf.DUMMYFUNCTION("""COMPUTED_VALUE"""),"planet:tech ")</f>
        <v>planet:tech </v>
      </c>
      <c r="D55" s="10" t="str">
        <f>IFERROR(__xludf.DUMMYFUNCTION("""COMPUTED_VALUE"""),"Steve Oldham")</f>
        <v>Steve Oldham</v>
      </c>
      <c r="E55" s="10" t="str">
        <f>IFERROR(__xludf.DUMMYFUNCTION("""COMPUTED_VALUE"""),"Steve Oldham")</f>
        <v>Steve Oldham</v>
      </c>
      <c r="F55" s="10" t="str">
        <f>IFERROR(__xludf.DUMMYFUNCTION("""COMPUTED_VALUE"""),"2019/11/05 14:35:00")</f>
        <v>2019/11/05 14:35:00</v>
      </c>
      <c r="G55" s="10" t="str">
        <f>IFERROR(__xludf.DUMMYFUNCTION("""COMPUTED_VALUE"""),"2019/11/05 14:50:00")</f>
        <v>2019/11/05 14:50:00</v>
      </c>
      <c r="H55" s="10" t="str">
        <f>IFERROR(__xludf.DUMMYFUNCTION("""COMPUTED_VALUE"""),"889b4465-ebfd-4d10-9c60-288de087f2b0")</f>
        <v>889b4465-ebfd-4d10-9c60-288de087f2b0</v>
      </c>
      <c r="I55" s="10" t="str">
        <f>IFERROR(__xludf.DUMMYFUNCTION("""COMPUTED_VALUE"""),"889b4465-ebfd-4d10-9c60-288de087f2b0")</f>
        <v>889b4465-ebfd-4d10-9c60-288de087f2b0</v>
      </c>
    </row>
    <row r="56">
      <c r="A56" s="10" t="str">
        <f>IFERROR(__xludf.DUMMYFUNCTION("""COMPUTED_VALUE"""),"Huawei’s HMS ecosystem and $1b incentive programme, hosted by Huawei")</f>
        <v>Huawei’s HMS ecosystem and $1b incentive programme, hosted by Huawei</v>
      </c>
      <c r="B56" s="10" t="str">
        <f>IFERROR(__xludf.DUMMYFUNCTION("""COMPUTED_VALUE"""),"570m+ active users, 1m+ developers, 170+ countries coverage. As mobile is rapidly becoming the epicenter of our lives, we pledged ourselves to provide world-leading technologies to shape an open, collaborative, best-in-class digital ecosystem.")</f>
        <v>570m+ active users, 1m+ developers, 170+ countries coverage. As mobile is rapidly becoming the epicenter of our lives, we pledged ourselves to provide world-leading technologies to shape an open, collaborative, best-in-class digital ecosystem.</v>
      </c>
      <c r="C56" s="10" t="str">
        <f>IFERROR(__xludf.DUMMYFUNCTION("""COMPUTED_VALUE"""),"Workshop 1")</f>
        <v>Workshop 1</v>
      </c>
      <c r="D56" s="10" t="str">
        <f>IFERROR(__xludf.DUMMYFUNCTION("""COMPUTED_VALUE"""),"")</f>
        <v/>
      </c>
      <c r="E56" s="10" t="str">
        <f>IFERROR(__xludf.DUMMYFUNCTION("""COMPUTED_VALUE"""),"")</f>
        <v/>
      </c>
      <c r="F56" s="10" t="str">
        <f>IFERROR(__xludf.DUMMYFUNCTION("""COMPUTED_VALUE"""),"2019/11/05 13:30:00")</f>
        <v>2019/11/05 13:30:00</v>
      </c>
      <c r="G56" s="10" t="str">
        <f>IFERROR(__xludf.DUMMYFUNCTION("""COMPUTED_VALUE"""),"2019/11/05 13:45:00")</f>
        <v>2019/11/05 13:45:00</v>
      </c>
      <c r="H56" s="10" t="str">
        <f>IFERROR(__xludf.DUMMYFUNCTION("""COMPUTED_VALUE"""),"ffe5ad05-4c58-4577-bd39-81d72c6efd5c")</f>
        <v>ffe5ad05-4c58-4577-bd39-81d72c6efd5c</v>
      </c>
      <c r="I56" s="10" t="str">
        <f>IFERROR(__xludf.DUMMYFUNCTION("""COMPUTED_VALUE"""),"ffe5ad05-4c58-4577-bd39-81d72c6efd5c")</f>
        <v>ffe5ad05-4c58-4577-bd39-81d72c6efd5c</v>
      </c>
    </row>
    <row r="57">
      <c r="A57" s="10" t="str">
        <f>IFERROR(__xludf.DUMMYFUNCTION("""COMPUTED_VALUE"""),"PITCH ground round 14")</f>
        <v>PITCH ground round 14</v>
      </c>
      <c r="B57" s="10" t="str">
        <f>IFERROR(__xludf.DUMMYFUNCTION("""COMPUTED_VALUE"""),"")</f>
        <v/>
      </c>
      <c r="C57" s="10" t="str">
        <f>IFERROR(__xludf.DUMMYFUNCTION("""COMPUTED_VALUE"""),"")</f>
        <v/>
      </c>
      <c r="D57" s="10" t="str">
        <f>IFERROR(__xludf.DUMMYFUNCTION("""COMPUTED_VALUE"""),"Vanessa Wright,  Claude Ritter,  Yamilette Cano,  Stephan Morais,  Joe Altendorff,  Marco Delgado,  Hendrik Kramer,  Svetlana Zakharenkova,  Tony Park,  Klena Sarges Silva and  Jacinto Sa and Pedro Beirão")</f>
        <v>Vanessa Wright,  Claude Ritter,  Yamilette Cano,  Stephan Morais,  Joe Altendorff,  Marco Delgado,  Hendrik Kramer,  Svetlana Zakharenkova,  Tony Park,  Klena Sarges Silva and  Jacinto Sa and Pedro Beirão</v>
      </c>
      <c r="E57" s="10" t="str">
        <f>IFERROR(__xludf.DUMMYFUNCTION("""COMPUTED_VALUE"""),"Vanessa Wright, Claude Ritter, Yamilette Cano, Stephan Morais, Joe Altendorff, Marco Delgado, Hendrik Kramer, Svetlana Zakharenkova, Tony Park, Klena Sarges Silva, Jacinto Sa and Pedro Beirão")</f>
        <v>Vanessa Wright, Claude Ritter, Yamilette Cano, Stephan Morais, Joe Altendorff, Marco Delgado, Hendrik Kramer, Svetlana Zakharenkova, Tony Park, Klena Sarges Silva, Jacinto Sa and Pedro Beirão</v>
      </c>
      <c r="F57" s="10" t="str">
        <f>IFERROR(__xludf.DUMMYFUNCTION("""COMPUTED_VALUE"""),"")</f>
        <v/>
      </c>
      <c r="G57" s="10" t="str">
        <f>IFERROR(__xludf.DUMMYFUNCTION("""COMPUTED_VALUE"""),"")</f>
        <v/>
      </c>
      <c r="H57" s="10" t="str">
        <f>IFERROR(__xludf.DUMMYFUNCTION("""COMPUTED_VALUE"""),"cf931488-569f-545d-813a-2a49a76dddb5")</f>
        <v>cf931488-569f-545d-813a-2a49a76dddb5</v>
      </c>
      <c r="I57" s="10" t="str">
        <f>IFERROR(__xludf.DUMMYFUNCTION("""COMPUTED_VALUE"""),"cf931488-569f-545d-813a-2a49a76dddb5")</f>
        <v>cf931488-569f-545d-813a-2a49a76dddb5</v>
      </c>
    </row>
    <row r="58">
      <c r="A58" s="10" t="str">
        <f>IFERROR(__xludf.DUMMYFUNCTION("""COMPUTED_VALUE"""),"Key lessons from the art of the successful rebrand")</f>
        <v>Key lessons from the art of the successful rebrand</v>
      </c>
      <c r="B58" s="10" t="str">
        <f>IFERROR(__xludf.DUMMYFUNCTION("""COMPUTED_VALUE"""),"Rebranding a company's goals, message, and culture is hard – many try and most fail. A successful campaign requires more than a revamped logo. These marketing and branding experts explain what companies should do to inspire customers, investors and others"&amp;" to see their brand in a new light.
")</f>
        <v>Rebranding a company's goals, message, and culture is hard – many try and most fail. A successful campaign requires more than a revamped logo. These marketing and branding experts explain what companies should do to inspire customers, investors and others to see their brand in a new light.
</v>
      </c>
      <c r="C58" s="10" t="str">
        <f>IFERROR(__xludf.DUMMYFUNCTION("""COMPUTED_VALUE"""),"creatiff")</f>
        <v>creatiff</v>
      </c>
      <c r="D58" s="10" t="str">
        <f>IFERROR(__xludf.DUMMYFUNCTION("""COMPUTED_VALUE"""),"Margaret Molloy, Tom Klein, Paul Stafford and Charlie Wood")</f>
        <v>Margaret Molloy, Tom Klein, Paul Stafford and Charlie Wood</v>
      </c>
      <c r="E58" s="10" t="str">
        <f>IFERROR(__xludf.DUMMYFUNCTION("""COMPUTED_VALUE"""),"Margaret Molloy,Tom Klein,Paul Stafford,Charlie Wood")</f>
        <v>Margaret Molloy,Tom Klein,Paul Stafford,Charlie Wood</v>
      </c>
      <c r="F58" s="10" t="str">
        <f>IFERROR(__xludf.DUMMYFUNCTION("""COMPUTED_VALUE"""),"2019/11/05 15:40:00")</f>
        <v>2019/11/05 15:40:00</v>
      </c>
      <c r="G58" s="10" t="str">
        <f>IFERROR(__xludf.DUMMYFUNCTION("""COMPUTED_VALUE"""),"2019/11/05 16:05:00")</f>
        <v>2019/11/05 16:05:00</v>
      </c>
      <c r="H58" s="10" t="str">
        <f>IFERROR(__xludf.DUMMYFUNCTION("""COMPUTED_VALUE"""),"0576748e-f5be-424c-bd28-d0622dfe0af3")</f>
        <v>0576748e-f5be-424c-bd28-d0622dfe0af3</v>
      </c>
      <c r="I58" s="10" t="str">
        <f>IFERROR(__xludf.DUMMYFUNCTION("""COMPUTED_VALUE"""),"0576748e-f5be-424c-bd28-d0622dfe0af3")</f>
        <v>0576748e-f5be-424c-bd28-d0622dfe0af3</v>
      </c>
    </row>
    <row r="59">
      <c r="A59" s="10" t="str">
        <f>IFERROR(__xludf.DUMMYFUNCTION("""COMPUTED_VALUE"""),"The challenges of growing a B2B AI-based healthtech startup")</f>
        <v>The challenges of growing a B2B AI-based healthtech startup</v>
      </c>
      <c r="B59" s="10" t="str">
        <f>IFERROR(__xludf.DUMMYFUNCTION("""COMPUTED_VALUE"""),"There are many challenges that AI based healthcare startups face in regards to growth. As these businesses try to scale they need to deal with a constantly changing regulatory environment. How can a company deal with this while still being innovative?")</f>
        <v>There are many challenges that AI based healthcare startups face in regards to growth. As these businesses try to scale they need to deal with a constantly changing regulatory environment. How can a company deal with this while still being innovative?</v>
      </c>
      <c r="C59" s="10" t="str">
        <f>IFERROR(__xludf.DUMMYFUNCTION("""COMPUTED_VALUE"""),"Growth Summit")</f>
        <v>Growth Summit</v>
      </c>
      <c r="D59" s="10" t="str">
        <f>IFERROR(__xludf.DUMMYFUNCTION("""COMPUTED_VALUE"""),"Landon McKenna")</f>
        <v>Landon McKenna</v>
      </c>
      <c r="E59" s="10" t="str">
        <f>IFERROR(__xludf.DUMMYFUNCTION("""COMPUTED_VALUE"""),"Landon McKenna")</f>
        <v>Landon McKenna</v>
      </c>
      <c r="F59" s="10" t="str">
        <f>IFERROR(__xludf.DUMMYFUNCTION("""COMPUTED_VALUE"""),"2019/11/06 11:38:00")</f>
        <v>2019/11/06 11:38:00</v>
      </c>
      <c r="G59" s="10" t="str">
        <f>IFERROR(__xludf.DUMMYFUNCTION("""COMPUTED_VALUE"""),"2019/11/06 11:42:00")</f>
        <v>2019/11/06 11:42:00</v>
      </c>
      <c r="H59" s="10" t="str">
        <f>IFERROR(__xludf.DUMMYFUNCTION("""COMPUTED_VALUE"""),"9496b3fa-3e90-44e1-87d8-98237be9ace4")</f>
        <v>9496b3fa-3e90-44e1-87d8-98237be9ace4</v>
      </c>
      <c r="I59" s="10" t="str">
        <f>IFERROR(__xludf.DUMMYFUNCTION("""COMPUTED_VALUE"""),"9496b3fa-3e90-44e1-87d8-98237be9ace4")</f>
        <v>9496b3fa-3e90-44e1-87d8-98237be9ace4</v>
      </c>
    </row>
    <row r="60">
      <c r="A60" s="10" t="str">
        <f>IFERROR(__xludf.DUMMYFUNCTION("""COMPUTED_VALUE"""),"Are your smartphone and outdoor advertising connected?")</f>
        <v>Are your smartphone and outdoor advertising connected?</v>
      </c>
      <c r="B60" s="10" t="str">
        <f>IFERROR(__xludf.DUMMYFUNCTION("""COMPUTED_VALUE"""),"Mobile and outdoor advertising have more in common than you might suspect. If anyone should know, it's JCDecaux.")</f>
        <v>Mobile and outdoor advertising have more in common than you might suspect. If anyone should know, it's JCDecaux.</v>
      </c>
      <c r="C60" s="10" t="str">
        <f>IFERROR(__xludf.DUMMYFUNCTION("""COMPUTED_VALUE"""),"PandaConf")</f>
        <v>PandaConf</v>
      </c>
      <c r="D60" s="10" t="str">
        <f>IFERROR(__xludf.DUMMYFUNCTION("""COMPUTED_VALUE"""),"François-Xavier Pierrel")</f>
        <v>François-Xavier Pierrel</v>
      </c>
      <c r="E60" s="10" t="str">
        <f>IFERROR(__xludf.DUMMYFUNCTION("""COMPUTED_VALUE"""),"François-Xavier Pierrel")</f>
        <v>François-Xavier Pierrel</v>
      </c>
      <c r="F60" s="10" t="str">
        <f>IFERROR(__xludf.DUMMYFUNCTION("""COMPUTED_VALUE"""),"2019/11/06 15:05:00")</f>
        <v>2019/11/06 15:05:00</v>
      </c>
      <c r="G60" s="10" t="str">
        <f>IFERROR(__xludf.DUMMYFUNCTION("""COMPUTED_VALUE"""),"2019/11/06 15:25:00")</f>
        <v>2019/11/06 15:25:00</v>
      </c>
      <c r="H60" s="10" t="str">
        <f>IFERROR(__xludf.DUMMYFUNCTION("""COMPUTED_VALUE"""),"44f5b406-feed-4fad-a094-485085d7d3e5")</f>
        <v>44f5b406-feed-4fad-a094-485085d7d3e5</v>
      </c>
      <c r="I60" s="10" t="str">
        <f>IFERROR(__xludf.DUMMYFUNCTION("""COMPUTED_VALUE"""),"44f5b406-feed-4fad-a094-485085d7d3e5")</f>
        <v>44f5b406-feed-4fad-a094-485085d7d3e5</v>
      </c>
    </row>
    <row r="61">
      <c r="A61" s="10" t="str">
        <f>IFERROR(__xludf.DUMMYFUNCTION("""COMPUTED_VALUE"""),"Robots are dead, long live robots")</f>
        <v>Robots are dead, long live robots</v>
      </c>
      <c r="B61" s="10" t="str">
        <f>IFERROR(__xludf.DUMMYFUNCTION("""COMPUTED_VALUE"""),"Love them, or love to hate them, robots are getting smarter and more ubiquitous. A leading roboticist, joined by our robot overlord, sheds light on the future of working, living and playing alongside our machine friends. ")</f>
        <v>Love them, or love to hate them, robots are getting smarter and more ubiquitous. A leading roboticist, joined by our robot overlord, sheds light on the future of working, living and playing alongside our machine friends. </v>
      </c>
      <c r="C61" s="10" t="str">
        <f>IFERROR(__xludf.DUMMYFUNCTION("""COMPUTED_VALUE"""),"Centre Stage")</f>
        <v>Centre Stage</v>
      </c>
      <c r="D61" s="10" t="str">
        <f>IFERROR(__xludf.DUMMYFUNCTION("""COMPUTED_VALUE"""),"David Hanson, Sophia The Robot, Ben Goertzel and Philip K. Dick (robot)")</f>
        <v>David Hanson, Sophia The Robot, Ben Goertzel and Philip K. Dick (robot)</v>
      </c>
      <c r="E61" s="10" t="str">
        <f>IFERROR(__xludf.DUMMYFUNCTION("""COMPUTED_VALUE"""),"David Hanson,Sophia The Robot,Ben Goertzel,Philip K. Dick (robot)")</f>
        <v>David Hanson,Sophia The Robot,Ben Goertzel,Philip K. Dick (robot)</v>
      </c>
      <c r="F61" s="10" t="str">
        <f>IFERROR(__xludf.DUMMYFUNCTION("""COMPUTED_VALUE"""),"2019/11/06 14:00:00")</f>
        <v>2019/11/06 14:00:00</v>
      </c>
      <c r="G61" s="10" t="str">
        <f>IFERROR(__xludf.DUMMYFUNCTION("""COMPUTED_VALUE"""),"2019/11/06 14:25:00")</f>
        <v>2019/11/06 14:25:00</v>
      </c>
      <c r="H61" s="10" t="str">
        <f>IFERROR(__xludf.DUMMYFUNCTION("""COMPUTED_VALUE"""),"62a7378f-54a0-4a03-a376-07e508576ebb")</f>
        <v>62a7378f-54a0-4a03-a376-07e508576ebb</v>
      </c>
      <c r="I61" s="10" t="str">
        <f>IFERROR(__xludf.DUMMYFUNCTION("""COMPUTED_VALUE"""),"62a7378f-54a0-4a03-a376-07e508576ebb")</f>
        <v>62a7378f-54a0-4a03-a376-07e508576ebb</v>
      </c>
    </row>
    <row r="62">
      <c r="A62" s="10" t="str">
        <f>IFERROR(__xludf.DUMMYFUNCTION("""COMPUTED_VALUE"""),"Opening remarks")</f>
        <v>Opening remarks</v>
      </c>
      <c r="B62" s="10" t="str">
        <f>IFERROR(__xludf.DUMMYFUNCTION("""COMPUTED_VALUE"""),"")</f>
        <v/>
      </c>
      <c r="C62" s="10" t="str">
        <f>IFERROR(__xludf.DUMMYFUNCTION("""COMPUTED_VALUE"""),"Growth Summit")</f>
        <v>Growth Summit</v>
      </c>
      <c r="D62" s="10" t="str">
        <f>IFERROR(__xludf.DUMMYFUNCTION("""COMPUTED_VALUE"""),"Jane Gideon")</f>
        <v>Jane Gideon</v>
      </c>
      <c r="E62" s="10" t="str">
        <f>IFERROR(__xludf.DUMMYFUNCTION("""COMPUTED_VALUE"""),"Jane Gideon")</f>
        <v>Jane Gideon</v>
      </c>
      <c r="F62" s="10" t="str">
        <f>IFERROR(__xludf.DUMMYFUNCTION("""COMPUTED_VALUE"""),"2019/11/05 12:28:00")</f>
        <v>2019/11/05 12:28:00</v>
      </c>
      <c r="G62" s="10" t="str">
        <f>IFERROR(__xludf.DUMMYFUNCTION("""COMPUTED_VALUE"""),"2019/11/05 12:30:00")</f>
        <v>2019/11/05 12:30:00</v>
      </c>
      <c r="H62" s="10" t="str">
        <f>IFERROR(__xludf.DUMMYFUNCTION("""COMPUTED_VALUE"""),"0bc35cab-39da-4df9-a10f-d05a89509254")</f>
        <v>0bc35cab-39da-4df9-a10f-d05a89509254</v>
      </c>
      <c r="I62" s="10" t="str">
        <f>IFERROR(__xludf.DUMMYFUNCTION("""COMPUTED_VALUE"""),"0bc35cab-39da-4df9-a10f-d05a89509254")</f>
        <v>0bc35cab-39da-4df9-a10f-d05a89509254</v>
      </c>
    </row>
    <row r="63">
      <c r="A63" s="10" t="str">
        <f>IFERROR(__xludf.DUMMYFUNCTION("""COMPUTED_VALUE"""),"Innovating against crisis")</f>
        <v>Innovating against crisis</v>
      </c>
      <c r="B63" s="10" t="str">
        <f>IFERROR(__xludf.DUMMYFUNCTION("""COMPUTED_VALUE"""),"In this keynote, we will learn how leaders in business and government are reacting to a world of constant change and disruption. We will analyse the idea of opportunity in chaos, and ask how a 'crisis' mode of operations can help organisations, from start"&amp;"ups to global giants, better prioritise, mobilise resources to realise their innovative ideas.")</f>
        <v>In this keynote, we will learn how leaders in business and government are reacting to a world of constant change and disruption. We will analyse the idea of opportunity in chaos, and ask how a 'crisis' mode of operations can help organisations, from startups to global giants, better prioritise, mobilise resources to realise their innovative ideas.</v>
      </c>
      <c r="C63" s="10" t="str">
        <f>IFERROR(__xludf.DUMMYFUNCTION("""COMPUTED_VALUE"""),"Corporate Innovation Summit")</f>
        <v>Corporate Innovation Summit</v>
      </c>
      <c r="D63" s="10" t="str">
        <f>IFERROR(__xludf.DUMMYFUNCTION("""COMPUTED_VALUE"""),"Ricardo Vargas")</f>
        <v>Ricardo Vargas</v>
      </c>
      <c r="E63" s="10" t="str">
        <f>IFERROR(__xludf.DUMMYFUNCTION("""COMPUTED_VALUE"""),"Ricardo Vargas")</f>
        <v>Ricardo Vargas</v>
      </c>
      <c r="F63" s="10" t="str">
        <f>IFERROR(__xludf.DUMMYFUNCTION("""COMPUTED_VALUE"""),"2019/11/05 13:20:00")</f>
        <v>2019/11/05 13:20:00</v>
      </c>
      <c r="G63" s="10" t="str">
        <f>IFERROR(__xludf.DUMMYFUNCTION("""COMPUTED_VALUE"""),"2019/11/05 13:40:00")</f>
        <v>2019/11/05 13:40:00</v>
      </c>
      <c r="H63" s="10" t="str">
        <f>IFERROR(__xludf.DUMMYFUNCTION("""COMPUTED_VALUE"""),"4da5b880-2153-40a4-8868-22b185a3dd98")</f>
        <v>4da5b880-2153-40a4-8868-22b185a3dd98</v>
      </c>
      <c r="I63" s="10" t="str">
        <f>IFERROR(__xludf.DUMMYFUNCTION("""COMPUTED_VALUE"""),"4da5b880-2153-40a4-8868-22b185a3dd98")</f>
        <v>4da5b880-2153-40a4-8868-22b185a3dd98</v>
      </c>
    </row>
    <row r="64">
      <c r="A64" s="10" t="str">
        <f>IFERROR(__xludf.DUMMYFUNCTION("""COMPUTED_VALUE"""),"Building Calibra and increasing access to the global economy")</f>
        <v>Building Calibra and increasing access to the global economy</v>
      </c>
      <c r="B64" s="10" t="str">
        <f>IFERROR(__xludf.DUMMYFUNCTION("""COMPUTED_VALUE"""),"If you have an internet connection today, you can access all kinds of useful services for little to no cost. But when it comes to storing, sending, and spending money, it’s not that simple. Billions of people around the world still lack access to even bas"&amp;"ic financial services. This is the challenge Calibra is hoping to address with its digital wallet for Libra, a new global payments system powered by blockchain technology. In this session, Kevin Weil, VP of Product for Calibra, will discuss how Calibra sp"&amp;"ecifically and the Libra Blockchain, in general, can provide people with greater access to money and the global economy.")</f>
        <v>If you have an internet connection today, you can access all kinds of useful services for little to no cost. But when it comes to storing, sending, and spending money, it’s not that simple. Billions of people around the world still lack access to even basic financial services. This is the challenge Calibra is hoping to address with its digital wallet for Libra, a new global payments system powered by blockchain technology. In this session, Kevin Weil, VP of Product for Calibra, will discuss how Calibra specifically and the Libra Blockchain, in general, can provide people with greater access to money and the global economy.</v>
      </c>
      <c r="C64" s="10" t="str">
        <f>IFERROR(__xludf.DUMMYFUNCTION("""COMPUTED_VALUE"""),"Centre Stage")</f>
        <v>Centre Stage</v>
      </c>
      <c r="D64" s="10" t="str">
        <f>IFERROR(__xludf.DUMMYFUNCTION("""COMPUTED_VALUE"""),"Kevin Weil and Tim Bradshaw")</f>
        <v>Kevin Weil and Tim Bradshaw</v>
      </c>
      <c r="E64" s="10" t="str">
        <f>IFERROR(__xludf.DUMMYFUNCTION("""COMPUTED_VALUE"""),"Kevin Weil,Tim Bradshaw")</f>
        <v>Kevin Weil,Tim Bradshaw</v>
      </c>
      <c r="F64" s="10" t="str">
        <f>IFERROR(__xludf.DUMMYFUNCTION("""COMPUTED_VALUE"""),"2019/11/05 10:45:00")</f>
        <v>2019/11/05 10:45:00</v>
      </c>
      <c r="G64" s="10" t="str">
        <f>IFERROR(__xludf.DUMMYFUNCTION("""COMPUTED_VALUE"""),"2019/11/05 11:10:00")</f>
        <v>2019/11/05 11:10:00</v>
      </c>
      <c r="H64" s="10" t="str">
        <f>IFERROR(__xludf.DUMMYFUNCTION("""COMPUTED_VALUE"""),"b644ca03-0d33-47fe-b16b-93d2c0607c1a")</f>
        <v>b644ca03-0d33-47fe-b16b-93d2c0607c1a</v>
      </c>
      <c r="I64" s="10" t="str">
        <f>IFERROR(__xludf.DUMMYFUNCTION("""COMPUTED_VALUE"""),"b644ca03-0d33-47fe-b16b-93d2c0607c1a")</f>
        <v>b644ca03-0d33-47fe-b16b-93d2c0607c1a</v>
      </c>
    </row>
    <row r="65">
      <c r="A65" s="10" t="str">
        <f>IFERROR(__xludf.DUMMYFUNCTION("""COMPUTED_VALUE"""),"Featured venue: Tosca - Taberna São Paulo")</f>
        <v>Featured venue: Tosca - Taberna São Paulo</v>
      </c>
      <c r="B65" s="10" t="str">
        <f>IFERROR(__xludf.DUMMYFUNCTION("""COMPUTED_VALUE"""),"Want to chill out with some local vibes? This cute little restaurant bar is just for you.
Night Summit deals: 
2 for 1 drink deal on beer and glasses of house wine")</f>
        <v>Want to chill out with some local vibes? This cute little restaurant bar is just for you.
Night Summit deals: 
2 for 1 drink deal on beer and glasses of house wine</v>
      </c>
      <c r="C65" s="10" t="str">
        <f>IFERROR(__xludf.DUMMYFUNCTION("""COMPUTED_VALUE"""),"Tosca - Taberna São Paulo")</f>
        <v>Tosca - Taberna São Paulo</v>
      </c>
      <c r="D65" s="10" t="str">
        <f>IFERROR(__xludf.DUMMYFUNCTION("""COMPUTED_VALUE"""),"")</f>
        <v/>
      </c>
      <c r="E65" s="10" t="str">
        <f>IFERROR(__xludf.DUMMYFUNCTION("""COMPUTED_VALUE"""),"")</f>
        <v/>
      </c>
      <c r="F65" s="10" t="str">
        <f>IFERROR(__xludf.DUMMYFUNCTION("""COMPUTED_VALUE"""),"2019/11/05 20:00:00")</f>
        <v>2019/11/05 20:00:00</v>
      </c>
      <c r="G65" s="10" t="str">
        <f>IFERROR(__xludf.DUMMYFUNCTION("""COMPUTED_VALUE"""),"2019/11/06 00:00:00")</f>
        <v>2019/11/06 00:00:00</v>
      </c>
      <c r="H65" s="10" t="str">
        <f>IFERROR(__xludf.DUMMYFUNCTION("""COMPUTED_VALUE"""),"3c56c091-c9c1-4ab2-8af0-5770f18d0afa")</f>
        <v>3c56c091-c9c1-4ab2-8af0-5770f18d0afa</v>
      </c>
      <c r="I65" s="10" t="str">
        <f>IFERROR(__xludf.DUMMYFUNCTION("""COMPUTED_VALUE"""),"3c56c091-c9c1-4ab2-8af0-5770f18d0afa")</f>
        <v>3c56c091-c9c1-4ab2-8af0-5770f18d0afa</v>
      </c>
    </row>
    <row r="66">
      <c r="A66" s="10" t="str">
        <f>IFERROR(__xludf.DUMMYFUNCTION("""COMPUTED_VALUE"""),"Political journalism in a post-truth era")</f>
        <v>Political journalism in a post-truth era</v>
      </c>
      <c r="B66" s="10" t="str">
        <f>IFERROR(__xludf.DUMMYFUNCTION("""COMPUTED_VALUE"""),"Political journalism has become one of the most commonly ridiculed of professions - with constant accusations of fake news, bias, and innaccuracy being hurled at political journalists across the world. This next panel will discuss how to counter this narr"&amp;"ative and provide accurate and fair political reporting in an era that has lost touch with what the truth is.")</f>
        <v>Political journalism has become one of the most commonly ridiculed of professions - with constant accusations of fake news, bias, and innaccuracy being hurled at political journalists across the world. This next panel will discuss how to counter this narrative and provide accurate and fair political reporting in an era that has lost touch with what the truth is.</v>
      </c>
      <c r="C66" s="10" t="str">
        <f>IFERROR(__xludf.DUMMYFUNCTION("""COMPUTED_VALUE"""),"Future Societies")</f>
        <v>Future Societies</v>
      </c>
      <c r="D66" s="10" t="str">
        <f>IFERROR(__xludf.DUMMYFUNCTION("""COMPUTED_VALUE"""),"Dafna Linzer, Tim Alberta, James Ball and Steve Clemons")</f>
        <v>Dafna Linzer, Tim Alberta, James Ball and Steve Clemons</v>
      </c>
      <c r="E66" s="10" t="str">
        <f>IFERROR(__xludf.DUMMYFUNCTION("""COMPUTED_VALUE"""),"Dafna Linzer,Tim Alberta,James Ball,Steve Clemons")</f>
        <v>Dafna Linzer,Tim Alberta,James Ball,Steve Clemons</v>
      </c>
      <c r="F66" s="10" t="str">
        <f>IFERROR(__xludf.DUMMYFUNCTION("""COMPUTED_VALUE"""),"2019/11/06 12:10:00")</f>
        <v>2019/11/06 12:10:00</v>
      </c>
      <c r="G66" s="10" t="str">
        <f>IFERROR(__xludf.DUMMYFUNCTION("""COMPUTED_VALUE"""),"2019/11/06 12:30:00")</f>
        <v>2019/11/06 12:30:00</v>
      </c>
      <c r="H66" s="10" t="str">
        <f>IFERROR(__xludf.DUMMYFUNCTION("""COMPUTED_VALUE"""),"03687978-304d-4121-82e5-dca94850e527")</f>
        <v>03687978-304d-4121-82e5-dca94850e527</v>
      </c>
      <c r="I66" s="10" t="str">
        <f>IFERROR(__xludf.DUMMYFUNCTION("""COMPUTED_VALUE"""),"03687978-304d-4121-82e5-dca94850e527")</f>
        <v>03687978-304d-4121-82e5-dca94850e527</v>
      </c>
    </row>
    <row r="67">
      <c r="A67" s="10" t="str">
        <f>IFERROR(__xludf.DUMMYFUNCTION("""COMPUTED_VALUE"""),"Solving the problem of next-gen cars starts with thinking of scale")</f>
        <v>Solving the problem of next-gen cars starts with thinking of scale</v>
      </c>
      <c r="B67" s="10" t="str">
        <f>IFERROR(__xludf.DUMMYFUNCTION("""COMPUTED_VALUE"""),"Not long ago the plan for next generation cars included 12 cameras, 6 LiDARs, 10 radars, V2X, and multiple processors. Would this car actually work? Probably not. The innovative use of radar tech enables smarter processing, fewer sensors, and lower power."&amp;" Less is more - the key for scale in automotive.")</f>
        <v>Not long ago the plan for next generation cars included 12 cameras, 6 LiDARs, 10 radars, V2X, and multiple processors. Would this car actually work? Probably not. The innovative use of radar tech enables smarter processing, fewer sensors, and lower power. Less is more - the key for scale in automotive.</v>
      </c>
      <c r="C67" s="10" t="str">
        <f>IFERROR(__xludf.DUMMYFUNCTION("""COMPUTED_VALUE"""),"Growth Summit")</f>
        <v>Growth Summit</v>
      </c>
      <c r="D67" s="10" t="str">
        <f>IFERROR(__xludf.DUMMYFUNCTION("""COMPUTED_VALUE"""),"Kobi Marenko")</f>
        <v>Kobi Marenko</v>
      </c>
      <c r="E67" s="10" t="str">
        <f>IFERROR(__xludf.DUMMYFUNCTION("""COMPUTED_VALUE"""),"Kobi Marenko")</f>
        <v>Kobi Marenko</v>
      </c>
      <c r="F67" s="10" t="str">
        <f>IFERROR(__xludf.DUMMYFUNCTION("""COMPUTED_VALUE"""),"2019/11/05 15:48:00")</f>
        <v>2019/11/05 15:48:00</v>
      </c>
      <c r="G67" s="10" t="str">
        <f>IFERROR(__xludf.DUMMYFUNCTION("""COMPUTED_VALUE"""),"2019/11/05 15:59:00")</f>
        <v>2019/11/05 15:59:00</v>
      </c>
      <c r="H67" s="10" t="str">
        <f>IFERROR(__xludf.DUMMYFUNCTION("""COMPUTED_VALUE"""),"6f326db8-17ff-481c-b285-24416a034240")</f>
        <v>6f326db8-17ff-481c-b285-24416a034240</v>
      </c>
      <c r="I67" s="10" t="str">
        <f>IFERROR(__xludf.DUMMYFUNCTION("""COMPUTED_VALUE"""),"6f326db8-17ff-481c-b285-24416a034240")</f>
        <v>6f326db8-17ff-481c-b285-24416a034240</v>
      </c>
    </row>
    <row r="68">
      <c r="A68" s="10" t="str">
        <f>IFERROR(__xludf.DUMMYFUNCTION("""COMPUTED_VALUE"""),"Featured venue: Cucurico")</f>
        <v>Featured venue: Cucurico</v>
      </c>
      <c r="B68" s="10" t="str">
        <f>IFERROR(__xludf.DUMMYFUNCTION("""COMPUTED_VALUE"""),"Feeling hungry? You'll smell this place before you see it, as it prefers to cook with, you guessed it, a BARBEQUE. It's a fact universally accepted that there's no more delicious way to cook your chicken, and this restaurant is the master of it. Try out t"&amp;"he unique taste for yourself, where all free range chicken is grilled with natural vegetable charcoal and salt. 
Night Summit deals: 
2 for 1 deals, including: Homemade tea, Homemade lemonade, Water bottle 0.50cl, Sagres beer 0.20cl")</f>
        <v>Feeling hungry? You'll smell this place before you see it, as it prefers to cook with, you guessed it, a BARBEQUE. It's a fact universally accepted that there's no more delicious way to cook your chicken, and this restaurant is the master of it. Try out the unique taste for yourself, where all free range chicken is grilled with natural vegetable charcoal and salt. 
Night Summit deals: 
2 for 1 deals, including: Homemade tea, Homemade lemonade, Water bottle 0.50cl, Sagres beer 0.20cl</v>
      </c>
      <c r="C68" s="10" t="str">
        <f>IFERROR(__xludf.DUMMYFUNCTION("""COMPUTED_VALUE"""),"Cucurico")</f>
        <v>Cucurico</v>
      </c>
      <c r="D68" s="10" t="str">
        <f>IFERROR(__xludf.DUMMYFUNCTION("""COMPUTED_VALUE"""),"")</f>
        <v/>
      </c>
      <c r="E68" s="10" t="str">
        <f>IFERROR(__xludf.DUMMYFUNCTION("""COMPUTED_VALUE"""),"")</f>
        <v/>
      </c>
      <c r="F68" s="10" t="str">
        <f>IFERROR(__xludf.DUMMYFUNCTION("""COMPUTED_VALUE"""),"2019/11/06 20:00:00")</f>
        <v>2019/11/06 20:00:00</v>
      </c>
      <c r="G68" s="10" t="str">
        <f>IFERROR(__xludf.DUMMYFUNCTION("""COMPUTED_VALUE"""),"2019/11/07 02:00:00")</f>
        <v>2019/11/07 02:00:00</v>
      </c>
      <c r="H68" s="10" t="str">
        <f>IFERROR(__xludf.DUMMYFUNCTION("""COMPUTED_VALUE"""),"1c90b810-b9a8-4c88-9434-320ed855c523")</f>
        <v>1c90b810-b9a8-4c88-9434-320ed855c523</v>
      </c>
      <c r="I68" s="10" t="str">
        <f>IFERROR(__xludf.DUMMYFUNCTION("""COMPUTED_VALUE"""),"1c90b810-b9a8-4c88-9434-320ed855c523")</f>
        <v>1c90b810-b9a8-4c88-9434-320ed855c523</v>
      </c>
    </row>
    <row r="69">
      <c r="A69" s="10" t="str">
        <f>IFERROR(__xludf.DUMMYFUNCTION("""COMPUTED_VALUE"""),"Q&amp;A Session With Deco")</f>
        <v>Q&amp;A Session With Deco</v>
      </c>
      <c r="B69" s="10" t="str">
        <f>IFERROR(__xludf.DUMMYFUNCTION("""COMPUTED_VALUE"""),"")</f>
        <v/>
      </c>
      <c r="C69" s="10" t="str">
        <f>IFERROR(__xludf.DUMMYFUNCTION("""COMPUTED_VALUE"""),"Q + A")</f>
        <v>Q + A</v>
      </c>
      <c r="D69" s="10" t="str">
        <f>IFERROR(__xludf.DUMMYFUNCTION("""COMPUTED_VALUE""")," ")</f>
        <v> </v>
      </c>
      <c r="E69" s="10" t="str">
        <f>IFERROR(__xludf.DUMMYFUNCTION("""COMPUTED_VALUE""")," ")</f>
        <v> </v>
      </c>
      <c r="F69" s="10" t="str">
        <f>IFERROR(__xludf.DUMMYFUNCTION("""COMPUTED_VALUE"""),"2019/11/05 15:15:00")</f>
        <v>2019/11/05 15:15:00</v>
      </c>
      <c r="G69" s="10" t="str">
        <f>IFERROR(__xludf.DUMMYFUNCTION("""COMPUTED_VALUE"""),"2019/11/05 15:30:00")</f>
        <v>2019/11/05 15:30:00</v>
      </c>
      <c r="H69" s="10" t="str">
        <f>IFERROR(__xludf.DUMMYFUNCTION("""COMPUTED_VALUE"""),"8659e6ea-d676-4a56-8103-27e2de45fdc4")</f>
        <v>8659e6ea-d676-4a56-8103-27e2de45fdc4</v>
      </c>
      <c r="I69" s="10" t="str">
        <f>IFERROR(__xludf.DUMMYFUNCTION("""COMPUTED_VALUE"""),"8659e6ea-d676-4a56-8103-27e2de45fdc4")</f>
        <v>8659e6ea-d676-4a56-8103-27e2de45fdc4</v>
      </c>
    </row>
    <row r="70">
      <c r="A70" s="10" t="str">
        <f>IFERROR(__xludf.DUMMYFUNCTION("""COMPUTED_VALUE"""),"Featured venue: Espumantaria do Cais")</f>
        <v>Featured venue: Espumantaria do Cais</v>
      </c>
      <c r="B70" s="10" t="str">
        <f>IFERROR(__xludf.DUMMYFUNCTION("""COMPUTED_VALUE"""),"Everyone needs a little sparkle from time to time, right? Here, the 'specialists in sparkling' will serve you delicious, delicate and dangerously tasty light wines and champagnes. What's more, they'll craft unique and beautiful cocktails out of them. Diam"&amp;"onds might be a girl's best friend, but champagne comes in a close second place.
Night Summit deals: 
Draft beer for €2, pint for €4, and 20% discount for bottle or glass of sparkling wine/espumante)")</f>
        <v>Everyone needs a little sparkle from time to time, right? Here, the 'specialists in sparkling' will serve you delicious, delicate and dangerously tasty light wines and champagnes. What's more, they'll craft unique and beautiful cocktails out of them. Diamonds might be a girl's best friend, but champagne comes in a close second place.
Night Summit deals: 
Draft beer for €2, pint for €4, and 20% discount for bottle or glass of sparkling wine/espumante)</v>
      </c>
      <c r="C70" s="10" t="str">
        <f>IFERROR(__xludf.DUMMYFUNCTION("""COMPUTED_VALUE"""),"Espumantaria do Cais")</f>
        <v>Espumantaria do Cais</v>
      </c>
      <c r="D70" s="10" t="str">
        <f>IFERROR(__xludf.DUMMYFUNCTION("""COMPUTED_VALUE"""),"")</f>
        <v/>
      </c>
      <c r="E70" s="10" t="str">
        <f>IFERROR(__xludf.DUMMYFUNCTION("""COMPUTED_VALUE"""),"")</f>
        <v/>
      </c>
      <c r="F70" s="10" t="str">
        <f>IFERROR(__xludf.DUMMYFUNCTION("""COMPUTED_VALUE"""),"2019/11/05 20:00:00")</f>
        <v>2019/11/05 20:00:00</v>
      </c>
      <c r="G70" s="10" t="str">
        <f>IFERROR(__xludf.DUMMYFUNCTION("""COMPUTED_VALUE"""),"2019/11/06 00:00:00")</f>
        <v>2019/11/06 00:00:00</v>
      </c>
      <c r="H70" s="10" t="str">
        <f>IFERROR(__xludf.DUMMYFUNCTION("""COMPUTED_VALUE"""),"fe316919-c38b-4421-bf2d-b9f1673476bc")</f>
        <v>fe316919-c38b-4421-bf2d-b9f1673476bc</v>
      </c>
      <c r="I70" s="10" t="str">
        <f>IFERROR(__xludf.DUMMYFUNCTION("""COMPUTED_VALUE"""),"fe316919-c38b-4421-bf2d-b9f1673476bc")</f>
        <v>fe316919-c38b-4421-bf2d-b9f1673476bc</v>
      </c>
    </row>
    <row r="71">
      <c r="A71" s="10" t="str">
        <f>IFERROR(__xludf.DUMMYFUNCTION("""COMPUTED_VALUE"""),"Preparing for the rise of AI, autonomous vehicles, and the IoT revolution")</f>
        <v>Preparing for the rise of AI, autonomous vehicles, and the IoT revolution</v>
      </c>
      <c r="B71" s="10" t="str">
        <f>IFERROR(__xludf.DUMMYFUNCTION("""COMPUTED_VALUE"""),"Things are going to get worse before they get better. Major outages are making headlines every day. The world is becoming more reliant on the internet, and every business is becoming an online business. We need a new approach with the rise of AI, autonomo"&amp;"us vehicles, and IoT.")</f>
        <v>Things are going to get worse before they get better. Major outages are making headlines every day. The world is becoming more reliant on the internet, and every business is becoming an online business. We need a new approach with the rise of AI, autonomous vehicles, and IoT.</v>
      </c>
      <c r="C71" s="10" t="str">
        <f>IFERROR(__xludf.DUMMYFUNCTION("""COMPUTED_VALUE"""),"Growth Summit")</f>
        <v>Growth Summit</v>
      </c>
      <c r="D71" s="10" t="str">
        <f>IFERROR(__xludf.DUMMYFUNCTION("""COMPUTED_VALUE"""),"Matthew Fornaciari")</f>
        <v>Matthew Fornaciari</v>
      </c>
      <c r="E71" s="10" t="str">
        <f>IFERROR(__xludf.DUMMYFUNCTION("""COMPUTED_VALUE"""),"Matthew Fornaciari")</f>
        <v>Matthew Fornaciari</v>
      </c>
      <c r="F71" s="10" t="str">
        <f>IFERROR(__xludf.DUMMYFUNCTION("""COMPUTED_VALUE"""),"2019/11/05 13:25:00")</f>
        <v>2019/11/05 13:25:00</v>
      </c>
      <c r="G71" s="10" t="str">
        <f>IFERROR(__xludf.DUMMYFUNCTION("""COMPUTED_VALUE"""),"2019/11/05 13:36:00")</f>
        <v>2019/11/05 13:36:00</v>
      </c>
      <c r="H71" s="10" t="str">
        <f>IFERROR(__xludf.DUMMYFUNCTION("""COMPUTED_VALUE"""),"6e6c5d4e-1d58-485c-b82b-cb53b999f6fd")</f>
        <v>6e6c5d4e-1d58-485c-b82b-cb53b999f6fd</v>
      </c>
      <c r="I71" s="10" t="str">
        <f>IFERROR(__xludf.DUMMYFUNCTION("""COMPUTED_VALUE"""),"6e6c5d4e-1d58-485c-b82b-cb53b999f6fd")</f>
        <v>6e6c5d4e-1d58-485c-b82b-cb53b999f6fd</v>
      </c>
    </row>
    <row r="72">
      <c r="A72" s="10" t="str">
        <f>IFERROR(__xludf.DUMMYFUNCTION("""COMPUTED_VALUE"""),"Taking care of tomorrow")</f>
        <v>Taking care of tomorrow</v>
      </c>
      <c r="B72" s="10" t="str">
        <f>IFERROR(__xludf.DUMMYFUNCTION("""COMPUTED_VALUE"""),"AI, blockchain and other technologies and platforms hold the potential to transform health care to the benefit of patients, payers and providers. In this session, join Bayer and Philips to learn about the tech that is impacting the future of healthcare.")</f>
        <v>AI, blockchain and other technologies and platforms hold the potential to transform health care to the benefit of patients, payers and providers. In this session, join Bayer and Philips to learn about the tech that is impacting the future of healthcare.</v>
      </c>
      <c r="C72" s="10" t="str">
        <f>IFERROR(__xludf.DUMMYFUNCTION("""COMPUTED_VALUE"""),"Corporate Innovation Summit")</f>
        <v>Corporate Innovation Summit</v>
      </c>
      <c r="D72" s="10" t="str">
        <f>IFERROR(__xludf.DUMMYFUNCTION("""COMPUTED_VALUE"""),"Jeroen Tas, Saskia Steinacker and Paul Nuki")</f>
        <v>Jeroen Tas, Saskia Steinacker and Paul Nuki</v>
      </c>
      <c r="E72" s="10" t="str">
        <f>IFERROR(__xludf.DUMMYFUNCTION("""COMPUTED_VALUE"""),"Jeroen Tas,Saskia Steinacker,Paul Nuki")</f>
        <v>Jeroen Tas,Saskia Steinacker,Paul Nuki</v>
      </c>
      <c r="F72" s="10" t="str">
        <f>IFERROR(__xludf.DUMMYFUNCTION("""COMPUTED_VALUE"""),"2019/11/07 15:35:00")</f>
        <v>2019/11/07 15:35:00</v>
      </c>
      <c r="G72" s="10" t="str">
        <f>IFERROR(__xludf.DUMMYFUNCTION("""COMPUTED_VALUE"""),"2019/11/07 15:55:00")</f>
        <v>2019/11/07 15:55:00</v>
      </c>
      <c r="H72" s="10" t="str">
        <f>IFERROR(__xludf.DUMMYFUNCTION("""COMPUTED_VALUE"""),"31916c61-e7f5-4a42-9918-07d2fac5dfe2")</f>
        <v>31916c61-e7f5-4a42-9918-07d2fac5dfe2</v>
      </c>
      <c r="I72" s="10" t="str">
        <f>IFERROR(__xludf.DUMMYFUNCTION("""COMPUTED_VALUE"""),"31916c61-e7f5-4a42-9918-07d2fac5dfe2")</f>
        <v>31916c61-e7f5-4a42-9918-07d2fac5dfe2</v>
      </c>
    </row>
    <row r="73">
      <c r="A73" s="10" t="str">
        <f>IFERROR(__xludf.DUMMYFUNCTION("""COMPUTED_VALUE"""),"Join SAP at Web Summit: The future of business has feelings")</f>
        <v>Join SAP at Web Summit: The future of business has feelings</v>
      </c>
      <c r="B73" s="10"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73" s="10" t="str">
        <f>IFERROR(__xludf.DUMMYFUNCTION("""COMPUTED_VALUE"""),"SAP, E350, FIL 3")</f>
        <v>SAP, E350, FIL 3</v>
      </c>
      <c r="D73" s="10" t="str">
        <f>IFERROR(__xludf.DUMMYFUNCTION("""COMPUTED_VALUE"""),"")</f>
        <v/>
      </c>
      <c r="E73" s="10" t="str">
        <f>IFERROR(__xludf.DUMMYFUNCTION("""COMPUTED_VALUE"""),"")</f>
        <v/>
      </c>
      <c r="F73" s="10" t="str">
        <f>IFERROR(__xludf.DUMMYFUNCTION("""COMPUTED_VALUE"""),"2019/11/07 10:00:00")</f>
        <v>2019/11/07 10:00:00</v>
      </c>
      <c r="G73" s="10" t="str">
        <f>IFERROR(__xludf.DUMMYFUNCTION("""COMPUTED_VALUE"""),"2019/11/07 17:00:00")</f>
        <v>2019/11/07 17:00:00</v>
      </c>
      <c r="H73" s="10" t="str">
        <f>IFERROR(__xludf.DUMMYFUNCTION("""COMPUTED_VALUE"""),"0f172346-bb5f-4697-ba51-a94bfcbe247a")</f>
        <v>0f172346-bb5f-4697-ba51-a94bfcbe247a</v>
      </c>
      <c r="I73" s="10" t="str">
        <f>IFERROR(__xludf.DUMMYFUNCTION("""COMPUTED_VALUE"""),"0f172346-bb5f-4697-ba51-a94bfcbe247a")</f>
        <v>0f172346-bb5f-4697-ba51-a94bfcbe247a</v>
      </c>
    </row>
    <row r="74">
      <c r="A74" s="10" t="str">
        <f>IFERROR(__xludf.DUMMYFUNCTION("""COMPUTED_VALUE"""),"PITCH group round 7")</f>
        <v>PITCH group round 7</v>
      </c>
      <c r="B74" s="10" t="str">
        <f>IFERROR(__xludf.DUMMYFUNCTION("""COMPUTED_VALUE"""),"")</f>
        <v/>
      </c>
      <c r="C74" s="10" t="str">
        <f>IFERROR(__xludf.DUMMYFUNCTION("""COMPUTED_VALUE"""),"PITCH 1")</f>
        <v>PITCH 1</v>
      </c>
      <c r="D74" s="10" t="str">
        <f>IFERROR(__xludf.DUMMYFUNCTION("""COMPUTED_VALUE"""),"Oded Ben Dror, Fred Lardieg, David Meltzer, Ricardo Marvao, Christoph Goeken, sergey khodakov, Jakob Knutzen, Olivier Le Lann, Michiel Lensink and Joep Wittebrood")</f>
        <v>Oded Ben Dror, Fred Lardieg, David Meltzer, Ricardo Marvao, Christoph Goeken, sergey khodakov, Jakob Knutzen, Olivier Le Lann, Michiel Lensink and Joep Wittebrood</v>
      </c>
      <c r="E74" s="10" t="str">
        <f>IFERROR(__xludf.DUMMYFUNCTION("""COMPUTED_VALUE"""),"Oded Ben Dror,Fred Lardieg,David Meltzer,Ricardo Marvao,Christoph Goeken,sergey khodakov,Jakob Knutzen,Olivier Le Lann,Michiel Lensink,Joep Wittebrood")</f>
        <v>Oded Ben Dror,Fred Lardieg,David Meltzer,Ricardo Marvao,Christoph Goeken,sergey khodakov,Jakob Knutzen,Olivier Le Lann,Michiel Lensink,Joep Wittebrood</v>
      </c>
      <c r="F74" s="10" t="str">
        <f>IFERROR(__xludf.DUMMYFUNCTION("""COMPUTED_VALUE"""),"2019/11/05 11:15:00")</f>
        <v>2019/11/05 11:15:00</v>
      </c>
      <c r="G74" s="10" t="str">
        <f>IFERROR(__xludf.DUMMYFUNCTION("""COMPUTED_VALUE"""),"2019/11/05 12:15:00")</f>
        <v>2019/11/05 12:15:00</v>
      </c>
      <c r="H74" s="10" t="str">
        <f>IFERROR(__xludf.DUMMYFUNCTION("""COMPUTED_VALUE"""),"1916444f-289e-4279-a4bd-dccc04f11ff0")</f>
        <v>1916444f-289e-4279-a4bd-dccc04f11ff0</v>
      </c>
      <c r="I74" s="10" t="str">
        <f>IFERROR(__xludf.DUMMYFUNCTION("""COMPUTED_VALUE"""),"1916444f-289e-4279-a4bd-dccc04f11ff0")</f>
        <v>1916444f-289e-4279-a4bd-dccc04f11ff0</v>
      </c>
    </row>
    <row r="75">
      <c r="A75" s="10" t="str">
        <f>IFERROR(__xludf.DUMMYFUNCTION("""COMPUTED_VALUE"""),"None left behind: Making tech work for the many")</f>
        <v>None left behind: Making tech work for the many</v>
      </c>
      <c r="B75" s="10" t="str">
        <f>IFERROR(__xludf.DUMMYFUNCTION("""COMPUTED_VALUE""")," Technology and globalisation have gone hand-in-hand. As tech has developed, the world has shrunk. Yet many people have been left behind by these developments. This has resulted in a high degree of disillusionment and disenfranchisement. Finding a way to "&amp;"solve these problems is vital to ensuring a fairer and more equitable world. This session sees two of the world's leading experts in using public policy to expand the benefits of tech come together to discuss how we can ensure that none are left behind.
")</f>
        <v> Technology and globalisation have gone hand-in-hand. As tech has developed, the world has shrunk. Yet many people have been left behind by these developments. This has resulted in a high degree of disillusionment and disenfranchisement. Finding a way to solve these problems is vital to ensuring a fairer and more equitable world. This session sees two of the world's leading experts in using public policy to expand the benefits of tech come together to discuss how we can ensure that none are left behind.
</v>
      </c>
      <c r="C75" s="10" t="str">
        <f>IFERROR(__xludf.DUMMYFUNCTION("""COMPUTED_VALUE"""),"Centre Stage")</f>
        <v>Centre Stage</v>
      </c>
      <c r="D75" s="10" t="str">
        <f>IFERROR(__xludf.DUMMYFUNCTION("""COMPUTED_VALUE"""),"Tony Blair, Ro Khanna and Hadas Gold")</f>
        <v>Tony Blair, Ro Khanna and Hadas Gold</v>
      </c>
      <c r="E75" s="10" t="str">
        <f>IFERROR(__xludf.DUMMYFUNCTION("""COMPUTED_VALUE"""),"Tony Blair,Ro Khanna,Hadas Gold")</f>
        <v>Tony Blair,Ro Khanna,Hadas Gold</v>
      </c>
      <c r="F75" s="10" t="str">
        <f>IFERROR(__xludf.DUMMYFUNCTION("""COMPUTED_VALUE"""),"2019/11/06 10:55:00")</f>
        <v>2019/11/06 10:55:00</v>
      </c>
      <c r="G75" s="10" t="str">
        <f>IFERROR(__xludf.DUMMYFUNCTION("""COMPUTED_VALUE"""),"2019/11/06 11:25:00")</f>
        <v>2019/11/06 11:25:00</v>
      </c>
      <c r="H75" s="10" t="str">
        <f>IFERROR(__xludf.DUMMYFUNCTION("""COMPUTED_VALUE"""),"6305e2fe-d840-41ae-89d9-bf00103142a0")</f>
        <v>6305e2fe-d840-41ae-89d9-bf00103142a0</v>
      </c>
      <c r="I75" s="10" t="str">
        <f>IFERROR(__xludf.DUMMYFUNCTION("""COMPUTED_VALUE"""),"6305e2fe-d840-41ae-89d9-bf00103142a0")</f>
        <v>6305e2fe-d840-41ae-89d9-bf00103142a0</v>
      </c>
    </row>
    <row r="76">
      <c r="A76" s="10" t="str">
        <f>IFERROR(__xludf.DUMMYFUNCTION("""COMPUTED_VALUE"""),"The future of team collaboration apps")</f>
        <v>The future of team collaboration apps</v>
      </c>
      <c r="B76" s="10" t="str">
        <f>IFERROR(__xludf.DUMMYFUNCTION("""COMPUTED_VALUE"""),"Every existing team collaboration app was designed for small sized single teams. Swit was founded to close the age of team collaboration and open a new era for teams collaboration to empower you with cross-functional collaboration and cross-workspace feat"&amp;"ures.")</f>
        <v>Every existing team collaboration app was designed for small sized single teams. Swit was founded to close the age of team collaboration and open a new era for teams collaboration to empower you with cross-functional collaboration and cross-workspace features.</v>
      </c>
      <c r="C76" s="10" t="str">
        <f>IFERROR(__xludf.DUMMYFUNCTION("""COMPUTED_VALUE"""),"Growth Summit")</f>
        <v>Growth Summit</v>
      </c>
      <c r="D76" s="10" t="str">
        <f>IFERROR(__xludf.DUMMYFUNCTION("""COMPUTED_VALUE"""),"Josh Lee")</f>
        <v>Josh Lee</v>
      </c>
      <c r="E76" s="10" t="str">
        <f>IFERROR(__xludf.DUMMYFUNCTION("""COMPUTED_VALUE"""),"Josh Lee")</f>
        <v>Josh Lee</v>
      </c>
      <c r="F76" s="10" t="str">
        <f>IFERROR(__xludf.DUMMYFUNCTION("""COMPUTED_VALUE"""),"2019/11/07 10:26:00")</f>
        <v>2019/11/07 10:26:00</v>
      </c>
      <c r="G76" s="10" t="str">
        <f>IFERROR(__xludf.DUMMYFUNCTION("""COMPUTED_VALUE"""),"2019/11/07 10:30:00")</f>
        <v>2019/11/07 10:30:00</v>
      </c>
      <c r="H76" s="10" t="str">
        <f>IFERROR(__xludf.DUMMYFUNCTION("""COMPUTED_VALUE"""),"3c24aa5b-3736-4f49-a095-a87f3fcd7426")</f>
        <v>3c24aa5b-3736-4f49-a095-a87f3fcd7426</v>
      </c>
      <c r="I76" s="10" t="str">
        <f>IFERROR(__xludf.DUMMYFUNCTION("""COMPUTED_VALUE"""),"3c24aa5b-3736-4f49-a095-a87f3fcd7426")</f>
        <v>3c24aa5b-3736-4f49-a095-a87f3fcd7426</v>
      </c>
    </row>
    <row r="77">
      <c r="A77" s="10" t="str">
        <f>IFERROR(__xludf.DUMMYFUNCTION("""COMPUTED_VALUE"""),"Disrupting the disruptors with cloud management software")</f>
        <v>Disrupting the disruptors with cloud management software</v>
      </c>
      <c r="B77" s="10" t="str">
        <f>IFERROR(__xludf.DUMMYFUNCTION("""COMPUTED_VALUE"""),"CEO of Brazilian software house Omiexperience, Marcelo will outline how cloud management software will take over banking and payments services for SMEs.")</f>
        <v>CEO of Brazilian software house Omiexperience, Marcelo will outline how cloud management software will take over banking and payments services for SMEs.</v>
      </c>
      <c r="C77" s="10" t="str">
        <f>IFERROR(__xludf.DUMMYFUNCTION("""COMPUTED_VALUE"""),"Growth Summit")</f>
        <v>Growth Summit</v>
      </c>
      <c r="D77" s="10" t="str">
        <f>IFERROR(__xludf.DUMMYFUNCTION("""COMPUTED_VALUE"""),"Marcelo Lombardo")</f>
        <v>Marcelo Lombardo</v>
      </c>
      <c r="E77" s="10" t="str">
        <f>IFERROR(__xludf.DUMMYFUNCTION("""COMPUTED_VALUE"""),"Marcelo Lombardo")</f>
        <v>Marcelo Lombardo</v>
      </c>
      <c r="F77" s="10" t="str">
        <f>IFERROR(__xludf.DUMMYFUNCTION("""COMPUTED_VALUE"""),"2019/11/06 16:54:00")</f>
        <v>2019/11/06 16:54:00</v>
      </c>
      <c r="G77" s="10" t="str">
        <f>IFERROR(__xludf.DUMMYFUNCTION("""COMPUTED_VALUE"""),"2019/11/06 17:05:00")</f>
        <v>2019/11/06 17:05:00</v>
      </c>
      <c r="H77" s="10" t="str">
        <f>IFERROR(__xludf.DUMMYFUNCTION("""COMPUTED_VALUE"""),"9464265c-a6fa-45ac-b8f1-19a0d8722d0e")</f>
        <v>9464265c-a6fa-45ac-b8f1-19a0d8722d0e</v>
      </c>
      <c r="I77" s="10" t="str">
        <f>IFERROR(__xludf.DUMMYFUNCTION("""COMPUTED_VALUE"""),"9464265c-a6fa-45ac-b8f1-19a0d8722d0e")</f>
        <v>9464265c-a6fa-45ac-b8f1-19a0d8722d0e</v>
      </c>
    </row>
    <row r="78">
      <c r="A78" s="10" t="str">
        <f>IFERROR(__xludf.DUMMYFUNCTION("""COMPUTED_VALUE"""),"Donald Trump has been a successful president")</f>
        <v>Donald Trump has been a successful president</v>
      </c>
      <c r="B78" s="10" t="str">
        <f>IFERROR(__xludf.DUMMYFUNCTION("""COMPUTED_VALUE"""),"We can all agree that Donald Trump has been divisive. What we definitely cannot agree on is whether he has been a successful president. Come and hear two US political experts argue it out and then you can make up your own mind. ")</f>
        <v>We can all agree that Donald Trump has been divisive. What we definitely cannot agree on is whether he has been a successful president. Come and hear two US political experts argue it out and then you can make up your own mind. </v>
      </c>
      <c r="C78" s="10" t="str">
        <f>IFERROR(__xludf.DUMMYFUNCTION("""COMPUTED_VALUE"""),"Future Societies")</f>
        <v>Future Societies</v>
      </c>
      <c r="D78" s="10" t="str">
        <f>IFERROR(__xludf.DUMMYFUNCTION("""COMPUTED_VALUE"""),"Joe Pounder, Neal Katyal and Dafna Linzer")</f>
        <v>Joe Pounder, Neal Katyal and Dafna Linzer</v>
      </c>
      <c r="E78" s="10" t="str">
        <f>IFERROR(__xludf.DUMMYFUNCTION("""COMPUTED_VALUE"""),"Joe Pounder,Neal Katyal,Dafna Linzer")</f>
        <v>Joe Pounder,Neal Katyal,Dafna Linzer</v>
      </c>
      <c r="F78" s="10" t="str">
        <f>IFERROR(__xludf.DUMMYFUNCTION("""COMPUTED_VALUE"""),"2019/11/05 15:15:00")</f>
        <v>2019/11/05 15:15:00</v>
      </c>
      <c r="G78" s="10" t="str">
        <f>IFERROR(__xludf.DUMMYFUNCTION("""COMPUTED_VALUE"""),"2019/11/05 15:40:00")</f>
        <v>2019/11/05 15:40:00</v>
      </c>
      <c r="H78" s="10" t="str">
        <f>IFERROR(__xludf.DUMMYFUNCTION("""COMPUTED_VALUE"""),"2931777b-0bbb-4d0e-8446-470eed9a7a67")</f>
        <v>2931777b-0bbb-4d0e-8446-470eed9a7a67</v>
      </c>
      <c r="I78" s="10" t="str">
        <f>IFERROR(__xludf.DUMMYFUNCTION("""COMPUTED_VALUE"""),"2931777b-0bbb-4d0e-8446-470eed9a7a67")</f>
        <v>2931777b-0bbb-4d0e-8446-470eed9a7a67</v>
      </c>
    </row>
    <row r="79">
      <c r="A79" s="10" t="str">
        <f>IFERROR(__xludf.DUMMYFUNCTION("""COMPUTED_VALUE"""),"Grow your startup with the best of Google")</f>
        <v>Grow your startup with the best of Google</v>
      </c>
      <c r="B79" s="10"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v>
      </c>
      <c r="C79" s="10" t="str">
        <f>IFERROR(__xludf.DUMMYFUNCTION("""COMPUTED_VALUE"""),"Google, E110, FIL 1")</f>
        <v>Google, E110, FIL 1</v>
      </c>
      <c r="D79" s="10" t="str">
        <f>IFERROR(__xludf.DUMMYFUNCTION("""COMPUTED_VALUE"""),"")</f>
        <v/>
      </c>
      <c r="E79" s="10" t="str">
        <f>IFERROR(__xludf.DUMMYFUNCTION("""COMPUTED_VALUE"""),"")</f>
        <v/>
      </c>
      <c r="F79" s="10" t="str">
        <f>IFERROR(__xludf.DUMMYFUNCTION("""COMPUTED_VALUE"""),"2019/11/06 10:00:00")</f>
        <v>2019/11/06 10:00:00</v>
      </c>
      <c r="G79" s="10" t="str">
        <f>IFERROR(__xludf.DUMMYFUNCTION("""COMPUTED_VALUE"""),"2019/11/06 17:30:00")</f>
        <v>2019/11/06 17:30:00</v>
      </c>
      <c r="H79" s="10" t="str">
        <f>IFERROR(__xludf.DUMMYFUNCTION("""COMPUTED_VALUE"""),"84cf3bc6-ab44-4d87-a91f-8d9c36650644")</f>
        <v>84cf3bc6-ab44-4d87-a91f-8d9c36650644</v>
      </c>
      <c r="I79" s="10" t="str">
        <f>IFERROR(__xludf.DUMMYFUNCTION("""COMPUTED_VALUE"""),"84cf3bc6-ab44-4d87-a91f-8d9c36650644")</f>
        <v>84cf3bc6-ab44-4d87-a91f-8d9c36650644</v>
      </c>
    </row>
    <row r="80">
      <c r="A80" s="10" t="str">
        <f>IFERROR(__xludf.DUMMYFUNCTION("""COMPUTED_VALUE"""),"Machine Demo Round 4")</f>
        <v>Machine Demo Round 4</v>
      </c>
      <c r="B80" s="10"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80" s="10" t="str">
        <f>IFERROR(__xludf.DUMMYFUNCTION("""COMPUTED_VALUE"""),"Machine Demo")</f>
        <v>Machine Demo</v>
      </c>
      <c r="D80" s="10" t="str">
        <f>IFERROR(__xludf.DUMMYFUNCTION("""COMPUTED_VALUE"""),"Jules Walker, CRISTINA GONZALEZ, Naor Amir, Christoph Hantschk, Alex Janusek and Ken Miyake")</f>
        <v>Jules Walker, CRISTINA GONZALEZ, Naor Amir, Christoph Hantschk, Alex Janusek and Ken Miyake</v>
      </c>
      <c r="E80" s="10" t="str">
        <f>IFERROR(__xludf.DUMMYFUNCTION("""COMPUTED_VALUE"""),"Jules Walker,CRISTINA GONZALEZ,Naor Amir,Christoph Hantschk,Alex Janusek,Ken Miyake")</f>
        <v>Jules Walker,CRISTINA GONZALEZ,Naor Amir,Christoph Hantschk,Alex Janusek,Ken Miyake</v>
      </c>
      <c r="F80" s="10" t="str">
        <f>IFERROR(__xludf.DUMMYFUNCTION("""COMPUTED_VALUE"""),"2019/11/07 12:15:00")</f>
        <v>2019/11/07 12:15:00</v>
      </c>
      <c r="G80" s="10" t="str">
        <f>IFERROR(__xludf.DUMMYFUNCTION("""COMPUTED_VALUE"""),"2019/11/07 13:15:00")</f>
        <v>2019/11/07 13:15:00</v>
      </c>
      <c r="H80" s="10" t="str">
        <f>IFERROR(__xludf.DUMMYFUNCTION("""COMPUTED_VALUE"""),"7cbb0713-5dc4-4ac4-ad3c-cb9f368a3d4f")</f>
        <v>7cbb0713-5dc4-4ac4-ad3c-cb9f368a3d4f</v>
      </c>
      <c r="I80" s="10" t="str">
        <f>IFERROR(__xludf.DUMMYFUNCTION("""COMPUTED_VALUE"""),"7cbb0713-5dc4-4ac4-ad3c-cb9f368a3d4f")</f>
        <v>7cbb0713-5dc4-4ac4-ad3c-cb9f368a3d4f</v>
      </c>
    </row>
    <row r="81">
      <c r="A81" s="10" t="str">
        <f>IFERROR(__xludf.DUMMYFUNCTION("""COMPUTED_VALUE"""),"Esports: Winning is just the beginning")</f>
        <v>Esports: Winning is just the beginning</v>
      </c>
      <c r="B81" s="10" t="str">
        <f>IFERROR(__xludf.DUMMYFUNCTION("""COMPUTED_VALUE"""),"Most people have become aware of the stratospheric growth in esports. Underlying the hype of gaming competition is a cultural sea change that represents how millennials and Gen Z consume and engage with content. This talk will explore how esports, and mor"&amp;"e broadly gaming, are defying audience convention and reshaping entertainment.")</f>
        <v>Most people have become aware of the stratospheric growth in esports. Underlying the hype of gaming competition is a cultural sea change that represents how millennials and Gen Z consume and engage with content. This talk will explore how esports, and more broadly gaming, are defying audience convention and reshaping entertainment.</v>
      </c>
      <c r="C81" s="10" t="str">
        <f>IFERROR(__xludf.DUMMYFUNCTION("""COMPUTED_VALUE"""),"ContentMakers")</f>
        <v>ContentMakers</v>
      </c>
      <c r="D81" s="10" t="str">
        <f>IFERROR(__xludf.DUMMYFUNCTION("""COMPUTED_VALUE"""),"Bruce Stein")</f>
        <v>Bruce Stein</v>
      </c>
      <c r="E81" s="10" t="str">
        <f>IFERROR(__xludf.DUMMYFUNCTION("""COMPUTED_VALUE"""),"Bruce Stein")</f>
        <v>Bruce Stein</v>
      </c>
      <c r="F81" s="10" t="str">
        <f>IFERROR(__xludf.DUMMYFUNCTION("""COMPUTED_VALUE"""),"2019/11/07 13:00:00")</f>
        <v>2019/11/07 13:00:00</v>
      </c>
      <c r="G81" s="10" t="str">
        <f>IFERROR(__xludf.DUMMYFUNCTION("""COMPUTED_VALUE"""),"2019/11/07 13:20:00")</f>
        <v>2019/11/07 13:20:00</v>
      </c>
      <c r="H81" s="10" t="str">
        <f>IFERROR(__xludf.DUMMYFUNCTION("""COMPUTED_VALUE"""),"cbce1666-1df1-437a-b316-c0c20f66f6a3")</f>
        <v>cbce1666-1df1-437a-b316-c0c20f66f6a3</v>
      </c>
      <c r="I81" s="10" t="str">
        <f>IFERROR(__xludf.DUMMYFUNCTION("""COMPUTED_VALUE"""),"cbce1666-1df1-437a-b316-c0c20f66f6a3")</f>
        <v>cbce1666-1df1-437a-b316-c0c20f66f6a3</v>
      </c>
    </row>
    <row r="82">
      <c r="A82" s="10" t="str">
        <f>IFERROR(__xludf.DUMMYFUNCTION("""COMPUTED_VALUE"""),"Cells to space to salads: what's a robot good for?")</f>
        <v>Cells to space to salads: what's a robot good for?</v>
      </c>
      <c r="B82" s="10" t="str">
        <f>IFERROR(__xludf.DUMMYFUNCTION("""COMPUTED_VALUE"""),"For decades, Hollywood has influenced our perception of what robots should look like and how they should behave. This keynote will discuss the reality of robotics in modern society.")</f>
        <v>For decades, Hollywood has influenced our perception of what robots should look like and how they should behave. This keynote will discuss the reality of robotics in modern society.</v>
      </c>
      <c r="C82" s="10" t="str">
        <f>IFERROR(__xludf.DUMMYFUNCTION("""COMPUTED_VALUE"""),"Auto/Tech &amp; TalkRobot")</f>
        <v>Auto/Tech &amp; TalkRobot</v>
      </c>
      <c r="D82" s="10" t="str">
        <f>IFERROR(__xludf.DUMMYFUNCTION("""COMPUTED_VALUE"""),"Kaigham Gabriel")</f>
        <v>Kaigham Gabriel</v>
      </c>
      <c r="E82" s="10" t="str">
        <f>IFERROR(__xludf.DUMMYFUNCTION("""COMPUTED_VALUE"""),"Kaigham Gabriel")</f>
        <v>Kaigham Gabriel</v>
      </c>
      <c r="F82" s="10" t="str">
        <f>IFERROR(__xludf.DUMMYFUNCTION("""COMPUTED_VALUE"""),"2019/11/05 14:05:00")</f>
        <v>2019/11/05 14:05:00</v>
      </c>
      <c r="G82" s="10" t="str">
        <f>IFERROR(__xludf.DUMMYFUNCTION("""COMPUTED_VALUE"""),"2019/11/05 14:25:00")</f>
        <v>2019/11/05 14:25:00</v>
      </c>
      <c r="H82" s="10" t="str">
        <f>IFERROR(__xludf.DUMMYFUNCTION("""COMPUTED_VALUE"""),"8ded08dc-0720-4e17-a17d-2b5d3b1c3c27")</f>
        <v>8ded08dc-0720-4e17-a17d-2b5d3b1c3c27</v>
      </c>
      <c r="I82" s="10" t="str">
        <f>IFERROR(__xludf.DUMMYFUNCTION("""COMPUTED_VALUE"""),"8ded08dc-0720-4e17-a17d-2b5d3b1c3c27")</f>
        <v>8ded08dc-0720-4e17-a17d-2b5d3b1c3c27</v>
      </c>
    </row>
    <row r="83">
      <c r="A83" s="10" t="str">
        <f>IFERROR(__xludf.DUMMYFUNCTION("""COMPUTED_VALUE"""),"Education beyond the classroom")</f>
        <v>Education beyond the classroom</v>
      </c>
      <c r="B83" s="10" t="str">
        <f>IFERROR(__xludf.DUMMYFUNCTION("""COMPUTED_VALUE"""),"Education is a lifelong development. We do not stop learning when we leave school. In this session we hear from some of the world's leading education innovators about how they encourage learning outside of the classroom, and about the impact that educatio"&amp;"n can have on society.")</f>
        <v>Education is a lifelong development. We do not stop learning when we leave school. In this session we hear from some of the world's leading education innovators about how they encourage learning outside of the classroom, and about the impact that education can have on society.</v>
      </c>
      <c r="C83" s="10" t="str">
        <f>IFERROR(__xludf.DUMMYFUNCTION("""COMPUTED_VALUE"""),"Future Societies")</f>
        <v>Future Societies</v>
      </c>
      <c r="D83" s="10" t="str">
        <f>IFERROR(__xludf.DUMMYFUNCTION("""COMPUTED_VALUE"""),"Corinne Vigreux, Thomas Holl, Mmantsetsa Marope and Tom Finn")</f>
        <v>Corinne Vigreux, Thomas Holl, Mmantsetsa Marope and Tom Finn</v>
      </c>
      <c r="E83" s="10" t="str">
        <f>IFERROR(__xludf.DUMMYFUNCTION("""COMPUTED_VALUE"""),"Corinne Vigreux,Thomas Holl,Mmantsetsa Marope,Tom Finn")</f>
        <v>Corinne Vigreux,Thomas Holl,Mmantsetsa Marope,Tom Finn</v>
      </c>
      <c r="F83" s="10" t="str">
        <f>IFERROR(__xludf.DUMMYFUNCTION("""COMPUTED_VALUE"""),"2019/11/05 14:25:00")</f>
        <v>2019/11/05 14:25:00</v>
      </c>
      <c r="G83" s="10" t="str">
        <f>IFERROR(__xludf.DUMMYFUNCTION("""COMPUTED_VALUE"""),"2019/11/05 14:50:00")</f>
        <v>2019/11/05 14:50:00</v>
      </c>
      <c r="H83" s="10" t="str">
        <f>IFERROR(__xludf.DUMMYFUNCTION("""COMPUTED_VALUE"""),"354d2d40-ce91-41cc-9af8-5370a39daa64")</f>
        <v>354d2d40-ce91-41cc-9af8-5370a39daa64</v>
      </c>
      <c r="I83" s="10" t="str">
        <f>IFERROR(__xludf.DUMMYFUNCTION("""COMPUTED_VALUE"""),"354d2d40-ce91-41cc-9af8-5370a39daa64")</f>
        <v>354d2d40-ce91-41cc-9af8-5370a39daa64</v>
      </c>
    </row>
    <row r="84">
      <c r="A84" s="10" t="str">
        <f>IFERROR(__xludf.DUMMYFUNCTION("""COMPUTED_VALUE"""),"Product-market fit as a moving target")</f>
        <v>Product-market fit as a moving target</v>
      </c>
      <c r="B84" s="10" t="str">
        <f>IFERROR(__xludf.DUMMYFUNCTION("""COMPUTED_VALUE"""),"Finding product-market fit is the first goal for every startup, but what many don’t realise is that it’s a moving target. Both the market and your product evolve over time and you need to keep aiming for that fit. At the end of the day if you are not disr"&amp;"upting, you are probably being disrupted.")</f>
        <v>Finding product-market fit is the first goal for every startup, but what many don’t realise is that it’s a moving target. Both the market and your product evolve over time and you need to keep aiming for that fit. At the end of the day if you are not disrupting, you are probably being disrupted.</v>
      </c>
      <c r="C84" s="10" t="str">
        <f>IFERROR(__xludf.DUMMYFUNCTION("""COMPUTED_VALUE"""),"Growth Summit")</f>
        <v>Growth Summit</v>
      </c>
      <c r="D84" s="10" t="str">
        <f>IFERROR(__xludf.DUMMYFUNCTION("""COMPUTED_VALUE"""),"Javi Fondevila")</f>
        <v>Javi Fondevila</v>
      </c>
      <c r="E84" s="10" t="str">
        <f>IFERROR(__xludf.DUMMYFUNCTION("""COMPUTED_VALUE"""),"Javi Fondevila")</f>
        <v>Javi Fondevila</v>
      </c>
      <c r="F84" s="10" t="str">
        <f>IFERROR(__xludf.DUMMYFUNCTION("""COMPUTED_VALUE"""),"2019/11/06 11:22:00")</f>
        <v>2019/11/06 11:22:00</v>
      </c>
      <c r="G84" s="10" t="str">
        <f>IFERROR(__xludf.DUMMYFUNCTION("""COMPUTED_VALUE"""),"2019/11/06 11:26:00")</f>
        <v>2019/11/06 11:26:00</v>
      </c>
      <c r="H84" s="10" t="str">
        <f>IFERROR(__xludf.DUMMYFUNCTION("""COMPUTED_VALUE"""),"1a0a8cf0-7134-4307-a284-0490adf28472")</f>
        <v>1a0a8cf0-7134-4307-a284-0490adf28472</v>
      </c>
      <c r="I84" s="10" t="str">
        <f>IFERROR(__xludf.DUMMYFUNCTION("""COMPUTED_VALUE"""),"1a0a8cf0-7134-4307-a284-0490adf28472")</f>
        <v>1a0a8cf0-7134-4307-a284-0490adf28472</v>
      </c>
    </row>
    <row r="85">
      <c r="A85" s="10" t="str">
        <f>IFERROR(__xludf.DUMMYFUNCTION("""COMPUTED_VALUE"""),"The ins and outs of financial inclusion")</f>
        <v>The ins and outs of financial inclusion</v>
      </c>
      <c r="B85" s="10" t="str">
        <f>IFERROR(__xludf.DUMMYFUNCTION("""COMPUTED_VALUE"""),"Fintechs and banks are finally starting to recognise the potential of a fair, shared global economy. As equality is brought to the forefront of economic conversations, how can companies turn ideologies into infrastructure?")</f>
        <v>Fintechs and banks are finally starting to recognise the potential of a fair, shared global economy. As equality is brought to the forefront of economic conversations, how can companies turn ideologies into infrastructure?</v>
      </c>
      <c r="C85" s="10" t="str">
        <f>IFERROR(__xludf.DUMMYFUNCTION("""COMPUTED_VALUE"""),"MoneyConf")</f>
        <v>MoneyConf</v>
      </c>
      <c r="D85" s="10" t="str">
        <f>IFERROR(__xludf.DUMMYFUNCTION("""COMPUTED_VALUE"""),"Christopher Leacock, Katica Roy and Amy Thomson")</f>
        <v>Christopher Leacock, Katica Roy and Amy Thomson</v>
      </c>
      <c r="E85" s="10" t="str">
        <f>IFERROR(__xludf.DUMMYFUNCTION("""COMPUTED_VALUE"""),"Christopher Leacock,Katica Roy,Amy Thomson")</f>
        <v>Christopher Leacock,Katica Roy,Amy Thomson</v>
      </c>
      <c r="F85" s="10" t="str">
        <f>IFERROR(__xludf.DUMMYFUNCTION("""COMPUTED_VALUE"""),"2019/11/06 12:15:00")</f>
        <v>2019/11/06 12:15:00</v>
      </c>
      <c r="G85" s="10" t="str">
        <f>IFERROR(__xludf.DUMMYFUNCTION("""COMPUTED_VALUE"""),"2019/11/06 12:35:00")</f>
        <v>2019/11/06 12:35:00</v>
      </c>
      <c r="H85" s="10" t="str">
        <f>IFERROR(__xludf.DUMMYFUNCTION("""COMPUTED_VALUE"""),"1086ec04-aa99-40a4-b5d8-c7688cbbb6f7")</f>
        <v>1086ec04-aa99-40a4-b5d8-c7688cbbb6f7</v>
      </c>
      <c r="I85" s="10" t="str">
        <f>IFERROR(__xludf.DUMMYFUNCTION("""COMPUTED_VALUE"""),"1086ec04-aa99-40a4-b5d8-c7688cbbb6f7")</f>
        <v>1086ec04-aa99-40a4-b5d8-c7688cbbb6f7</v>
      </c>
    </row>
    <row r="86">
      <c r="A86" s="10" t="str">
        <f>IFERROR(__xludf.DUMMYFUNCTION("""COMPUTED_VALUE"""),"Everything you've always wanted to know about marketing but were afraid to ask")</f>
        <v>Everything you've always wanted to know about marketing but were afraid to ask</v>
      </c>
      <c r="B86" s="10" t="str">
        <f>IFERROR(__xludf.DUMMYFUNCTION("""COMPUTED_VALUE"""),"our top advertising and marketing experts look ahead to 2020")</f>
        <v>our top advertising and marketing experts look ahead to 2020</v>
      </c>
      <c r="C86" s="10" t="str">
        <f>IFERROR(__xludf.DUMMYFUNCTION("""COMPUTED_VALUE"""),"PandaConf")</f>
        <v>PandaConf</v>
      </c>
      <c r="D86" s="10" t="str">
        <f>IFERROR(__xludf.DUMMYFUNCTION("""COMPUTED_VALUE"""),"Fernando Machado, Jane Wakely, Sir Martin Sorrell and Hadas Gold")</f>
        <v>Fernando Machado, Jane Wakely, Sir Martin Sorrell and Hadas Gold</v>
      </c>
      <c r="E86" s="10" t="str">
        <f>IFERROR(__xludf.DUMMYFUNCTION("""COMPUTED_VALUE"""),"Fernando Machado,Jane Wakely,Sir Martin Sorrell,Hadas Gold")</f>
        <v>Fernando Machado,Jane Wakely,Sir Martin Sorrell,Hadas Gold</v>
      </c>
      <c r="F86" s="10" t="str">
        <f>IFERROR(__xludf.DUMMYFUNCTION("""COMPUTED_VALUE"""),"2019/11/07 11:25:00")</f>
        <v>2019/11/07 11:25:00</v>
      </c>
      <c r="G86" s="10" t="str">
        <f>IFERROR(__xludf.DUMMYFUNCTION("""COMPUTED_VALUE"""),"2019/11/07 11:50:00")</f>
        <v>2019/11/07 11:50:00</v>
      </c>
      <c r="H86" s="10" t="str">
        <f>IFERROR(__xludf.DUMMYFUNCTION("""COMPUTED_VALUE"""),"f5e559b4-876a-4ea1-bd93-338dfbcc5ca3")</f>
        <v>f5e559b4-876a-4ea1-bd93-338dfbcc5ca3</v>
      </c>
      <c r="I86" s="10" t="str">
        <f>IFERROR(__xludf.DUMMYFUNCTION("""COMPUTED_VALUE"""),"f5e559b4-876a-4ea1-bd93-338dfbcc5ca3")</f>
        <v>f5e559b4-876a-4ea1-bd93-338dfbcc5ca3</v>
      </c>
    </row>
    <row r="87">
      <c r="A87" s="10" t="str">
        <f>IFERROR(__xludf.DUMMYFUNCTION("""COMPUTED_VALUE"""),"Opening Remarks: Not just another player: Four huge visions of SaaS enablement!")</f>
        <v>Opening Remarks: Not just another player: Four huge visions of SaaS enablement!</v>
      </c>
      <c r="B87" s="10" t="str">
        <f>IFERROR(__xludf.DUMMYFUNCTION("""COMPUTED_VALUE"""),"From optimising voice data, to customer data infrastructure, to democratising the mobile app ecosystem, to quantum as a service.")</f>
        <v>From optimising voice data, to customer data infrastructure, to democratising the mobile app ecosystem, to quantum as a service.</v>
      </c>
      <c r="C87" s="10" t="str">
        <f>IFERROR(__xludf.DUMMYFUNCTION("""COMPUTED_VALUE"""),"SaaS Monster")</f>
        <v>SaaS Monster</v>
      </c>
      <c r="D87" s="10" t="str">
        <f>IFERROR(__xludf.DUMMYFUNCTION("""COMPUTED_VALUE"""),"Stephen Cummins")</f>
        <v>Stephen Cummins</v>
      </c>
      <c r="E87" s="10" t="str">
        <f>IFERROR(__xludf.DUMMYFUNCTION("""COMPUTED_VALUE"""),"Stephen Cummins")</f>
        <v>Stephen Cummins</v>
      </c>
      <c r="F87" s="10" t="str">
        <f>IFERROR(__xludf.DUMMYFUNCTION("""COMPUTED_VALUE"""),"2019/11/05 10:15:00")</f>
        <v>2019/11/05 10:15:00</v>
      </c>
      <c r="G87" s="10" t="str">
        <f>IFERROR(__xludf.DUMMYFUNCTION("""COMPUTED_VALUE"""),"2019/11/05 10:30:00")</f>
        <v>2019/11/05 10:30:00</v>
      </c>
      <c r="H87" s="10" t="str">
        <f>IFERROR(__xludf.DUMMYFUNCTION("""COMPUTED_VALUE"""),"0bf64b65-4621-468c-a8ea-741ffab94a56")</f>
        <v>0bf64b65-4621-468c-a8ea-741ffab94a56</v>
      </c>
      <c r="I87" s="10" t="str">
        <f>IFERROR(__xludf.DUMMYFUNCTION("""COMPUTED_VALUE"""),"0bf64b65-4621-468c-a8ea-741ffab94a56")</f>
        <v>0bf64b65-4621-468c-a8ea-741ffab94a56</v>
      </c>
    </row>
    <row r="88">
      <c r="A88" s="10" t="str">
        <f>IFERROR(__xludf.DUMMYFUNCTION("""COMPUTED_VALUE"""),"How CTO.ai empowers DevOps through automation")</f>
        <v>How CTO.ai empowers DevOps through automation</v>
      </c>
      <c r="B88" s="10" t="str">
        <f>IFERROR(__xludf.DUMMYFUNCTION("""COMPUTED_VALUE"""),"CEO of CTO.ai, Kyle will illustrate how the software helps high growth engineering teams adopt DevOps through the power of automation.")</f>
        <v>CEO of CTO.ai, Kyle will illustrate how the software helps high growth engineering teams adopt DevOps through the power of automation.</v>
      </c>
      <c r="C88" s="10" t="str">
        <f>IFERROR(__xludf.DUMMYFUNCTION("""COMPUTED_VALUE"""),"Growth Summit")</f>
        <v>Growth Summit</v>
      </c>
      <c r="D88" s="10" t="str">
        <f>IFERROR(__xludf.DUMMYFUNCTION("""COMPUTED_VALUE"""),"Kyle Campbell")</f>
        <v>Kyle Campbell</v>
      </c>
      <c r="E88" s="10" t="str">
        <f>IFERROR(__xludf.DUMMYFUNCTION("""COMPUTED_VALUE"""),"Kyle Campbell")</f>
        <v>Kyle Campbell</v>
      </c>
      <c r="F88" s="10" t="str">
        <f>IFERROR(__xludf.DUMMYFUNCTION("""COMPUTED_VALUE"""),"2019/11/06 10:02:00")</f>
        <v>2019/11/06 10:02:00</v>
      </c>
      <c r="G88" s="10" t="str">
        <f>IFERROR(__xludf.DUMMYFUNCTION("""COMPUTED_VALUE"""),"2019/11/06 10:06:00")</f>
        <v>2019/11/06 10:06:00</v>
      </c>
      <c r="H88" s="10" t="str">
        <f>IFERROR(__xludf.DUMMYFUNCTION("""COMPUTED_VALUE"""),"61aaaa54-6029-4a92-8368-edb8e2da5471")</f>
        <v>61aaaa54-6029-4a92-8368-edb8e2da5471</v>
      </c>
      <c r="I88" s="10" t="str">
        <f>IFERROR(__xludf.DUMMYFUNCTION("""COMPUTED_VALUE"""),"61aaaa54-6029-4a92-8368-edb8e2da5471")</f>
        <v>61aaaa54-6029-4a92-8368-edb8e2da5471</v>
      </c>
    </row>
    <row r="89">
      <c r="A89" s="10" t="str">
        <f>IFERROR(__xludf.DUMMYFUNCTION("""COMPUTED_VALUE"""),"Scaling content production without sacrificing your visual identity, hosted by Shutterstock")</f>
        <v>Scaling content production without sacrificing your visual identity, hosted by Shutterstock</v>
      </c>
      <c r="B89" s="10" t="str">
        <f>IFERROR(__xludf.DUMMYFUNCTION("""COMPUTED_VALUE"""),"Over 90% of brands use social media to grow awareness. It can become very hard to post content at a high-frequency, and across different markets and platforms, without losing your brand's identity. Join us to understand and see how leading global companie"&amp;"s are exploring new ways to ensure brand consistency while creating authentic and engaging content for social media. This collaborative session will educate attendees on how to analyse their visual identity and create localised content.")</f>
        <v>Over 90% of brands use social media to grow awareness. It can become very hard to post content at a high-frequency, and across different markets and platforms, without losing your brand's identity. Join us to understand and see how leading global companies are exploring new ways to ensure brand consistency while creating authentic and engaging content for social media. This collaborative session will educate attendees on how to analyse their visual identity and create localised content.</v>
      </c>
      <c r="C89" s="10" t="str">
        <f>IFERROR(__xludf.DUMMYFUNCTION("""COMPUTED_VALUE"""),"Workshop 3")</f>
        <v>Workshop 3</v>
      </c>
      <c r="D89" s="10" t="str">
        <f>IFERROR(__xludf.DUMMYFUNCTION("""COMPUTED_VALUE"""),"Yoann Chipotel")</f>
        <v>Yoann Chipotel</v>
      </c>
      <c r="E89" s="10" t="str">
        <f>IFERROR(__xludf.DUMMYFUNCTION("""COMPUTED_VALUE"""),"Yoann Chipotel")</f>
        <v>Yoann Chipotel</v>
      </c>
      <c r="F89" s="10" t="str">
        <f>IFERROR(__xludf.DUMMYFUNCTION("""COMPUTED_VALUE"""),"2019/11/06 10:45:00")</f>
        <v>2019/11/06 10:45:00</v>
      </c>
      <c r="G89" s="10" t="str">
        <f>IFERROR(__xludf.DUMMYFUNCTION("""COMPUTED_VALUE"""),"2019/11/06 11:30:00")</f>
        <v>2019/11/06 11:30:00</v>
      </c>
      <c r="H89" s="10" t="str">
        <f>IFERROR(__xludf.DUMMYFUNCTION("""COMPUTED_VALUE"""),"cc073b4d-3af8-4f8f-98d4-dc85f7f7d526")</f>
        <v>cc073b4d-3af8-4f8f-98d4-dc85f7f7d526</v>
      </c>
      <c r="I89" s="10" t="str">
        <f>IFERROR(__xludf.DUMMYFUNCTION("""COMPUTED_VALUE"""),"cc073b4d-3af8-4f8f-98d4-dc85f7f7d526")</f>
        <v>cc073b4d-3af8-4f8f-98d4-dc85f7f7d526</v>
      </c>
    </row>
    <row r="90">
      <c r="A90" s="10" t="str">
        <f>IFERROR(__xludf.DUMMYFUNCTION("""COMPUTED_VALUE"""),"Startup Showcase")</f>
        <v>Startup Showcase</v>
      </c>
      <c r="B90" s="10" t="str">
        <f>IFERROR(__xludf.DUMMYFUNCTION("""COMPUTED_VALUE"""),"On this brand new stage, expect quickfire presentations where startups will showcase their solutions to the future's biggest challenges. This hour focuses on sustainability &amp; the environment, covering topics like clean energy sources, sustainable business"&amp;" models, and waste reduction.
")</f>
        <v>On this brand new stage, expect quickfire presentations where startups will showcase their solutions to the future's biggest challenges. This hour focuses on sustainability &amp; the environment, covering topics like clean energy sources, sustainable business models, and waste reduction.
</v>
      </c>
      <c r="C90" s="10" t="str">
        <f>IFERROR(__xludf.DUMMYFUNCTION("""COMPUTED_VALUE"""),"Startup Showcase 3")</f>
        <v>Startup Showcase 3</v>
      </c>
      <c r="D90" s="10" t="str">
        <f>IFERROR(__xludf.DUMMYFUNCTION("""COMPUTED_VALUE"""),"Toon Bouten, Jonny kurtz, Kenjiro YAMAMOTO, Yukihiro Kawaguchi, Vyacheslav Grigoriev, Masaomi SUZUKI, Declan Conway, Masahide (Masa) Ando, Sergey Soloboev, Linus Frosteryd, Alvaro Lopes-Cardoso, Todor Lazov, KOICHIRO SATO, Marco Piras, Martin Kravchenko, "&amp;"Mike Prisikar, Pablo Vidarte, Dinara Tikhomirova, Linus Norton, Ana Caboz, Nils Lundin, Simon Puleston Jones, Alessandro Imparato, Bernie Frola, Chayana Farinango, Jenny Jobring, Nicolas Ohanna, Pedro Humbert, Dima Prisikar, Vitor Sanches, Jonathan Tambos"&amp;"i, Margaux Lebel, Kevin Farquharson, Denis Tikhomirov, aristides bertuol, RYUTA SHIOYA, DAVID MALINAS, 📺 Victor Ingman, Nikolay Kuteev, Nora Al-Kassab, Santiago Zindel, Cecilia Lalatta Costerbosa, Erika Vincent and Christoph Hantschk")</f>
        <v>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Erika Vincent and Christoph Hantschk</v>
      </c>
      <c r="E90" s="10" t="str">
        <f>IFERROR(__xludf.DUMMYFUNCTION("""COMPUTED_VALUE"""),"Toon Bouten,Jonny kurtz,Kenjiro YAMAMOTO,Yukihiro Kawaguchi,Vyacheslav Grigoriev,Masaomi SUZUKI,Declan Conway,Masahide (Masa) Ando,Sergey Soloboev,Linus Frosteryd,Alvaro Lopes-Cardoso,Todor Lazov,KOICHIRO SATO,Marco Piras,Martin Kravchenko,Mike Prisikar,P"&amp;"ablo Vidarte,Dinara Tikhomirova,Linus Norton,Ana Caboz,Nils Lundin,Simon Puleston Jones,Alessandro Imparato,Bernie Frola,Chayana Farinango,Jenny Jobring,Nicolas Ohanna,Pedro Humbert,Dima Prisikar,Vitor Sanches,Jonathan Tambosi,Margaux Lebel,Kevin Farquhar"&amp;"son,Denis Tikhomirov,aristides bertuol,RYUTA SHIOYA,DAVID MALINAS,📺 Victor Ingman,Nikolay Kuteev,Nora Al-Kassab,Santiago Zindel,Cecilia Lalatta Costerbosa,Erika Vincent,Christoph Hantschk")</f>
        <v>Toon Bouten,Jonny kurtz,Kenjiro YAMAMOTO,Yukihiro Kawaguchi,Vyacheslav Grigoriev,Masaomi SUZUKI,Declan Conway,Masahide (Masa) Ando,Sergey Soloboev,Linus Frosteryd,Alvaro Lopes-Cardoso,Todor Lazov,KOICHIRO SATO,Marco Piras,Martin Kravchenko,Mike Prisikar,Pablo Vidarte,Dinara Tikhomirova,Linus Norton,Ana Caboz,Nils Lundin,Simon Puleston Jones,Alessandro Imparato,Bernie Frola,Chayana Farinango,Jenny Jobring,Nicolas Ohanna,Pedro Humbert,Dima Prisikar,Vitor Sanches,Jonathan Tambosi,Margaux Lebel,Kevin Farquharson,Denis Tikhomirov,aristides bertuol,RYUTA SHIOYA,DAVID MALINAS,📺 Victor Ingman,Nikolay Kuteev,Nora Al-Kassab,Santiago Zindel,Cecilia Lalatta Costerbosa,Erika Vincent,Christoph Hantschk</v>
      </c>
      <c r="F90" s="10" t="str">
        <f>IFERROR(__xludf.DUMMYFUNCTION("""COMPUTED_VALUE"""),"2019/11/06 12:15:00")</f>
        <v>2019/11/06 12:15:00</v>
      </c>
      <c r="G90" s="10" t="str">
        <f>IFERROR(__xludf.DUMMYFUNCTION("""COMPUTED_VALUE"""),"2019/11/06 13:15:00")</f>
        <v>2019/11/06 13:15:00</v>
      </c>
      <c r="H90" s="10" t="str">
        <f>IFERROR(__xludf.DUMMYFUNCTION("""COMPUTED_VALUE"""),"40dda7f9-c1df-4b2e-b233-4c7560ba2c11")</f>
        <v>40dda7f9-c1df-4b2e-b233-4c7560ba2c11</v>
      </c>
      <c r="I90" s="10" t="str">
        <f>IFERROR(__xludf.DUMMYFUNCTION("""COMPUTED_VALUE"""),"40dda7f9-c1df-4b2e-b233-4c7560ba2c11")</f>
        <v>40dda7f9-c1df-4b2e-b233-4c7560ba2c11</v>
      </c>
    </row>
    <row r="91">
      <c r="A91" s="10" t="str">
        <f>IFERROR(__xludf.DUMMYFUNCTION("""COMPUTED_VALUE"""),"Class A potential: The case for psychedelics")</f>
        <v>Class A potential: The case for psychedelics</v>
      </c>
      <c r="B91" s="10" t="str">
        <f>IFERROR(__xludf.DUMMYFUNCTION("""COMPUTED_VALUE"""),"Would you donate the details of your psychedelic experiences to science?  We meet the software architect commissioned by Imperial College London scientists to build the world's first Psychedelic Search Engine and app, in the name of improving our understa"&amp;"nding of the drugs, the data and the depths of their full potential. ")</f>
        <v>Would you donate the details of your psychedelic experiences to science?  We meet the software architect commissioned by Imperial College London scientists to build the world's first Psychedelic Search Engine and app, in the name of improving our understanding of the drugs, the data and the depths of their full potential. </v>
      </c>
      <c r="C91" s="10" t="str">
        <f>IFERROR(__xludf.DUMMYFUNCTION("""COMPUTED_VALUE"""),"HealthConf")</f>
        <v>HealthConf</v>
      </c>
      <c r="D91" s="10" t="str">
        <f>IFERROR(__xludf.DUMMYFUNCTION("""COMPUTED_VALUE"""),"Kenneth Jønck")</f>
        <v>Kenneth Jønck</v>
      </c>
      <c r="E91" s="10" t="str">
        <f>IFERROR(__xludf.DUMMYFUNCTION("""COMPUTED_VALUE"""),"Kenneth Jønck")</f>
        <v>Kenneth Jønck</v>
      </c>
      <c r="F91" s="10" t="str">
        <f>IFERROR(__xludf.DUMMYFUNCTION("""COMPUTED_VALUE"""),"2019/11/07 13:25:00")</f>
        <v>2019/11/07 13:25:00</v>
      </c>
      <c r="G91" s="10" t="str">
        <f>IFERROR(__xludf.DUMMYFUNCTION("""COMPUTED_VALUE"""),"2019/11/07 13:40:00")</f>
        <v>2019/11/07 13:40:00</v>
      </c>
      <c r="H91" s="10" t="str">
        <f>IFERROR(__xludf.DUMMYFUNCTION("""COMPUTED_VALUE"""),"99d35c7c-c70b-4f34-8c5f-153b161ad39d")</f>
        <v>99d35c7c-c70b-4f34-8c5f-153b161ad39d</v>
      </c>
      <c r="I91" s="10" t="str">
        <f>IFERROR(__xludf.DUMMYFUNCTION("""COMPUTED_VALUE"""),"99d35c7c-c70b-4f34-8c5f-153b161ad39d")</f>
        <v>99d35c7c-c70b-4f34-8c5f-153b161ad39d</v>
      </c>
    </row>
    <row r="92">
      <c r="A92" s="10" t="str">
        <f>IFERROR(__xludf.DUMMYFUNCTION("""COMPUTED_VALUE"""),"PITCH group round 12")</f>
        <v>PITCH group round 12</v>
      </c>
      <c r="B92" s="10" t="str">
        <f>IFERROR(__xludf.DUMMYFUNCTION("""COMPUTED_VALUE"""),"")</f>
        <v/>
      </c>
      <c r="C92" s="10" t="str">
        <f>IFERROR(__xludf.DUMMYFUNCTION("""COMPUTED_VALUE"""),"PITCH 3")</f>
        <v>PITCH 3</v>
      </c>
      <c r="D92" s="10" t="str">
        <f>IFERROR(__xludf.DUMMYFUNCTION("""COMPUTED_VALUE"""),"Fatima Zaidi, Oliver Clasen, Brendan Yell, Tom Michael, Maja Markowitz, Tracy Isacke, Rupert Barksfield, Seth Ward, Sam Abrika, Katy Lindemann, Laurent Marfisi, Ken Miyake, Simonetta d'Ottaviano and Mario Arabov")</f>
        <v>Fatima Zaidi, Oliver Clasen, Brendan Yell, Tom Michael, Maja Markowitz, Tracy Isacke, Rupert Barksfield, Seth Ward, Sam Abrika, Katy Lindemann, Laurent Marfisi, Ken Miyake, Simonetta d'Ottaviano and Mario Arabov</v>
      </c>
      <c r="E92" s="10" t="str">
        <f>IFERROR(__xludf.DUMMYFUNCTION("""COMPUTED_VALUE"""),"Fatima Zaidi,Oliver Clasen,Brendan Yell,Tom Michael,Maja Markowitz,Tracy Isacke,Rupert Barksfield,Seth Ward,Sam Abrika,Katy Lindemann,Laurent Marfisi,Ken Miyake,Simonetta d'Ottaviano,Mario Arabov")</f>
        <v>Fatima Zaidi,Oliver Clasen,Brendan Yell,Tom Michael,Maja Markowitz,Tracy Isacke,Rupert Barksfield,Seth Ward,Sam Abrika,Katy Lindemann,Laurent Marfisi,Ken Miyake,Simonetta d'Ottaviano,Mario Arabov</v>
      </c>
      <c r="F92" s="10" t="str">
        <f>IFERROR(__xludf.DUMMYFUNCTION("""COMPUTED_VALUE"""),"2019/11/05 12:15:00")</f>
        <v>2019/11/05 12:15:00</v>
      </c>
      <c r="G92" s="10" t="str">
        <f>IFERROR(__xludf.DUMMYFUNCTION("""COMPUTED_VALUE"""),"2019/11/05 13:15:00")</f>
        <v>2019/11/05 13:15:00</v>
      </c>
      <c r="H92" s="10" t="str">
        <f>IFERROR(__xludf.DUMMYFUNCTION("""COMPUTED_VALUE"""),"7a40a49a-c925-47c4-9249-d9754bf771e8")</f>
        <v>7a40a49a-c925-47c4-9249-d9754bf771e8</v>
      </c>
      <c r="I92" s="10" t="str">
        <f>IFERROR(__xludf.DUMMYFUNCTION("""COMPUTED_VALUE"""),"7a40a49a-c925-47c4-9249-d9754bf771e8")</f>
        <v>7a40a49a-c925-47c4-9249-d9754bf771e8</v>
      </c>
    </row>
    <row r="93">
      <c r="A93" s="10" t="str">
        <f>IFERROR(__xludf.DUMMYFUNCTION("""COMPUTED_VALUE"""),"Shaping your future in the (former) Valley of the Unaware")</f>
        <v>Shaping your future in the (former) Valley of the Unaware</v>
      </c>
      <c r="B93" s="10" t="str">
        <f>IFERROR(__xludf.DUMMYFUNCTION("""COMPUTED_VALUE"""),"CEO of Wandelbots discusses how the company developed a wearable sensor-laden suit that enables users to demonstrate actions for a robot to replicate.")</f>
        <v>CEO of Wandelbots discusses how the company developed a wearable sensor-laden suit that enables users to demonstrate actions for a robot to replicate.</v>
      </c>
      <c r="C93" s="10" t="str">
        <f>IFERROR(__xludf.DUMMYFUNCTION("""COMPUTED_VALUE"""),"Growth Summit")</f>
        <v>Growth Summit</v>
      </c>
      <c r="D93" s="10" t="str">
        <f>IFERROR(__xludf.DUMMYFUNCTION("""COMPUTED_VALUE"""),"Christian Piechnick")</f>
        <v>Christian Piechnick</v>
      </c>
      <c r="E93" s="10" t="str">
        <f>IFERROR(__xludf.DUMMYFUNCTION("""COMPUTED_VALUE"""),"Christian Piechnick")</f>
        <v>Christian Piechnick</v>
      </c>
      <c r="F93" s="10" t="str">
        <f>IFERROR(__xludf.DUMMYFUNCTION("""COMPUTED_VALUE"""),"2019/11/06 10:18:00")</f>
        <v>2019/11/06 10:18:00</v>
      </c>
      <c r="G93" s="10" t="str">
        <f>IFERROR(__xludf.DUMMYFUNCTION("""COMPUTED_VALUE"""),"2019/11/06 10:22:00")</f>
        <v>2019/11/06 10:22:00</v>
      </c>
      <c r="H93" s="10" t="str">
        <f>IFERROR(__xludf.DUMMYFUNCTION("""COMPUTED_VALUE"""),"8de81090-a58e-4170-81aa-981df312797f")</f>
        <v>8de81090-a58e-4170-81aa-981df312797f</v>
      </c>
      <c r="I93" s="10" t="str">
        <f>IFERROR(__xludf.DUMMYFUNCTION("""COMPUTED_VALUE"""),"8de81090-a58e-4170-81aa-981df312797f")</f>
        <v>8de81090-a58e-4170-81aa-981df312797f</v>
      </c>
    </row>
    <row r="94">
      <c r="A94" s="10" t="str">
        <f>IFERROR(__xludf.DUMMYFUNCTION("""COMPUTED_VALUE"""),"Adjusting communication to grow an online business")</f>
        <v>Adjusting communication to grow an online business</v>
      </c>
      <c r="B94" s="10" t="str">
        <f>IFERROR(__xludf.DUMMYFUNCTION("""COMPUTED_VALUE"""),"User.com co-founder Mike Korba will discuss adjusting communication to grow an online business")</f>
        <v>User.com co-founder Mike Korba will discuss adjusting communication to grow an online business</v>
      </c>
      <c r="C94" s="10" t="str">
        <f>IFERROR(__xludf.DUMMYFUNCTION("""COMPUTED_VALUE"""),"Growth Summit")</f>
        <v>Growth Summit</v>
      </c>
      <c r="D94" s="10" t="str">
        <f>IFERROR(__xludf.DUMMYFUNCTION("""COMPUTED_VALUE"""),"Mike Korba")</f>
        <v>Mike Korba</v>
      </c>
      <c r="E94" s="10" t="str">
        <f>IFERROR(__xludf.DUMMYFUNCTION("""COMPUTED_VALUE"""),"Mike Korba")</f>
        <v>Mike Korba</v>
      </c>
      <c r="F94" s="10" t="str">
        <f>IFERROR(__xludf.DUMMYFUNCTION("""COMPUTED_VALUE"""),"2019/11/07 10:10:00")</f>
        <v>2019/11/07 10:10:00</v>
      </c>
      <c r="G94" s="10" t="str">
        <f>IFERROR(__xludf.DUMMYFUNCTION("""COMPUTED_VALUE"""),"2019/11/07 10:14:00")</f>
        <v>2019/11/07 10:14:00</v>
      </c>
      <c r="H94" s="10" t="str">
        <f>IFERROR(__xludf.DUMMYFUNCTION("""COMPUTED_VALUE"""),"52c21009-658c-4a74-89a4-f78368887196")</f>
        <v>52c21009-658c-4a74-89a4-f78368887196</v>
      </c>
      <c r="I94" s="10" t="str">
        <f>IFERROR(__xludf.DUMMYFUNCTION("""COMPUTED_VALUE"""),"52c21009-658c-4a74-89a4-f78368887196")</f>
        <v>52c21009-658c-4a74-89a4-f78368887196</v>
      </c>
    </row>
    <row r="95">
      <c r="A95" s="10" t="str">
        <f>IFERROR(__xludf.DUMMYFUNCTION("""COMPUTED_VALUE"""),"Opening remarks")</f>
        <v>Opening remarks</v>
      </c>
      <c r="B95" s="10" t="str">
        <f>IFERROR(__xludf.DUMMYFUNCTION("""COMPUTED_VALUE"""),"")</f>
        <v/>
      </c>
      <c r="C95" s="10" t="str">
        <f>IFERROR(__xludf.DUMMYFUNCTION("""COMPUTED_VALUE"""),"planet:tech ")</f>
        <v>planet:tech </v>
      </c>
      <c r="D95" s="10" t="str">
        <f>IFERROR(__xludf.DUMMYFUNCTION("""COMPUTED_VALUE"""),"Caroline Venza")</f>
        <v>Caroline Venza</v>
      </c>
      <c r="E95" s="10" t="str">
        <f>IFERROR(__xludf.DUMMYFUNCTION("""COMPUTED_VALUE"""),"Caroline Venza")</f>
        <v>Caroline Venza</v>
      </c>
      <c r="F95" s="10" t="str">
        <f>IFERROR(__xludf.DUMMYFUNCTION("""COMPUTED_VALUE"""),"2019/11/05 14:20:00")</f>
        <v>2019/11/05 14:20:00</v>
      </c>
      <c r="G95" s="10" t="str">
        <f>IFERROR(__xludf.DUMMYFUNCTION("""COMPUTED_VALUE"""),"2019/11/05 14:35:00")</f>
        <v>2019/11/05 14:35:00</v>
      </c>
      <c r="H95" s="10" t="str">
        <f>IFERROR(__xludf.DUMMYFUNCTION("""COMPUTED_VALUE"""),"a31a5083-bf9c-4ad9-a8ea-fe20e825f116")</f>
        <v>a31a5083-bf9c-4ad9-a8ea-fe20e825f116</v>
      </c>
      <c r="I95" s="10" t="str">
        <f>IFERROR(__xludf.DUMMYFUNCTION("""COMPUTED_VALUE"""),"a31a5083-bf9c-4ad9-a8ea-fe20e825f116")</f>
        <v>a31a5083-bf9c-4ad9-a8ea-fe20e825f116</v>
      </c>
    </row>
    <row r="96">
      <c r="A96" s="10" t="str">
        <f>IFERROR(__xludf.DUMMYFUNCTION("""COMPUTED_VALUE"""),"Own Your Data to protect democracy - Press conference with Brittany Kaiser, Own Your Data")</f>
        <v>Own Your Data to protect democracy - Press conference with Brittany Kaiser, Own Your Data</v>
      </c>
      <c r="B96" s="10" t="str">
        <f>IFERROR(__xludf.DUMMYFUNCTION("""COMPUTED_VALUE"""),"")</f>
        <v/>
      </c>
      <c r="C96" s="10" t="str">
        <f>IFERROR(__xludf.DUMMYFUNCTION("""COMPUTED_VALUE"""),"")</f>
        <v/>
      </c>
      <c r="D96" s="10" t="str">
        <f>IFERROR(__xludf.DUMMYFUNCTION("""COMPUTED_VALUE"""),"Brittany Kaiser")</f>
        <v>Brittany Kaiser</v>
      </c>
      <c r="E96" s="10" t="str">
        <f>IFERROR(__xludf.DUMMYFUNCTION("""COMPUTED_VALUE"""),"Brittany Kaiser")</f>
        <v>Brittany Kaiser</v>
      </c>
      <c r="F96" s="10" t="str">
        <f>IFERROR(__xludf.DUMMYFUNCTION("""COMPUTED_VALUE"""),"")</f>
        <v/>
      </c>
      <c r="G96" s="10" t="str">
        <f>IFERROR(__xludf.DUMMYFUNCTION("""COMPUTED_VALUE"""),"")</f>
        <v/>
      </c>
      <c r="H96" s="10" t="str">
        <f>IFERROR(__xludf.DUMMYFUNCTION("""COMPUTED_VALUE"""),"5f5acf6a-a9e2-5211-8ffa-1e9af3f793f7")</f>
        <v>5f5acf6a-a9e2-5211-8ffa-1e9af3f793f7</v>
      </c>
      <c r="I96" s="10" t="str">
        <f>IFERROR(__xludf.DUMMYFUNCTION("""COMPUTED_VALUE"""),"5f5acf6a-a9e2-5211-8ffa-1e9af3f793f7")</f>
        <v>5f5acf6a-a9e2-5211-8ffa-1e9af3f793f7</v>
      </c>
    </row>
    <row r="97">
      <c r="A97" s="10" t="str">
        <f>IFERROR(__xludf.DUMMYFUNCTION("""COMPUTED_VALUE"""),"InvestEU for innovative companies in education and culture, hosted by European Commission")</f>
        <v>InvestEU for innovative companies in education and culture, hosted by European Commission</v>
      </c>
      <c r="B97" s="10" t="str">
        <f>IFERROR(__xludf.DUMMYFUNCTION("""COMPUTED_VALUE"""),"InvestEU aims at triggering at least €650 billion in additional investment to boost jobs and growth. It offers a budget guarantee to investment in sustainable infrastructure; research, innovation, and digitalisation; SMEs; as well as social investment and"&amp;" skills.
The workshop will present how the InvestEU programme works, with a particular focus on the support for education and culture. Participants will interact with panellists who have a long experience in debt and equity financing.")</f>
        <v>InvestEU aims at triggering at least €650 billion in additional investment to boost jobs and growth. It offers a budget guarantee to investment in sustainable infrastructure; research, innovation, and digitalisation; SMEs; as well as social investment and skills.
The workshop will present how the InvestEU programme works, with a particular focus on the support for education and culture. Participants will interact with panellists who have a long experience in debt and equity financing.</v>
      </c>
      <c r="C97" s="10" t="str">
        <f>IFERROR(__xludf.DUMMYFUNCTION("""COMPUTED_VALUE"""),"Workshop 2")</f>
        <v>Workshop 2</v>
      </c>
      <c r="D97" s="10" t="str">
        <f>IFERROR(__xludf.DUMMYFUNCTION("""COMPUTED_VALUE"""),"Rossella Cravetto")</f>
        <v>Rossella Cravetto</v>
      </c>
      <c r="E97" s="10" t="str">
        <f>IFERROR(__xludf.DUMMYFUNCTION("""COMPUTED_VALUE"""),"Rossella Cravetto")</f>
        <v>Rossella Cravetto</v>
      </c>
      <c r="F97" s="10" t="str">
        <f>IFERROR(__xludf.DUMMYFUNCTION("""COMPUTED_VALUE"""),"2019/11/07 12:00:00")</f>
        <v>2019/11/07 12:00:00</v>
      </c>
      <c r="G97" s="10" t="str">
        <f>IFERROR(__xludf.DUMMYFUNCTION("""COMPUTED_VALUE"""),"2019/11/07 12:45:00")</f>
        <v>2019/11/07 12:45:00</v>
      </c>
      <c r="H97" s="10" t="str">
        <f>IFERROR(__xludf.DUMMYFUNCTION("""COMPUTED_VALUE"""),"c075bce1-a1ca-407b-b9fd-908c5eb1a1d2")</f>
        <v>c075bce1-a1ca-407b-b9fd-908c5eb1a1d2</v>
      </c>
      <c r="I97" s="10" t="str">
        <f>IFERROR(__xludf.DUMMYFUNCTION("""COMPUTED_VALUE"""),"c075bce1-a1ca-407b-b9fd-908c5eb1a1d2")</f>
        <v>c075bce1-a1ca-407b-b9fd-908c5eb1a1d2</v>
      </c>
    </row>
    <row r="98">
      <c r="A98" s="10" t="str">
        <f>IFERROR(__xludf.DUMMYFUNCTION("""COMPUTED_VALUE"""),"PITCH group round 9")</f>
        <v>PITCH group round 9</v>
      </c>
      <c r="B98" s="10" t="str">
        <f>IFERROR(__xludf.DUMMYFUNCTION("""COMPUTED_VALUE"""),"")</f>
        <v/>
      </c>
      <c r="C98" s="10" t="str">
        <f>IFERROR(__xludf.DUMMYFUNCTION("""COMPUTED_VALUE"""),"")</f>
        <v/>
      </c>
      <c r="D98" s="10" t="str">
        <f>IFERROR(__xludf.DUMMYFUNCTION("""COMPUTED_VALUE"""),"Maya Horgan Famodu,  Christian Knott,  Felix Buggenthin,  Mohan Ram,  Gijs den Hartog,  Eyal Sheinholtz,  Joanna Yein Song,  Danica Damljanovic,  Rafal Witkowski,  andrea baldini,  Sergey Soloboev,  Egor Pchelnikov and  Samuel Lathey
")</f>
        <v>Maya Horgan Famodu,  Christian Knott,  Felix Buggenthin,  Mohan Ram,  Gijs den Hartog,  Eyal Sheinholtz,  Joanna Yein Song,  Danica Damljanovic,  Rafal Witkowski,  andrea baldini,  Sergey Soloboev,  Egor Pchelnikov and  Samuel Lathey
</v>
      </c>
      <c r="E98" s="10" t="str">
        <f>IFERROR(__xludf.DUMMYFUNCTION("""COMPUTED_VALUE"""),"Maya Horgan Famodu, Christian Knott, Felix Buggenthin, Mohan Ram, Gijs den Hartog, Eyal Sheinholtz, Joanna Yein Song, Danica Damljanovic, Rafal Witkowski, andrea baldini, Sergey Soloboev, Egor Pchelnikov, Samuel Lathey
")</f>
        <v>Maya Horgan Famodu, Christian Knott, Felix Buggenthin, Mohan Ram, Gijs den Hartog, Eyal Sheinholtz, Joanna Yein Song, Danica Damljanovic, Rafal Witkowski, andrea baldini, Sergey Soloboev, Egor Pchelnikov, Samuel Lathey
</v>
      </c>
      <c r="F98" s="10" t="str">
        <f>IFERROR(__xludf.DUMMYFUNCTION("""COMPUTED_VALUE"""),"")</f>
        <v/>
      </c>
      <c r="G98" s="10" t="str">
        <f>IFERROR(__xludf.DUMMYFUNCTION("""COMPUTED_VALUE"""),"")</f>
        <v/>
      </c>
      <c r="H98" s="10" t="str">
        <f>IFERROR(__xludf.DUMMYFUNCTION("""COMPUTED_VALUE"""),"e4d362cb-c518-51bf-ab09-f7cfc842e036")</f>
        <v>e4d362cb-c518-51bf-ab09-f7cfc842e036</v>
      </c>
      <c r="I98" s="10" t="str">
        <f>IFERROR(__xludf.DUMMYFUNCTION("""COMPUTED_VALUE"""),"e4d362cb-c518-51bf-ab09-f7cfc842e036")</f>
        <v>e4d362cb-c518-51bf-ab09-f7cfc842e036</v>
      </c>
    </row>
    <row r="99">
      <c r="A99" s="10" t="str">
        <f>IFERROR(__xludf.DUMMYFUNCTION("""COMPUTED_VALUE"""),"Breaking device boundaries with EMUI distributed technology, hosted by Huawei")</f>
        <v>Breaking device boundaries with EMUI distributed technology, hosted by Huawei</v>
      </c>
      <c r="B99" s="10" t="str">
        <f>IFERROR(__xludf.DUMMYFUNCTION("""COMPUTED_VALUE"""),"Introduction of the APIs that you can integrate Huawei device technologies into your apps, to help make your innovations more efficient.")</f>
        <v>Introduction of the APIs that you can integrate Huawei device technologies into your apps, to help make your innovations more efficient.</v>
      </c>
      <c r="C99" s="10" t="str">
        <f>IFERROR(__xludf.DUMMYFUNCTION("""COMPUTED_VALUE"""),"Workshop 1")</f>
        <v>Workshop 1</v>
      </c>
      <c r="D99" s="10" t="str">
        <f>IFERROR(__xludf.DUMMYFUNCTION("""COMPUTED_VALUE"""),"")</f>
        <v/>
      </c>
      <c r="E99" s="10" t="str">
        <f>IFERROR(__xludf.DUMMYFUNCTION("""COMPUTED_VALUE"""),"")</f>
        <v/>
      </c>
      <c r="F99" s="10" t="str">
        <f>IFERROR(__xludf.DUMMYFUNCTION("""COMPUTED_VALUE"""),"2019/11/05 15:10:00")</f>
        <v>2019/11/05 15:10:00</v>
      </c>
      <c r="G99" s="10" t="str">
        <f>IFERROR(__xludf.DUMMYFUNCTION("""COMPUTED_VALUE"""),"2019/11/05 15:35:00")</f>
        <v>2019/11/05 15:35:00</v>
      </c>
      <c r="H99" s="10" t="str">
        <f>IFERROR(__xludf.DUMMYFUNCTION("""COMPUTED_VALUE"""),"d4cbf248-8fff-4f44-a946-f3d6f18f7a08")</f>
        <v>d4cbf248-8fff-4f44-a946-f3d6f18f7a08</v>
      </c>
      <c r="I99" s="10" t="str">
        <f>IFERROR(__xludf.DUMMYFUNCTION("""COMPUTED_VALUE"""),"d4cbf248-8fff-4f44-a946-f3d6f18f7a08")</f>
        <v>d4cbf248-8fff-4f44-a946-f3d6f18f7a08</v>
      </c>
    </row>
    <row r="100">
      <c r="A100" s="10" t="str">
        <f>IFERROR(__xludf.DUMMYFUNCTION("""COMPUTED_VALUE"""),"Opening remarks")</f>
        <v>Opening remarks</v>
      </c>
      <c r="B100" s="10" t="str">
        <f>IFERROR(__xludf.DUMMYFUNCTION("""COMPUTED_VALUE"""),"")</f>
        <v/>
      </c>
      <c r="C100" s="10" t="str">
        <f>IFERROR(__xludf.DUMMYFUNCTION("""COMPUTED_VALUE"""),"Venture stage")</f>
        <v>Venture stage</v>
      </c>
      <c r="D100" s="10" t="str">
        <f>IFERROR(__xludf.DUMMYFUNCTION("""COMPUTED_VALUE"""),"Yamilette Cano")</f>
        <v>Yamilette Cano</v>
      </c>
      <c r="E100" s="10" t="str">
        <f>IFERROR(__xludf.DUMMYFUNCTION("""COMPUTED_VALUE"""),"Yamilette Cano")</f>
        <v>Yamilette Cano</v>
      </c>
      <c r="F100" s="10" t="str">
        <f>IFERROR(__xludf.DUMMYFUNCTION("""COMPUTED_VALUE"""),"2019/11/06 13:35:00")</f>
        <v>2019/11/06 13:35:00</v>
      </c>
      <c r="G100" s="10" t="str">
        <f>IFERROR(__xludf.DUMMYFUNCTION("""COMPUTED_VALUE"""),"2019/11/06 13:45:00")</f>
        <v>2019/11/06 13:45:00</v>
      </c>
      <c r="H100" s="10" t="str">
        <f>IFERROR(__xludf.DUMMYFUNCTION("""COMPUTED_VALUE"""),"52f8302a-b9fc-4eab-bc24-3bfcd49e430d")</f>
        <v>52f8302a-b9fc-4eab-bc24-3bfcd49e430d</v>
      </c>
      <c r="I100" s="10" t="str">
        <f>IFERROR(__xludf.DUMMYFUNCTION("""COMPUTED_VALUE"""),"52f8302a-b9fc-4eab-bc24-3bfcd49e430d")</f>
        <v>52f8302a-b9fc-4eab-bc24-3bfcd49e430d</v>
      </c>
    </row>
    <row r="101">
      <c r="A101" s="10" t="str">
        <f>IFERROR(__xludf.DUMMYFUNCTION("""COMPUTED_VALUE"""),"Our future doesn't have to be a boring dystopia")</f>
        <v>Our future doesn't have to be a boring dystopia</v>
      </c>
      <c r="B101" s="10" t="str">
        <f>IFERROR(__xludf.DUMMYFUNCTION("""COMPUTED_VALUE"""),"If you sometimes feel like we're headed toward a very dull dystopia, you're not alone. In this panel, we'll discuss what the future might look like, without the misery.")</f>
        <v>If you sometimes feel like we're headed toward a very dull dystopia, you're not alone. In this panel, we'll discuss what the future might look like, without the misery.</v>
      </c>
      <c r="C101" s="10" t="str">
        <f>IFERROR(__xludf.DUMMYFUNCTION("""COMPUTED_VALUE"""),"Auto/Tech &amp; TalkRobot")</f>
        <v>Auto/Tech &amp; TalkRobot</v>
      </c>
      <c r="D101" s="10" t="str">
        <f>IFERROR(__xludf.DUMMYFUNCTION("""COMPUTED_VALUE"""),"Falon Fatemi, Wendy Queen, Fouzia Adjailia and Emil Protalinski")</f>
        <v>Falon Fatemi, Wendy Queen, Fouzia Adjailia and Emil Protalinski</v>
      </c>
      <c r="E101" s="10" t="str">
        <f>IFERROR(__xludf.DUMMYFUNCTION("""COMPUTED_VALUE"""),"Falon Fatemi,Wendy Queen,Fouzia Adjailia,Emil Protalinski")</f>
        <v>Falon Fatemi,Wendy Queen,Fouzia Adjailia,Emil Protalinski</v>
      </c>
      <c r="F101" s="10" t="str">
        <f>IFERROR(__xludf.DUMMYFUNCTION("""COMPUTED_VALUE"""),"2019/11/05 15:25:00")</f>
        <v>2019/11/05 15:25:00</v>
      </c>
      <c r="G101" s="10" t="str">
        <f>IFERROR(__xludf.DUMMYFUNCTION("""COMPUTED_VALUE"""),"2019/11/05 15:45:00")</f>
        <v>2019/11/05 15:45:00</v>
      </c>
      <c r="H101" s="10" t="str">
        <f>IFERROR(__xludf.DUMMYFUNCTION("""COMPUTED_VALUE"""),"1a5a3ff0-7fd7-439c-bf0c-160aeec22399")</f>
        <v>1a5a3ff0-7fd7-439c-bf0c-160aeec22399</v>
      </c>
      <c r="I101" s="10" t="str">
        <f>IFERROR(__xludf.DUMMYFUNCTION("""COMPUTED_VALUE"""),"1a5a3ff0-7fd7-439c-bf0c-160aeec22399")</f>
        <v>1a5a3ff0-7fd7-439c-bf0c-160aeec22399</v>
      </c>
    </row>
    <row r="102">
      <c r="A102" s="10" t="str">
        <f>IFERROR(__xludf.DUMMYFUNCTION("""COMPUTED_VALUE"""),"From newcomers to leaders: How Red Points is disrupting the fight against fakes")</f>
        <v>From newcomers to leaders: How Red Points is disrupting the fight against fakes</v>
      </c>
      <c r="B102" s="10" t="str">
        <f>IFERROR(__xludf.DUMMYFUNCTION("""COMPUTED_VALUE"""),"Laura, CEO of Red Points, will be discussing how the company has become the fastest growing intellectual property SaaS solution by leveraging technology to support brands worldwide as they fight against fakes online.")</f>
        <v>Laura, CEO of Red Points, will be discussing how the company has become the fastest growing intellectual property SaaS solution by leveraging technology to support brands worldwide as they fight against fakes online.</v>
      </c>
      <c r="C102" s="10" t="str">
        <f>IFERROR(__xludf.DUMMYFUNCTION("""COMPUTED_VALUE"""),"Growth Summit")</f>
        <v>Growth Summit</v>
      </c>
      <c r="D102" s="10" t="str">
        <f>IFERROR(__xludf.DUMMYFUNCTION("""COMPUTED_VALUE"""),"Laura Urquizu")</f>
        <v>Laura Urquizu</v>
      </c>
      <c r="E102" s="10" t="str">
        <f>IFERROR(__xludf.DUMMYFUNCTION("""COMPUTED_VALUE"""),"Laura Urquizu")</f>
        <v>Laura Urquizu</v>
      </c>
      <c r="F102" s="10" t="str">
        <f>IFERROR(__xludf.DUMMYFUNCTION("""COMPUTED_VALUE"""),"2019/11/05 16:10:00")</f>
        <v>2019/11/05 16:10:00</v>
      </c>
      <c r="G102" s="10" t="str">
        <f>IFERROR(__xludf.DUMMYFUNCTION("""COMPUTED_VALUE"""),"2019/11/05 16:21:00")</f>
        <v>2019/11/05 16:21:00</v>
      </c>
      <c r="H102" s="10" t="str">
        <f>IFERROR(__xludf.DUMMYFUNCTION("""COMPUTED_VALUE"""),"b107bcfd-78d1-469e-b998-6d5efffc0b14")</f>
        <v>b107bcfd-78d1-469e-b998-6d5efffc0b14</v>
      </c>
      <c r="I102" s="10" t="str">
        <f>IFERROR(__xludf.DUMMYFUNCTION("""COMPUTED_VALUE"""),"b107bcfd-78d1-469e-b998-6d5efffc0b14")</f>
        <v>b107bcfd-78d1-469e-b998-6d5efffc0b14</v>
      </c>
    </row>
    <row r="103">
      <c r="A103" s="10" t="str">
        <f>IFERROR(__xludf.DUMMYFUNCTION("""COMPUTED_VALUE"""),"What's in store for retail? The era of experience")</f>
        <v>What's in store for retail? The era of experience</v>
      </c>
      <c r="B103" s="10" t="str">
        <f>IFERROR(__xludf.DUMMYFUNCTION("""COMPUTED_VALUE"""),"Our next panel recognise the importance of tangible experiences. Join them as they discuss how human connections and memorable moments may just be the key to saving traditional retail. ")</f>
        <v>Our next panel recognise the importance of tangible experiences. Join them as they discuss how human connections and memorable moments may just be the key to saving traditional retail. </v>
      </c>
      <c r="C103" s="10" t="str">
        <f>IFERROR(__xludf.DUMMYFUNCTION("""COMPUTED_VALUE"""),"Modum")</f>
        <v>Modum</v>
      </c>
      <c r="D103" s="10" t="str">
        <f>IFERROR(__xludf.DUMMYFUNCTION("""COMPUTED_VALUE"""),"Annia Spiliopoulos, Annastasia Seebohm and Alex Deane")</f>
        <v>Annia Spiliopoulos, Annastasia Seebohm and Alex Deane</v>
      </c>
      <c r="E103" s="10" t="str">
        <f>IFERROR(__xludf.DUMMYFUNCTION("""COMPUTED_VALUE"""),"Annia Spiliopoulos,Annastasia Seebohm,Alex Deane")</f>
        <v>Annia Spiliopoulos,Annastasia Seebohm,Alex Deane</v>
      </c>
      <c r="F103" s="10" t="str">
        <f>IFERROR(__xludf.DUMMYFUNCTION("""COMPUTED_VALUE"""),"2019/11/07 13:00:00")</f>
        <v>2019/11/07 13:00:00</v>
      </c>
      <c r="G103" s="10" t="str">
        <f>IFERROR(__xludf.DUMMYFUNCTION("""COMPUTED_VALUE"""),"2019/11/07 13:20:00")</f>
        <v>2019/11/07 13:20:00</v>
      </c>
      <c r="H103" s="10" t="str">
        <f>IFERROR(__xludf.DUMMYFUNCTION("""COMPUTED_VALUE"""),"11d33255-a863-4df8-8e46-9b07ab1fdd54")</f>
        <v>11d33255-a863-4df8-8e46-9b07ab1fdd54</v>
      </c>
      <c r="I103" s="10" t="str">
        <f>IFERROR(__xludf.DUMMYFUNCTION("""COMPUTED_VALUE"""),"11d33255-a863-4df8-8e46-9b07ab1fdd54")</f>
        <v>11d33255-a863-4df8-8e46-9b07ab1fdd54</v>
      </c>
    </row>
    <row r="104">
      <c r="A104" s="10" t="str">
        <f>IFERROR(__xludf.DUMMYFUNCTION("""COMPUTED_VALUE"""),"Lean In Circles: The power of sisterhood to build inclusive technology and fight bias, hosted by Lean In Women In Tech Lisbon")</f>
        <v>Lean In Circles: The power of sisterhood to build inclusive technology and fight bias, hosted by Lean In Women In Tech Lisbon</v>
      </c>
      <c r="B104" s="10" t="str">
        <f>IFERROR(__xludf.DUMMYFUNCTION("""COMPUTED_VALUE"""),"We believe there is a need for diversity and inclusion in the tech space, and we are here to help bridge the gap! We will have a Lean In Circle for women who want to explore unconscious biases and different ways to overcome them in a safe and supportive s"&amp;"pace. Lean in circles are places for exchanging experiences and supporting each other to become our best selves. After participation, you will be inspired and empowered to take the next step towards your goals. Together we can create the change!")</f>
        <v>We believe there is a need for diversity and inclusion in the tech space, and we are here to help bridge the gap! We will have a Lean In Circle for women who want to explore unconscious biases and different ways to overcome them in a safe and supportive space. Lean in circles are places for exchanging experiences and supporting each other to become our best selves. After participation, you will be inspired and empowered to take the next step towards your goals. Together we can create the change!</v>
      </c>
      <c r="C104" s="10" t="str">
        <f>IFERROR(__xludf.DUMMYFUNCTION("""COMPUTED_VALUE"""),"Workshop 1")</f>
        <v>Workshop 1</v>
      </c>
      <c r="D104" s="10" t="str">
        <f>IFERROR(__xludf.DUMMYFUNCTION("""COMPUTED_VALUE"""),"Stela Suils Cuesta, Adriana Camilleri, Melissa Romero, Amel Murphy, Barbara Lampl, Netta Nevalainen and Anni Rautio")</f>
        <v>Stela Suils Cuesta, Adriana Camilleri, Melissa Romero, Amel Murphy, Barbara Lampl, Netta Nevalainen and Anni Rautio</v>
      </c>
      <c r="E104" s="10" t="str">
        <f>IFERROR(__xludf.DUMMYFUNCTION("""COMPUTED_VALUE"""),"Stela Suils Cuesta,Adriana Camilleri,Melissa Romero,Amel Murphy,Barbara Lampl,Netta Nevalainen,Anni Rautio")</f>
        <v>Stela Suils Cuesta,Adriana Camilleri,Melissa Romero,Amel Murphy,Barbara Lampl,Netta Nevalainen,Anni Rautio</v>
      </c>
      <c r="F104" s="10" t="str">
        <f>IFERROR(__xludf.DUMMYFUNCTION("""COMPUTED_VALUE"""),"2019/11/07 10:00:00")</f>
        <v>2019/11/07 10:00:00</v>
      </c>
      <c r="G104" s="10" t="str">
        <f>IFERROR(__xludf.DUMMYFUNCTION("""COMPUTED_VALUE"""),"2019/11/07 11:15:00")</f>
        <v>2019/11/07 11:15:00</v>
      </c>
      <c r="H104" s="10" t="str">
        <f>IFERROR(__xludf.DUMMYFUNCTION("""COMPUTED_VALUE"""),"e8a54f60-d296-49ce-bb7f-ce1fec306ce1")</f>
        <v>e8a54f60-d296-49ce-bb7f-ce1fec306ce1</v>
      </c>
      <c r="I104" s="10" t="str">
        <f>IFERROR(__xludf.DUMMYFUNCTION("""COMPUTED_VALUE"""),"e8a54f60-d296-49ce-bb7f-ce1fec306ce1")</f>
        <v>e8a54f60-d296-49ce-bb7f-ce1fec306ce1</v>
      </c>
    </row>
    <row r="105">
      <c r="A105" s="10" t="str">
        <f>IFERROR(__xludf.DUMMYFUNCTION("""COMPUTED_VALUE"""),"Taking your fare to the air: The flying taxi's new reality")</f>
        <v>Taking your fare to the air: The flying taxi's new reality</v>
      </c>
      <c r="B105" s="10" t="str">
        <f>IFERROR(__xludf.DUMMYFUNCTION("""COMPUTED_VALUE"""),"Never mind hailing a cab on the roadside- it's all about the sky now.")</f>
        <v>Never mind hailing a cab on the roadside- it's all about the sky now.</v>
      </c>
      <c r="C105" s="10" t="str">
        <f>IFERROR(__xludf.DUMMYFUNCTION("""COMPUTED_VALUE"""),"Auto/Tech &amp; TalkRobot")</f>
        <v>Auto/Tech &amp; TalkRobot</v>
      </c>
      <c r="D105" s="10" t="str">
        <f>IFERROR(__xludf.DUMMYFUNCTION("""COMPUTED_VALUE"""),"Daniel Wiegand and Steve Ranger")</f>
        <v>Daniel Wiegand and Steve Ranger</v>
      </c>
      <c r="E105" s="10" t="str">
        <f>IFERROR(__xludf.DUMMYFUNCTION("""COMPUTED_VALUE"""),"Daniel Wiegand,Steve Ranger")</f>
        <v>Daniel Wiegand,Steve Ranger</v>
      </c>
      <c r="F105" s="10" t="str">
        <f>IFERROR(__xludf.DUMMYFUNCTION("""COMPUTED_VALUE"""),"2019/11/06 15:40:00")</f>
        <v>2019/11/06 15:40:00</v>
      </c>
      <c r="G105" s="10" t="str">
        <f>IFERROR(__xludf.DUMMYFUNCTION("""COMPUTED_VALUE"""),"2019/11/06 16:00:00")</f>
        <v>2019/11/06 16:00:00</v>
      </c>
      <c r="H105" s="10" t="str">
        <f>IFERROR(__xludf.DUMMYFUNCTION("""COMPUTED_VALUE"""),"57c773b4-debd-417b-90eb-ed96a3e269f9")</f>
        <v>57c773b4-debd-417b-90eb-ed96a3e269f9</v>
      </c>
      <c r="I105" s="10" t="str">
        <f>IFERROR(__xludf.DUMMYFUNCTION("""COMPUTED_VALUE"""),"57c773b4-debd-417b-90eb-ed96a3e269f9")</f>
        <v>57c773b4-debd-417b-90eb-ed96a3e269f9</v>
      </c>
    </row>
    <row r="106">
      <c r="A106" s="10" t="str">
        <f>IFERROR(__xludf.DUMMYFUNCTION("""COMPUTED_VALUE"""),"Healthtech and VC: The narrowing divide")</f>
        <v>Healthtech and VC: The narrowing divide</v>
      </c>
      <c r="B106" s="10" t="str">
        <f>IFERROR(__xludf.DUMMYFUNCTION("""COMPUTED_VALUE"""),"Venture capital money is flowing into health, med tech and life sciences. Meanwhile tech platforms are disrupting the consumer experience in the health industry. How can VCs work with the biggest players in the field? ")</f>
        <v>Venture capital money is flowing into health, med tech and life sciences. Meanwhile tech platforms are disrupting the consumer experience in the health industry. How can VCs work with the biggest players in the field? </v>
      </c>
      <c r="C106" s="10" t="str">
        <f>IFERROR(__xludf.DUMMYFUNCTION("""COMPUTED_VALUE"""),"Venture stage")</f>
        <v>Venture stage</v>
      </c>
      <c r="D106" s="10" t="str">
        <f>IFERROR(__xludf.DUMMYFUNCTION("""COMPUTED_VALUE"""),"Dirk Kersten, Min Hu, John Zibert, Marc Rougier and Lu Zhang")</f>
        <v>Dirk Kersten, Min Hu, John Zibert, Marc Rougier and Lu Zhang</v>
      </c>
      <c r="E106" s="10" t="str">
        <f>IFERROR(__xludf.DUMMYFUNCTION("""COMPUTED_VALUE"""),"Dirk Kersten,Min Hu,John Zibert,Marc Rougier,Lu Zhang")</f>
        <v>Dirk Kersten,Min Hu,John Zibert,Marc Rougier,Lu Zhang</v>
      </c>
      <c r="F106" s="10" t="str">
        <f>IFERROR(__xludf.DUMMYFUNCTION("""COMPUTED_VALUE"""),"2019/11/07 11:55:00")</f>
        <v>2019/11/07 11:55:00</v>
      </c>
      <c r="G106" s="10" t="str">
        <f>IFERROR(__xludf.DUMMYFUNCTION("""COMPUTED_VALUE"""),"2019/11/07 12:20:00")</f>
        <v>2019/11/07 12:20:00</v>
      </c>
      <c r="H106" s="10" t="str">
        <f>IFERROR(__xludf.DUMMYFUNCTION("""COMPUTED_VALUE"""),"24f4b41a-c145-4ea8-ae61-2937b8b63771")</f>
        <v>24f4b41a-c145-4ea8-ae61-2937b8b63771</v>
      </c>
      <c r="I106" s="10" t="str">
        <f>IFERROR(__xludf.DUMMYFUNCTION("""COMPUTED_VALUE"""),"24f4b41a-c145-4ea8-ae61-2937b8b63771")</f>
        <v>24f4b41a-c145-4ea8-ae61-2937b8b63771</v>
      </c>
    </row>
    <row r="107">
      <c r="A107" s="10" t="str">
        <f>IFERROR(__xludf.DUMMYFUNCTION("""COMPUTED_VALUE"""),"David partnering Goliath: How startups should think at partnerships")</f>
        <v>David partnering Goliath: How startups should think at partnerships</v>
      </c>
      <c r="B107" s="10" t="str">
        <f>IFERROR(__xludf.DUMMYFUNCTION("""COMPUTED_VALUE"""),"Francesco Simoneschi, CEO and co-founder of Europe's leading financial API provider TrueLayer, discusses how building a network of partnerships is a critical and often overlooked part of a startup's journey. Using TrueLayer's story of working with banks, "&amp;"fintechs and regulators to successfully build and refine its products, Francesco will cover the strategy and factors all startups should consider when building and maintaining their partnership network.")</f>
        <v>Francesco Simoneschi, CEO and co-founder of Europe's leading financial API provider TrueLayer, discusses how building a network of partnerships is a critical and often overlooked part of a startup's journey. Using TrueLayer's story of working with banks, fintechs and regulators to successfully build and refine its products, Francesco will cover the strategy and factors all startups should consider when building and maintaining their partnership network.</v>
      </c>
      <c r="C107" s="10" t="str">
        <f>IFERROR(__xludf.DUMMYFUNCTION("""COMPUTED_VALUE"""),"Growth Summit")</f>
        <v>Growth Summit</v>
      </c>
      <c r="D107" s="10" t="str">
        <f>IFERROR(__xludf.DUMMYFUNCTION("""COMPUTED_VALUE"""),"Francesco Simoneschi")</f>
        <v>Francesco Simoneschi</v>
      </c>
      <c r="E107" s="10" t="str">
        <f>IFERROR(__xludf.DUMMYFUNCTION("""COMPUTED_VALUE"""),"Francesco Simoneschi")</f>
        <v>Francesco Simoneschi</v>
      </c>
      <c r="F107" s="10" t="str">
        <f>IFERROR(__xludf.DUMMYFUNCTION("""COMPUTED_VALUE"""),"2019/11/05 14:20:00")</f>
        <v>2019/11/05 14:20:00</v>
      </c>
      <c r="G107" s="10" t="str">
        <f>IFERROR(__xludf.DUMMYFUNCTION("""COMPUTED_VALUE"""),"2019/11/05 14:31:00")</f>
        <v>2019/11/05 14:31:00</v>
      </c>
      <c r="H107" s="10" t="str">
        <f>IFERROR(__xludf.DUMMYFUNCTION("""COMPUTED_VALUE"""),"60825590-e9f9-48d4-8c82-b3364f8133cc")</f>
        <v>60825590-e9f9-48d4-8c82-b3364f8133cc</v>
      </c>
      <c r="I107" s="10" t="str">
        <f>IFERROR(__xludf.DUMMYFUNCTION("""COMPUTED_VALUE"""),"60825590-e9f9-48d4-8c82-b3364f8133cc")</f>
        <v>60825590-e9f9-48d4-8c82-b3364f8133cc</v>
      </c>
    </row>
    <row r="108">
      <c r="A108" s="10" t="str">
        <f>IFERROR(__xludf.DUMMYFUNCTION("""COMPUTED_VALUE"""),"Privacy meets innovation in a global marketplace")</f>
        <v>Privacy meets innovation in a global marketplace</v>
      </c>
      <c r="B108" s="10" t="str">
        <f>IFERROR(__xludf.DUMMYFUNCTION("""COMPUTED_VALUE"""),"In this keynote presentation, Uber's Chief Privacy Officer, Ruby Zefo, will be discussing the role of privacy in the ride-sharing ecosystem.")</f>
        <v>In this keynote presentation, Uber's Chief Privacy Officer, Ruby Zefo, will be discussing the role of privacy in the ride-sharing ecosystem.</v>
      </c>
      <c r="C108" s="10" t="str">
        <f>IFERROR(__xludf.DUMMYFUNCTION("""COMPUTED_VALUE"""),"Auto/Tech &amp; TalkRobot")</f>
        <v>Auto/Tech &amp; TalkRobot</v>
      </c>
      <c r="D108" s="10" t="str">
        <f>IFERROR(__xludf.DUMMYFUNCTION("""COMPUTED_VALUE"""),"Ruby Zefo and Charlie Warzel")</f>
        <v>Ruby Zefo and Charlie Warzel</v>
      </c>
      <c r="E108" s="10" t="str">
        <f>IFERROR(__xludf.DUMMYFUNCTION("""COMPUTED_VALUE"""),"Ruby Zefo,Charlie Warzel")</f>
        <v>Ruby Zefo,Charlie Warzel</v>
      </c>
      <c r="F108" s="10" t="str">
        <f>IFERROR(__xludf.DUMMYFUNCTION("""COMPUTED_VALUE"""),"2019/11/05 16:05:00")</f>
        <v>2019/11/05 16:05:00</v>
      </c>
      <c r="G108" s="10" t="str">
        <f>IFERROR(__xludf.DUMMYFUNCTION("""COMPUTED_VALUE"""),"2019/11/05 16:25:00")</f>
        <v>2019/11/05 16:25:00</v>
      </c>
      <c r="H108" s="10" t="str">
        <f>IFERROR(__xludf.DUMMYFUNCTION("""COMPUTED_VALUE"""),"eb050208-6dbc-428f-893b-caf9613dce08")</f>
        <v>eb050208-6dbc-428f-893b-caf9613dce08</v>
      </c>
      <c r="I108" s="10" t="str">
        <f>IFERROR(__xludf.DUMMYFUNCTION("""COMPUTED_VALUE"""),"eb050208-6dbc-428f-893b-caf9613dce08")</f>
        <v>eb050208-6dbc-428f-893b-caf9613dce08</v>
      </c>
    </row>
    <row r="109">
      <c r="A109" s="10" t="str">
        <f>IFERROR(__xludf.DUMMYFUNCTION("""COMPUTED_VALUE"""),"Opening remarks")</f>
        <v>Opening remarks</v>
      </c>
      <c r="B109" s="10" t="str">
        <f>IFERROR(__xludf.DUMMYFUNCTION("""COMPUTED_VALUE"""),"Muse headband creator Ariel Garten leads a morning meditation before HealthConf's first talk.")</f>
        <v>Muse headband creator Ariel Garten leads a morning meditation before HealthConf's first talk.</v>
      </c>
      <c r="C109" s="10" t="str">
        <f>IFERROR(__xludf.DUMMYFUNCTION("""COMPUTED_VALUE"""),"HealthConf")</f>
        <v>HealthConf</v>
      </c>
      <c r="D109" s="10" t="str">
        <f>IFERROR(__xludf.DUMMYFUNCTION("""COMPUTED_VALUE"""),"Ariel Garten")</f>
        <v>Ariel Garten</v>
      </c>
      <c r="E109" s="10" t="str">
        <f>IFERROR(__xludf.DUMMYFUNCTION("""COMPUTED_VALUE"""),"Ariel Garten")</f>
        <v>Ariel Garten</v>
      </c>
      <c r="F109" s="10" t="str">
        <f>IFERROR(__xludf.DUMMYFUNCTION("""COMPUTED_VALUE"""),"2019/11/07 10:30:00")</f>
        <v>2019/11/07 10:30:00</v>
      </c>
      <c r="G109" s="10" t="str">
        <f>IFERROR(__xludf.DUMMYFUNCTION("""COMPUTED_VALUE"""),"2019/11/07 10:45:00")</f>
        <v>2019/11/07 10:45:00</v>
      </c>
      <c r="H109" s="10" t="str">
        <f>IFERROR(__xludf.DUMMYFUNCTION("""COMPUTED_VALUE"""),"d9d9963d-8d9d-42dc-8973-a5f8ee4fb095")</f>
        <v>d9d9963d-8d9d-42dc-8973-a5f8ee4fb095</v>
      </c>
      <c r="I109" s="10" t="str">
        <f>IFERROR(__xludf.DUMMYFUNCTION("""COMPUTED_VALUE"""),"d9d9963d-8d9d-42dc-8973-a5f8ee4fb095")</f>
        <v>d9d9963d-8d9d-42dc-8973-a5f8ee4fb095</v>
      </c>
    </row>
    <row r="110">
      <c r="A110" s="10" t="str">
        <f>IFERROR(__xludf.DUMMYFUNCTION("""COMPUTED_VALUE"""),"Robotics Process Automation, shaping the future of work")</f>
        <v>Robotics Process Automation, shaping the future of work</v>
      </c>
      <c r="B110" s="10" t="str">
        <f>IFERROR(__xludf.DUMMYFUNCTION("""COMPUTED_VALUE"""),"In his presentation, Vargha Moayed, Chief Strategy Officer, UiPath sheds more light on how AI, cloud and robotics are changing the future of work.")</f>
        <v>In his presentation, Vargha Moayed, Chief Strategy Officer, UiPath sheds more light on how AI, cloud and robotics are changing the future of work.</v>
      </c>
      <c r="C110" s="10" t="str">
        <f>IFERROR(__xludf.DUMMYFUNCTION("""COMPUTED_VALUE"""),"SaaS Monster")</f>
        <v>SaaS Monster</v>
      </c>
      <c r="D110" s="10" t="str">
        <f>IFERROR(__xludf.DUMMYFUNCTION("""COMPUTED_VALUE"""),"Vargha Moayed")</f>
        <v>Vargha Moayed</v>
      </c>
      <c r="E110" s="10" t="str">
        <f>IFERROR(__xludf.DUMMYFUNCTION("""COMPUTED_VALUE"""),"Vargha Moayed")</f>
        <v>Vargha Moayed</v>
      </c>
      <c r="F110" s="10" t="str">
        <f>IFERROR(__xludf.DUMMYFUNCTION("""COMPUTED_VALUE"""),"2019/11/06 11:25:00")</f>
        <v>2019/11/06 11:25:00</v>
      </c>
      <c r="G110" s="10" t="str">
        <f>IFERROR(__xludf.DUMMYFUNCTION("""COMPUTED_VALUE"""),"2019/11/06 11:45:00")</f>
        <v>2019/11/06 11:45:00</v>
      </c>
      <c r="H110" s="10" t="str">
        <f>IFERROR(__xludf.DUMMYFUNCTION("""COMPUTED_VALUE"""),"0235c182-6a0f-440a-bbe7-f9aab349aa69")</f>
        <v>0235c182-6a0f-440a-bbe7-f9aab349aa69</v>
      </c>
      <c r="I110" s="10" t="str">
        <f>IFERROR(__xludf.DUMMYFUNCTION("""COMPUTED_VALUE"""),"0235c182-6a0f-440a-bbe7-f9aab349aa69")</f>
        <v>0235c182-6a0f-440a-bbe7-f9aab349aa69</v>
      </c>
    </row>
    <row r="111">
      <c r="A111" s="10" t="str">
        <f>IFERROR(__xludf.DUMMYFUNCTION("""COMPUTED_VALUE"""),"Opening remarks")</f>
        <v>Opening remarks</v>
      </c>
      <c r="B111" s="10" t="str">
        <f>IFERROR(__xludf.DUMMYFUNCTION("""COMPUTED_VALUE"""),"Welcome back to Corporate Innovation Summit, we hope you enjoyed your lunch. ")</f>
        <v>Welcome back to Corporate Innovation Summit, we hope you enjoyed your lunch. </v>
      </c>
      <c r="C111" s="10" t="str">
        <f>IFERROR(__xludf.DUMMYFUNCTION("""COMPUTED_VALUE"""),"Corporate Innovation Summit")</f>
        <v>Corporate Innovation Summit</v>
      </c>
      <c r="D111" s="10" t="str">
        <f>IFERROR(__xludf.DUMMYFUNCTION("""COMPUTED_VALUE"""),"Belinda Esterhammer")</f>
        <v>Belinda Esterhammer</v>
      </c>
      <c r="E111" s="10" t="str">
        <f>IFERROR(__xludf.DUMMYFUNCTION("""COMPUTED_VALUE"""),"Belinda Esterhammer")</f>
        <v>Belinda Esterhammer</v>
      </c>
      <c r="F111" s="10" t="str">
        <f>IFERROR(__xludf.DUMMYFUNCTION("""COMPUTED_VALUE"""),"2019/11/07 13:30:00")</f>
        <v>2019/11/07 13:30:00</v>
      </c>
      <c r="G111" s="10" t="str">
        <f>IFERROR(__xludf.DUMMYFUNCTION("""COMPUTED_VALUE"""),"2019/11/07 13:45:00")</f>
        <v>2019/11/07 13:45:00</v>
      </c>
      <c r="H111" s="10" t="str">
        <f>IFERROR(__xludf.DUMMYFUNCTION("""COMPUTED_VALUE"""),"e3898815-c179-4865-b49c-c5960add5cb3")</f>
        <v>e3898815-c179-4865-b49c-c5960add5cb3</v>
      </c>
      <c r="I111" s="10" t="str">
        <f>IFERROR(__xludf.DUMMYFUNCTION("""COMPUTED_VALUE"""),"e3898815-c179-4865-b49c-c5960add5cb3")</f>
        <v>e3898815-c179-4865-b49c-c5960add5cb3</v>
      </c>
    </row>
    <row r="112">
      <c r="A112" s="10" t="str">
        <f>IFERROR(__xludf.DUMMYFUNCTION("""COMPUTED_VALUE"""),"PITCH group round 13")</f>
        <v>PITCH group round 13</v>
      </c>
      <c r="B112" s="10" t="str">
        <f>IFERROR(__xludf.DUMMYFUNCTION("""COMPUTED_VALUE"""),"")</f>
        <v/>
      </c>
      <c r="C112" s="10" t="str">
        <f>IFERROR(__xludf.DUMMYFUNCTION("""COMPUTED_VALUE"""),"PITCH 1")</f>
        <v>PITCH 1</v>
      </c>
      <c r="D112" s="10" t="str">
        <f>IFERROR(__xludf.DUMMYFUNCTION("""COMPUTED_VALUE"""),"Jules Walker, Yamilette Cano, Anthemos Georgiades, Jim Hunter, Melissa Lester, young kwon, Hugo Feiler, Nicolas Hotterbeekx, Piotr Bardadyn, Mateusz Romanów, Rodrigo Moretti, André Flórido and Veena Giridhar Gopal")</f>
        <v>Jules Walker, Yamilette Cano, Anthemos Georgiades, Jim Hunter, Melissa Lester, young kwon, Hugo Feiler, Nicolas Hotterbeekx, Piotr Bardadyn, Mateusz Romanów, Rodrigo Moretti, André Flórido and Veena Giridhar Gopal</v>
      </c>
      <c r="E112" s="10" t="str">
        <f>IFERROR(__xludf.DUMMYFUNCTION("""COMPUTED_VALUE"""),"Jules Walker,Yamilette Cano,Anthemos Georgiades,Jim Hunter,Melissa Lester,young kwon,Hugo Feiler,Nicolas Hotterbeekx,Piotr Bardadyn,Mateusz Romanów,Rodrigo Moretti,André Flórido,Veena Giridhar Gopal")</f>
        <v>Jules Walker,Yamilette Cano,Anthemos Georgiades,Jim Hunter,Melissa Lester,young kwon,Hugo Feiler,Nicolas Hotterbeekx,Piotr Bardadyn,Mateusz Romanów,Rodrigo Moretti,André Flórido,Veena Giridhar Gopal</v>
      </c>
      <c r="F112" s="10" t="str">
        <f>IFERROR(__xludf.DUMMYFUNCTION("""COMPUTED_VALUE"""),"2019/11/05 14:00:00")</f>
        <v>2019/11/05 14:00:00</v>
      </c>
      <c r="G112" s="10" t="str">
        <f>IFERROR(__xludf.DUMMYFUNCTION("""COMPUTED_VALUE"""),"2019/11/05 15:00:00")</f>
        <v>2019/11/05 15:00:00</v>
      </c>
      <c r="H112" s="10" t="str">
        <f>IFERROR(__xludf.DUMMYFUNCTION("""COMPUTED_VALUE"""),"075ff58d-7582-46f6-80a0-4ba8c6b791c6")</f>
        <v>075ff58d-7582-46f6-80a0-4ba8c6b791c6</v>
      </c>
      <c r="I112" s="10" t="str">
        <f>IFERROR(__xludf.DUMMYFUNCTION("""COMPUTED_VALUE"""),"075ff58d-7582-46f6-80a0-4ba8c6b791c6")</f>
        <v>075ff58d-7582-46f6-80a0-4ba8c6b791c6</v>
      </c>
    </row>
    <row r="113">
      <c r="A113" s="10" t="str">
        <f>IFERROR(__xludf.DUMMYFUNCTION("""COMPUTED_VALUE"""),"How to build on AWS without knowing much about AWS")</f>
        <v>How to build on AWS without knowing much about AWS</v>
      </c>
      <c r="B113" s="10"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113" s="10" t="str">
        <f>IFERROR(__xludf.DUMMYFUNCTION("""COMPUTED_VALUE"""),"AWS Developer Workshops")</f>
        <v>AWS Developer Workshops</v>
      </c>
      <c r="D113" s="10" t="str">
        <f>IFERROR(__xludf.DUMMYFUNCTION("""COMPUTED_VALUE"""),"")</f>
        <v/>
      </c>
      <c r="E113" s="10" t="str">
        <f>IFERROR(__xludf.DUMMYFUNCTION("""COMPUTED_VALUE"""),"")</f>
        <v/>
      </c>
      <c r="F113" s="10" t="str">
        <f>IFERROR(__xludf.DUMMYFUNCTION("""COMPUTED_VALUE"""),"2019/11/06 10:00:00")</f>
        <v>2019/11/06 10:00:00</v>
      </c>
      <c r="G113" s="10" t="str">
        <f>IFERROR(__xludf.DUMMYFUNCTION("""COMPUTED_VALUE"""),"2019/11/06 10:50:00")</f>
        <v>2019/11/06 10:50:00</v>
      </c>
      <c r="H113" s="10" t="str">
        <f>IFERROR(__xludf.DUMMYFUNCTION("""COMPUTED_VALUE"""),"21be6916-a0eb-405a-b0ae-1bdf9e13ed50")</f>
        <v>21be6916-a0eb-405a-b0ae-1bdf9e13ed50</v>
      </c>
      <c r="I113" s="10" t="str">
        <f>IFERROR(__xludf.DUMMYFUNCTION("""COMPUTED_VALUE"""),"21be6916-a0eb-405a-b0ae-1bdf9e13ed50")</f>
        <v>21be6916-a0eb-405a-b0ae-1bdf9e13ed50</v>
      </c>
    </row>
    <row r="114">
      <c r="A114" s="10" t="str">
        <f>IFERROR(__xludf.DUMMYFUNCTION("""COMPUTED_VALUE"""),"The anatomy of the perfect pitch deck")</f>
        <v>The anatomy of the perfect pitch deck</v>
      </c>
      <c r="B114" s="10" t="str">
        <f>IFERROR(__xludf.DUMMYFUNCTION("""COMPUTED_VALUE"""),"CEO and co-founder of DocSend, Russ explores what data tells us about successful pitch decks. What works, what doesn't, and how to build the pitch deck that will get you in front of VCs.")</f>
        <v>CEO and co-founder of DocSend, Russ explores what data tells us about successful pitch decks. What works, what doesn't, and how to build the pitch deck that will get you in front of VCs.</v>
      </c>
      <c r="C114" s="10" t="str">
        <f>IFERROR(__xludf.DUMMYFUNCTION("""COMPUTED_VALUE"""),"Growth Summit")</f>
        <v>Growth Summit</v>
      </c>
      <c r="D114" s="10" t="str">
        <f>IFERROR(__xludf.DUMMYFUNCTION("""COMPUTED_VALUE"""),"Russ Heddleston")</f>
        <v>Russ Heddleston</v>
      </c>
      <c r="E114" s="10" t="str">
        <f>IFERROR(__xludf.DUMMYFUNCTION("""COMPUTED_VALUE"""),"Russ Heddleston")</f>
        <v>Russ Heddleston</v>
      </c>
      <c r="F114" s="10" t="str">
        <f>IFERROR(__xludf.DUMMYFUNCTION("""COMPUTED_VALUE"""),"2019/11/05 10:14:00")</f>
        <v>2019/11/05 10:14:00</v>
      </c>
      <c r="G114" s="10" t="str">
        <f>IFERROR(__xludf.DUMMYFUNCTION("""COMPUTED_VALUE"""),"2019/11/05 10:18:00")</f>
        <v>2019/11/05 10:18:00</v>
      </c>
      <c r="H114" s="10" t="str">
        <f>IFERROR(__xludf.DUMMYFUNCTION("""COMPUTED_VALUE"""),"8b9d894d-b600-4de0-b33e-d15604afbe7d")</f>
        <v>8b9d894d-b600-4de0-b33e-d15604afbe7d</v>
      </c>
      <c r="I114" s="10" t="str">
        <f>IFERROR(__xludf.DUMMYFUNCTION("""COMPUTED_VALUE"""),"8b9d894d-b600-4de0-b33e-d15604afbe7d")</f>
        <v>8b9d894d-b600-4de0-b33e-d15604afbe7d</v>
      </c>
    </row>
    <row r="115">
      <c r="A115" s="10" t="str">
        <f>IFERROR(__xludf.DUMMYFUNCTION("""COMPUTED_VALUE"""),"How does your brand sound?  Fine tuning for voice assistants")</f>
        <v>How does your brand sound?  Fine tuning for voice assistants</v>
      </c>
      <c r="B115" s="10" t="str">
        <f>IFERROR(__xludf.DUMMYFUNCTION("""COMPUTED_VALUE"""),"Successful conversation branding is about shaping a brand’s perceived personality, giving it a voice, adding tonality and infusing it with character. CEO of MetaDesign, Daniel will explore the winning formula to use when shaping your brand's voice, while "&amp;"making it an authentic part of your narrative.")</f>
        <v>Successful conversation branding is about shaping a brand’s perceived personality, giving it a voice, adding tonality and infusing it with character. CEO of MetaDesign, Daniel will explore the winning formula to use when shaping your brand's voice, while making it an authentic part of your narrative.</v>
      </c>
      <c r="C115" s="10" t="str">
        <f>IFERROR(__xludf.DUMMYFUNCTION("""COMPUTED_VALUE"""),"creatiff")</f>
        <v>creatiff</v>
      </c>
      <c r="D115" s="10" t="str">
        <f>IFERROR(__xludf.DUMMYFUNCTION("""COMPUTED_VALUE"""),"Daniel Leyser")</f>
        <v>Daniel Leyser</v>
      </c>
      <c r="E115" s="10" t="str">
        <f>IFERROR(__xludf.DUMMYFUNCTION("""COMPUTED_VALUE"""),"Daniel Leyser")</f>
        <v>Daniel Leyser</v>
      </c>
      <c r="F115" s="10" t="str">
        <f>IFERROR(__xludf.DUMMYFUNCTION("""COMPUTED_VALUE"""),"2019/11/05 12:45:00")</f>
        <v>2019/11/05 12:45:00</v>
      </c>
      <c r="G115" s="10" t="str">
        <f>IFERROR(__xludf.DUMMYFUNCTION("""COMPUTED_VALUE"""),"2019/11/05 13:05:00")</f>
        <v>2019/11/05 13:05:00</v>
      </c>
      <c r="H115" s="10" t="str">
        <f>IFERROR(__xludf.DUMMYFUNCTION("""COMPUTED_VALUE"""),"03ba1bae-c970-4c0a-9b29-aa6dca5b6410")</f>
        <v>03ba1bae-c970-4c0a-9b29-aa6dca5b6410</v>
      </c>
      <c r="I115" s="10" t="str">
        <f>IFERROR(__xludf.DUMMYFUNCTION("""COMPUTED_VALUE"""),"03ba1bae-c970-4c0a-9b29-aa6dca5b6410")</f>
        <v>03ba1bae-c970-4c0a-9b29-aa6dca5b6410</v>
      </c>
    </row>
    <row r="116">
      <c r="A116" s="10" t="str">
        <f>IFERROR(__xludf.DUMMYFUNCTION("""COMPUTED_VALUE"""),"24/7 healthcare is here")</f>
        <v>24/7 healthcare is here</v>
      </c>
      <c r="B116" s="10" t="str">
        <f>IFERROR(__xludf.DUMMYFUNCTION("""COMPUTED_VALUE"""),"Doctors on demand. It's long been the dream, is it now the reality? Have AI and increased tech access called time on traditional office hours? And what are the pros and cons for the patient-provider relationship? Babylon's Chief  Technology Officer shares"&amp;" his insight with HealthConf 2019.")</f>
        <v>Doctors on demand. It's long been the dream, is it now the reality? Have AI and increased tech access called time on traditional office hours? And what are the pros and cons for the patient-provider relationship? Babylon's Chief  Technology Officer shares his insight with HealthConf 2019.</v>
      </c>
      <c r="C116" s="10" t="str">
        <f>IFERROR(__xludf.DUMMYFUNCTION("""COMPUTED_VALUE"""),"HealthConf")</f>
        <v>HealthConf</v>
      </c>
      <c r="D116" s="10" t="str">
        <f>IFERROR(__xludf.DUMMYFUNCTION("""COMPUTED_VALUE"""),"Gary Mudie and Joao Tome")</f>
        <v>Gary Mudie and Joao Tome</v>
      </c>
      <c r="E116" s="10" t="str">
        <f>IFERROR(__xludf.DUMMYFUNCTION("""COMPUTED_VALUE"""),"Gary Mudie,Joao Tome")</f>
        <v>Gary Mudie,Joao Tome</v>
      </c>
      <c r="F116" s="10" t="str">
        <f>IFERROR(__xludf.DUMMYFUNCTION("""COMPUTED_VALUE"""),"2019/11/07 14:45:00")</f>
        <v>2019/11/07 14:45:00</v>
      </c>
      <c r="G116" s="10" t="str">
        <f>IFERROR(__xludf.DUMMYFUNCTION("""COMPUTED_VALUE"""),"2019/11/07 15:05:00")</f>
        <v>2019/11/07 15:05:00</v>
      </c>
      <c r="H116" s="10" t="str">
        <f>IFERROR(__xludf.DUMMYFUNCTION("""COMPUTED_VALUE"""),"42f6d75d-4df5-4091-bf57-d55466938fb7")</f>
        <v>42f6d75d-4df5-4091-bf57-d55466938fb7</v>
      </c>
      <c r="I116" s="10" t="str">
        <f>IFERROR(__xludf.DUMMYFUNCTION("""COMPUTED_VALUE"""),"42f6d75d-4df5-4091-bf57-d55466938fb7")</f>
        <v>42f6d75d-4df5-4091-bf57-d55466938fb7</v>
      </c>
    </row>
    <row r="117">
      <c r="A117" s="10" t="str">
        <f>IFERROR(__xludf.DUMMYFUNCTION("""COMPUTED_VALUE"""),"Machine Demo Round 3")</f>
        <v>Machine Demo Round 3</v>
      </c>
      <c r="B117" s="10" t="str">
        <f>IFERROR(__xludf.DUMMYFUNCTION("""COMPUTED_VALUE"""),"")</f>
        <v/>
      </c>
      <c r="C117" s="10" t="str">
        <f>IFERROR(__xludf.DUMMYFUNCTION("""COMPUTED_VALUE"""),"")</f>
        <v/>
      </c>
      <c r="D117" s="10" t="str">
        <f>IFERROR(__xludf.DUMMYFUNCTION("""COMPUTED_VALUE"""),"Ilya Velder,  eunkyeong kwon,  Lucas Malanda,  Dennis Poon,  Clemens Kirner and  Michael Schöggl")</f>
        <v>Ilya Velder,  eunkyeong kwon,  Lucas Malanda,  Dennis Poon,  Clemens Kirner and  Michael Schöggl</v>
      </c>
      <c r="E117" s="10" t="str">
        <f>IFERROR(__xludf.DUMMYFUNCTION("""COMPUTED_VALUE"""),"Ilya Velder, eunkyeong kwon, Lucas Malanda, Dennis Poon, Clemens Kirner, Michael Schöggl")</f>
        <v>Ilya Velder, eunkyeong kwon, Lucas Malanda, Dennis Poon, Clemens Kirner, Michael Schöggl</v>
      </c>
      <c r="F117" s="10" t="str">
        <f>IFERROR(__xludf.DUMMYFUNCTION("""COMPUTED_VALUE"""),"")</f>
        <v/>
      </c>
      <c r="G117" s="10" t="str">
        <f>IFERROR(__xludf.DUMMYFUNCTION("""COMPUTED_VALUE"""),"")</f>
        <v/>
      </c>
      <c r="H117" s="10" t="str">
        <f>IFERROR(__xludf.DUMMYFUNCTION("""COMPUTED_VALUE"""),"e493a642-7866-57bc-abf3-4fb9582c71cc")</f>
        <v>e493a642-7866-57bc-abf3-4fb9582c71cc</v>
      </c>
      <c r="I117" s="10" t="str">
        <f>IFERROR(__xludf.DUMMYFUNCTION("""COMPUTED_VALUE"""),"e493a642-7866-57bc-abf3-4fb9582c71cc")</f>
        <v>e493a642-7866-57bc-abf3-4fb9582c71cc</v>
      </c>
    </row>
    <row r="118">
      <c r="A118" s="10" t="str">
        <f>IFERROR(__xludf.DUMMYFUNCTION("""COMPUTED_VALUE"""),"Machine Demo Round 2")</f>
        <v>Machine Demo Round 2</v>
      </c>
      <c r="B118" s="10" t="str">
        <f>IFERROR(__xludf.DUMMYFUNCTION("""COMPUTED_VALUE"""),"")</f>
        <v/>
      </c>
      <c r="C118" s="10" t="str">
        <f>IFERROR(__xludf.DUMMYFUNCTION("""COMPUTED_VALUE"""),"")</f>
        <v/>
      </c>
      <c r="D118" s="10" t="str">
        <f>IFERROR(__xludf.DUMMYFUNCTION("""COMPUTED_VALUE"""),"Jonathan Greene,  Alexandre Santos,  Andreas Botsch,  Svitlana Malovana,  Julien Yee and  Achim Schneider
")</f>
        <v>Jonathan Greene,  Alexandre Santos,  Andreas Botsch,  Svitlana Malovana,  Julien Yee and  Achim Schneider
</v>
      </c>
      <c r="E118" s="10" t="str">
        <f>IFERROR(__xludf.DUMMYFUNCTION("""COMPUTED_VALUE"""),"Jonathan Greene, Alexandre Santos, Andreas Botsch, Svitlana Malovana, Julien Yee, Achim Schneider
")</f>
        <v>Jonathan Greene, Alexandre Santos, Andreas Botsch, Svitlana Malovana, Julien Yee, Achim Schneider
</v>
      </c>
      <c r="F118" s="10" t="str">
        <f>IFERROR(__xludf.DUMMYFUNCTION("""COMPUTED_VALUE"""),"")</f>
        <v/>
      </c>
      <c r="G118" s="10" t="str">
        <f>IFERROR(__xludf.DUMMYFUNCTION("""COMPUTED_VALUE"""),"")</f>
        <v/>
      </c>
      <c r="H118" s="10" t="str">
        <f>IFERROR(__xludf.DUMMYFUNCTION("""COMPUTED_VALUE"""),"74f44523-db8b-5459-b13a-6207b9adf43c")</f>
        <v>74f44523-db8b-5459-b13a-6207b9adf43c</v>
      </c>
      <c r="I118" s="10" t="str">
        <f>IFERROR(__xludf.DUMMYFUNCTION("""COMPUTED_VALUE"""),"74f44523-db8b-5459-b13a-6207b9adf43c")</f>
        <v>74f44523-db8b-5459-b13a-6207b9adf43c</v>
      </c>
    </row>
    <row r="119">
      <c r="A119" s="10" t="str">
        <f>IFERROR(__xludf.DUMMYFUNCTION("""COMPUTED_VALUE"""),"Opening remarks")</f>
        <v>Opening remarks</v>
      </c>
      <c r="B119" s="10" t="str">
        <f>IFERROR(__xludf.DUMMYFUNCTION("""COMPUTED_VALUE"""),"")</f>
        <v/>
      </c>
      <c r="C119" s="10" t="str">
        <f>IFERROR(__xludf.DUMMYFUNCTION("""COMPUTED_VALUE"""),"Future Societies")</f>
        <v>Future Societies</v>
      </c>
      <c r="D119" s="10" t="str">
        <f>IFERROR(__xludf.DUMMYFUNCTION("""COMPUTED_VALUE"""),"Khalid Machchate")</f>
        <v>Khalid Machchate</v>
      </c>
      <c r="E119" s="10" t="str">
        <f>IFERROR(__xludf.DUMMYFUNCTION("""COMPUTED_VALUE"""),"Khalid Machchate")</f>
        <v>Khalid Machchate</v>
      </c>
      <c r="F119" s="10" t="str">
        <f>IFERROR(__xludf.DUMMYFUNCTION("""COMPUTED_VALUE"""),"2019/11/05 12:53:00")</f>
        <v>2019/11/05 12:53:00</v>
      </c>
      <c r="G119" s="10" t="str">
        <f>IFERROR(__xludf.DUMMYFUNCTION("""COMPUTED_VALUE"""),"2019/11/05 13:03:00")</f>
        <v>2019/11/05 13:03:00</v>
      </c>
      <c r="H119" s="10" t="str">
        <f>IFERROR(__xludf.DUMMYFUNCTION("""COMPUTED_VALUE"""),"ea893807-3848-4738-aa69-d1cc9b73e190")</f>
        <v>ea893807-3848-4738-aa69-d1cc9b73e190</v>
      </c>
      <c r="I119" s="10" t="str">
        <f>IFERROR(__xludf.DUMMYFUNCTION("""COMPUTED_VALUE"""),"ea893807-3848-4738-aa69-d1cc9b73e190")</f>
        <v>ea893807-3848-4738-aa69-d1cc9b73e190</v>
      </c>
    </row>
    <row r="120">
      <c r="A120" s="10" t="str">
        <f>IFERROR(__xludf.DUMMYFUNCTION("""COMPUTED_VALUE"""),"Balancing culture and commerce")</f>
        <v>Balancing culture and commerce</v>
      </c>
      <c r="B120" s="10" t="str">
        <f>IFERROR(__xludf.DUMMYFUNCTION("""COMPUTED_VALUE"""),"Legendary DJ and producer Gilles Peterson, sits across from Damian Bradfield, WeTransfer's CCO, for this insightful exchange between two entrepreneurs that work across tech, music and media. In this talk we’ll learn how to balance culture and commerce, an"&amp;"d how to build successful long term relationships.")</f>
        <v>Legendary DJ and producer Gilles Peterson, sits across from Damian Bradfield, WeTransfer's CCO, for this insightful exchange between two entrepreneurs that work across tech, music and media. In this talk we’ll learn how to balance culture and commerce, and how to build successful long term relationships.</v>
      </c>
      <c r="C120" s="10" t="str">
        <f>IFERROR(__xludf.DUMMYFUNCTION("""COMPUTED_VALUE"""),"MusicNotes")</f>
        <v>MusicNotes</v>
      </c>
      <c r="D120" s="10" t="str">
        <f>IFERROR(__xludf.DUMMYFUNCTION("""COMPUTED_VALUE"""),"Gilles Peterson and Damian Bradfield")</f>
        <v>Gilles Peterson and Damian Bradfield</v>
      </c>
      <c r="E120" s="10" t="str">
        <f>IFERROR(__xludf.DUMMYFUNCTION("""COMPUTED_VALUE"""),"Gilles Peterson,Damian Bradfield")</f>
        <v>Gilles Peterson,Damian Bradfield</v>
      </c>
      <c r="F120" s="10" t="str">
        <f>IFERROR(__xludf.DUMMYFUNCTION("""COMPUTED_VALUE"""),"2019/11/07 14:20:00")</f>
        <v>2019/11/07 14:20:00</v>
      </c>
      <c r="G120" s="10" t="str">
        <f>IFERROR(__xludf.DUMMYFUNCTION("""COMPUTED_VALUE"""),"2019/11/07 14:40:00")</f>
        <v>2019/11/07 14:40:00</v>
      </c>
      <c r="H120" s="10" t="str">
        <f>IFERROR(__xludf.DUMMYFUNCTION("""COMPUTED_VALUE"""),"c2d44328-13a2-4612-ab0f-dd73a6c8efef")</f>
        <v>c2d44328-13a2-4612-ab0f-dd73a6c8efef</v>
      </c>
      <c r="I120" s="10" t="str">
        <f>IFERROR(__xludf.DUMMYFUNCTION("""COMPUTED_VALUE"""),"c2d44328-13a2-4612-ab0f-dd73a6c8efef")</f>
        <v>c2d44328-13a2-4612-ab0f-dd73a6c8efef</v>
      </c>
    </row>
    <row r="121">
      <c r="A121" s="10" t="str">
        <f>IFERROR(__xludf.DUMMYFUNCTION("""COMPUTED_VALUE"""),"How to compete against the big guns")</f>
        <v>How to compete against the big guns</v>
      </c>
      <c r="B121" s="10" t="str">
        <f>IFERROR(__xludf.DUMMYFUNCTION("""COMPUTED_VALUE"""),"Octave Klaba, will discuss how to succeed in an increasingly competitive marketplace while creating a culture where employees can thrive. He will share his company's winning formula and his views on the changing landscape of the cloud industry.")</f>
        <v>Octave Klaba, will discuss how to succeed in an increasingly competitive marketplace while creating a culture where employees can thrive. He will share his company's winning formula and his views on the changing landscape of the cloud industry.</v>
      </c>
      <c r="C121" s="10" t="str">
        <f>IFERROR(__xludf.DUMMYFUNCTION("""COMPUTED_VALUE"""),"SaaS Monster")</f>
        <v>SaaS Monster</v>
      </c>
      <c r="D121" s="10" t="str">
        <f>IFERROR(__xludf.DUMMYFUNCTION("""COMPUTED_VALUE"""),"Octave Klaba and John Rampton")</f>
        <v>Octave Klaba and John Rampton</v>
      </c>
      <c r="E121" s="10" t="str">
        <f>IFERROR(__xludf.DUMMYFUNCTION("""COMPUTED_VALUE"""),"Octave Klaba,John Rampton")</f>
        <v>Octave Klaba,John Rampton</v>
      </c>
      <c r="F121" s="10" t="str">
        <f>IFERROR(__xludf.DUMMYFUNCTION("""COMPUTED_VALUE"""),"2019/11/06 14:00:00")</f>
        <v>2019/11/06 14:00:00</v>
      </c>
      <c r="G121" s="10" t="str">
        <f>IFERROR(__xludf.DUMMYFUNCTION("""COMPUTED_VALUE"""),"2019/11/06 14:20:00")</f>
        <v>2019/11/06 14:20:00</v>
      </c>
      <c r="H121" s="10" t="str">
        <f>IFERROR(__xludf.DUMMYFUNCTION("""COMPUTED_VALUE"""),"d6335c5b-311b-4700-b362-bd8c4fc66bc5")</f>
        <v>d6335c5b-311b-4700-b362-bd8c4fc66bc5</v>
      </c>
      <c r="I121" s="10" t="str">
        <f>IFERROR(__xludf.DUMMYFUNCTION("""COMPUTED_VALUE"""),"d6335c5b-311b-4700-b362-bd8c4fc66bc5")</f>
        <v>d6335c5b-311b-4700-b362-bd8c4fc66bc5</v>
      </c>
    </row>
    <row r="122">
      <c r="A122" s="10" t="str">
        <f>IFERROR(__xludf.DUMMYFUNCTION("""COMPUTED_VALUE"""),"Funding beyond equity: Growing bigger with venture debt, hosted by European Investment Bank Group")</f>
        <v>Funding beyond equity: Growing bigger with venture debt, hosted by European Investment Bank Group</v>
      </c>
      <c r="B122" s="10" t="str">
        <f>IFERROR(__xludf.DUMMYFUNCTION("""COMPUTED_VALUE"""),"Venture debt provides your business with a source of funding next to equity. It enables additional funding with less dilution of existing shareholders and fewer governance requirements (no board seats and/or voting rights). In this session, you can learn "&amp;"how venture debt works and how your business can benefit. The workshop is organised by the European Investment Bank Group, Kreos Capital, Sillicon Valley Bank, Harbert and Bootstrap Europe, Europe's major venture debt providers.")</f>
        <v>Venture debt provides your business with a source of funding next to equity. It enables additional funding with less dilution of existing shareholders and fewer governance requirements (no board seats and/or voting rights). In this session, you can learn how venture debt works and how your business can benefit. The workshop is organised by the European Investment Bank Group, Kreos Capital, Sillicon Valley Bank, Harbert and Bootstrap Europe, Europe's major venture debt providers.</v>
      </c>
      <c r="C122" s="10" t="str">
        <f>IFERROR(__xludf.DUMMYFUNCTION("""COMPUTED_VALUE"""),"Workshop 4")</f>
        <v>Workshop 4</v>
      </c>
      <c r="D122" s="10" t="str">
        <f>IFERROR(__xludf.DUMMYFUNCTION("""COMPUTED_VALUE"""),"Hristo Stoykov and David Bateman")</f>
        <v>Hristo Stoykov and David Bateman</v>
      </c>
      <c r="E122" s="10" t="str">
        <f>IFERROR(__xludf.DUMMYFUNCTION("""COMPUTED_VALUE"""),"Hristo Stoykov,David Bateman")</f>
        <v>Hristo Stoykov,David Bateman</v>
      </c>
      <c r="F122" s="10" t="str">
        <f>IFERROR(__xludf.DUMMYFUNCTION("""COMPUTED_VALUE"""),"2019/11/06 10:00:00")</f>
        <v>2019/11/06 10:00:00</v>
      </c>
      <c r="G122" s="10" t="str">
        <f>IFERROR(__xludf.DUMMYFUNCTION("""COMPUTED_VALUE"""),"2019/11/06 11:30:00")</f>
        <v>2019/11/06 11:30:00</v>
      </c>
      <c r="H122" s="10" t="str">
        <f>IFERROR(__xludf.DUMMYFUNCTION("""COMPUTED_VALUE"""),"c8203a4a-cd7d-450a-ae36-882993e56166")</f>
        <v>c8203a4a-cd7d-450a-ae36-882993e56166</v>
      </c>
      <c r="I122" s="10" t="str">
        <f>IFERROR(__xludf.DUMMYFUNCTION("""COMPUTED_VALUE"""),"c8203a4a-cd7d-450a-ae36-882993e56166")</f>
        <v>c8203a4a-cd7d-450a-ae36-882993e56166</v>
      </c>
    </row>
    <row r="123">
      <c r="A123" s="10" t="str">
        <f>IFERROR(__xludf.DUMMYFUNCTION("""COMPUTED_VALUE"""),"Protecting the vulnerable: How tech can help refugees")</f>
        <v>Protecting the vulnerable: How tech can help refugees</v>
      </c>
      <c r="B123" s="10" t="str">
        <f>IFERROR(__xludf.DUMMYFUNCTION("""COMPUTED_VALUE"""),"The refugee crisis that struck Europe in 2015 has receded from view in the media. Yet the plight of the over 70 million displaced people and over 30 million refugees globally has not receded. In this session we will hear from experts in the field about wh"&amp;"at we can do to help, and issue a call to arms - why has tech not done more?")</f>
        <v>The refugee crisis that struck Europe in 2015 has receded from view in the media. Yet the plight of the over 70 million displaced people and over 30 million refugees globally has not receded. In this session we will hear from experts in the field about what we can do to help, and issue a call to arms - why has tech not done more?</v>
      </c>
      <c r="C123" s="10" t="str">
        <f>IFERROR(__xludf.DUMMYFUNCTION("""COMPUTED_VALUE"""),"Future Societies")</f>
        <v>Future Societies</v>
      </c>
      <c r="D123" s="10" t="str">
        <f>IFERROR(__xludf.DUMMYFUNCTION("""COMPUTED_VALUE"""),"Mike Walton, George Papandreou and Steve Clemons")</f>
        <v>Mike Walton, George Papandreou and Steve Clemons</v>
      </c>
      <c r="E123" s="10" t="str">
        <f>IFERROR(__xludf.DUMMYFUNCTION("""COMPUTED_VALUE"""),"Mike Walton,George Papandreou,Steve Clemons")</f>
        <v>Mike Walton,George Papandreou,Steve Clemons</v>
      </c>
      <c r="F123" s="10" t="str">
        <f>IFERROR(__xludf.DUMMYFUNCTION("""COMPUTED_VALUE"""),"2019/11/05 11:50:00")</f>
        <v>2019/11/05 11:50:00</v>
      </c>
      <c r="G123" s="10" t="str">
        <f>IFERROR(__xludf.DUMMYFUNCTION("""COMPUTED_VALUE"""),"2019/11/05 12:10:00")</f>
        <v>2019/11/05 12:10:00</v>
      </c>
      <c r="H123" s="10" t="str">
        <f>IFERROR(__xludf.DUMMYFUNCTION("""COMPUTED_VALUE"""),"53af7779-7471-4023-8ef0-15334065bf62")</f>
        <v>53af7779-7471-4023-8ef0-15334065bf62</v>
      </c>
      <c r="I123" s="10" t="str">
        <f>IFERROR(__xludf.DUMMYFUNCTION("""COMPUTED_VALUE"""),"53af7779-7471-4023-8ef0-15334065bf62")</f>
        <v>53af7779-7471-4023-8ef0-15334065bf62</v>
      </c>
    </row>
    <row r="124">
      <c r="A124" s="10" t="str">
        <f>IFERROR(__xludf.DUMMYFUNCTION("""COMPUTED_VALUE"""),"Every brand needs a music POV")</f>
        <v>Every brand needs a music POV</v>
      </c>
      <c r="B124" s="10" t="str">
        <f>IFERROR(__xludf.DUMMYFUNCTION("""COMPUTED_VALUE"""),"In a world where everyone has a taste in music, every brand should have a music point of view. But which one? How do you position your brand in a wide cultural landscape? With insights, data and creative ideas, that’s how. In this talk learn how brands de"&amp;"fine their own personal music space and more.")</f>
        <v>In a world where everyone has a taste in music, every brand should have a music point of view. But which one? How do you position your brand in a wide cultural landscape? With insights, data and creative ideas, that’s how. In this talk learn how brands define their own personal music space and more.</v>
      </c>
      <c r="C124" s="10" t="str">
        <f>IFERROR(__xludf.DUMMYFUNCTION("""COMPUTED_VALUE"""),"MusicNotes")</f>
        <v>MusicNotes</v>
      </c>
      <c r="D124" s="10" t="str">
        <f>IFERROR(__xludf.DUMMYFUNCTION("""COMPUTED_VALUE"""),"Olivier Robert-Murphy")</f>
        <v>Olivier Robert-Murphy</v>
      </c>
      <c r="E124" s="10" t="str">
        <f>IFERROR(__xludf.DUMMYFUNCTION("""COMPUTED_VALUE"""),"Olivier Robert-Murphy")</f>
        <v>Olivier Robert-Murphy</v>
      </c>
      <c r="F124" s="10" t="str">
        <f>IFERROR(__xludf.DUMMYFUNCTION("""COMPUTED_VALUE"""),"2019/11/07 11:20:00")</f>
        <v>2019/11/07 11:20:00</v>
      </c>
      <c r="G124" s="10" t="str">
        <f>IFERROR(__xludf.DUMMYFUNCTION("""COMPUTED_VALUE"""),"2019/11/07 11:35:00")</f>
        <v>2019/11/07 11:35:00</v>
      </c>
      <c r="H124" s="10" t="str">
        <f>IFERROR(__xludf.DUMMYFUNCTION("""COMPUTED_VALUE"""),"2f0f101b-0592-46bd-8b45-6530301ac771")</f>
        <v>2f0f101b-0592-46bd-8b45-6530301ac771</v>
      </c>
      <c r="I124" s="10" t="str">
        <f>IFERROR(__xludf.DUMMYFUNCTION("""COMPUTED_VALUE"""),"2f0f101b-0592-46bd-8b45-6530301ac771")</f>
        <v>2f0f101b-0592-46bd-8b45-6530301ac771</v>
      </c>
    </row>
    <row r="125">
      <c r="A125" s="10" t="str">
        <f>IFERROR(__xludf.DUMMYFUNCTION("""COMPUTED_VALUE"""),"Can tech put women's health on the right track?")</f>
        <v>Can tech put women's health on the right track?</v>
      </c>
      <c r="B125" s="10" t="str">
        <f>IFERROR(__xludf.DUMMYFUNCTION("""COMPUTED_VALUE"""),"Technology is changing the way we work, rest and play. More health products and pursuits are available today than ever before. How can you find the best one for you?")</f>
        <v>Technology is changing the way we work, rest and play. More health products and pursuits are available today than ever before. How can you find the best one for you?</v>
      </c>
      <c r="C125" s="10" t="str">
        <f>IFERROR(__xludf.DUMMYFUNCTION("""COMPUTED_VALUE"""),"PandaConf")</f>
        <v>PandaConf</v>
      </c>
      <c r="D125" s="10" t="str">
        <f>IFERROR(__xludf.DUMMYFUNCTION("""COMPUTED_VALUE"""),"Jessica Ennis-Hill, Hilary Coles and Cheng Lei")</f>
        <v>Jessica Ennis-Hill, Hilary Coles and Cheng Lei</v>
      </c>
      <c r="E125" s="10" t="str">
        <f>IFERROR(__xludf.DUMMYFUNCTION("""COMPUTED_VALUE"""),"Jessica Ennis-Hill,Hilary Coles,Cheng Lei")</f>
        <v>Jessica Ennis-Hill,Hilary Coles,Cheng Lei</v>
      </c>
      <c r="F125" s="10" t="str">
        <f>IFERROR(__xludf.DUMMYFUNCTION("""COMPUTED_VALUE"""),"2019/11/05 15:45:00")</f>
        <v>2019/11/05 15:45:00</v>
      </c>
      <c r="G125" s="10" t="str">
        <f>IFERROR(__xludf.DUMMYFUNCTION("""COMPUTED_VALUE"""),"2019/11/05 16:10:00")</f>
        <v>2019/11/05 16:10:00</v>
      </c>
      <c r="H125" s="10" t="str">
        <f>IFERROR(__xludf.DUMMYFUNCTION("""COMPUTED_VALUE"""),"c0c630a0-a48c-448d-b10e-0b4a6e26f1ca")</f>
        <v>c0c630a0-a48c-448d-b10e-0b4a6e26f1ca</v>
      </c>
      <c r="I125" s="10" t="str">
        <f>IFERROR(__xludf.DUMMYFUNCTION("""COMPUTED_VALUE"""),"c0c630a0-a48c-448d-b10e-0b4a6e26f1ca")</f>
        <v>c0c630a0-a48c-448d-b10e-0b4a6e26f1ca</v>
      </c>
    </row>
    <row r="126">
      <c r="A126" s="10" t="str">
        <f>IFERROR(__xludf.DUMMYFUNCTION("""COMPUTED_VALUE"""),"The giants of e-commerce, in conversation")</f>
        <v>The giants of e-commerce, in conversation</v>
      </c>
      <c r="B126" s="10" t="str">
        <f>IFERROR(__xludf.DUMMYFUNCTION("""COMPUTED_VALUE"""),"Who is winning in the battle for retail dominance? This panel will bring together the three biggest marketplaces in the world to discuss the fate of ecommerce.")</f>
        <v>Who is winning in the battle for retail dominance? This panel will bring together the three biggest marketplaces in the world to discuss the fate of ecommerce.</v>
      </c>
      <c r="C126" s="10" t="str">
        <f>IFERROR(__xludf.DUMMYFUNCTION("""COMPUTED_VALUE"""),"MoneyConf")</f>
        <v>MoneyConf</v>
      </c>
      <c r="D126" s="10" t="str">
        <f>IFERROR(__xludf.DUMMYFUNCTION("""COMPUTED_VALUE"""),"Werner Vogels, Alyssa Cutright, Tatyana Bakalchuk and Felix Holtermann")</f>
        <v>Werner Vogels, Alyssa Cutright, Tatyana Bakalchuk and Felix Holtermann</v>
      </c>
      <c r="E126" s="10" t="str">
        <f>IFERROR(__xludf.DUMMYFUNCTION("""COMPUTED_VALUE"""),"Werner Vogels,Alyssa Cutright,Tatyana Bakalchuk,Felix Holtermann")</f>
        <v>Werner Vogels,Alyssa Cutright,Tatyana Bakalchuk,Felix Holtermann</v>
      </c>
      <c r="F126" s="10" t="str">
        <f>IFERROR(__xludf.DUMMYFUNCTION("""COMPUTED_VALUE"""),"2019/11/07 14:25:00")</f>
        <v>2019/11/07 14:25:00</v>
      </c>
      <c r="G126" s="10" t="str">
        <f>IFERROR(__xludf.DUMMYFUNCTION("""COMPUTED_VALUE"""),"2019/11/07 14:50:00")</f>
        <v>2019/11/07 14:50:00</v>
      </c>
      <c r="H126" s="10" t="str">
        <f>IFERROR(__xludf.DUMMYFUNCTION("""COMPUTED_VALUE"""),"548adcf7-173e-475b-a0da-a87a23a55552")</f>
        <v>548adcf7-173e-475b-a0da-a87a23a55552</v>
      </c>
      <c r="I126" s="10" t="str">
        <f>IFERROR(__xludf.DUMMYFUNCTION("""COMPUTED_VALUE"""),"548adcf7-173e-475b-a0da-a87a23a55552")</f>
        <v>548adcf7-173e-475b-a0da-a87a23a55552</v>
      </c>
    </row>
    <row r="127">
      <c r="A127" s="10" t="str">
        <f>IFERROR(__xludf.DUMMYFUNCTION("""COMPUTED_VALUE"""),"Financing the future of philanthropy")</f>
        <v>Financing the future of philanthropy</v>
      </c>
      <c r="B127" s="10" t="str">
        <f>IFERROR(__xludf.DUMMYFUNCTION("""COMPUTED_VALUE"""),"Often the biggest challenge for an innovative charity is finding funding. The UBS Optimus foundation has developed an innovative funding structure, called a Development Impact Bond, designed to provide charities with the funding needed to allow them to gr"&amp;"ow. Here we will hear from the CEO of the foundation about these DIBs and from the leader of one of the charities that benefitted. ")</f>
        <v>Often the biggest challenge for an innovative charity is finding funding. The UBS Optimus foundation has developed an innovative funding structure, called a Development Impact Bond, designed to provide charities with the funding needed to allow them to grow. Here we will hear from the CEO of the foundation about these DIBs and from the leader of one of the charities that benefitted. </v>
      </c>
      <c r="C127" s="10" t="str">
        <f>IFERROR(__xludf.DUMMYFUNCTION("""COMPUTED_VALUE"""),"Future Societies")</f>
        <v>Future Societies</v>
      </c>
      <c r="D127" s="10" t="str">
        <f>IFERROR(__xludf.DUMMYFUNCTION("""COMPUTED_VALUE"""),"Phyllis Costanza, Aditya Natraj and Felix Salmon")</f>
        <v>Phyllis Costanza, Aditya Natraj and Felix Salmon</v>
      </c>
      <c r="E127" s="10" t="str">
        <f>IFERROR(__xludf.DUMMYFUNCTION("""COMPUTED_VALUE"""),"Phyllis Costanza,Aditya Natraj,Felix Salmon")</f>
        <v>Phyllis Costanza,Aditya Natraj,Felix Salmon</v>
      </c>
      <c r="F127" s="10" t="str">
        <f>IFERROR(__xludf.DUMMYFUNCTION("""COMPUTED_VALUE"""),"2019/11/07 10:50:00")</f>
        <v>2019/11/07 10:50:00</v>
      </c>
      <c r="G127" s="10" t="str">
        <f>IFERROR(__xludf.DUMMYFUNCTION("""COMPUTED_VALUE"""),"2019/11/07 11:10:00")</f>
        <v>2019/11/07 11:10:00</v>
      </c>
      <c r="H127" s="10" t="str">
        <f>IFERROR(__xludf.DUMMYFUNCTION("""COMPUTED_VALUE"""),"6ed1ee3e-56bc-4fc7-9971-f8b83d597a02")</f>
        <v>6ed1ee3e-56bc-4fc7-9971-f8b83d597a02</v>
      </c>
      <c r="I127" s="10" t="str">
        <f>IFERROR(__xludf.DUMMYFUNCTION("""COMPUTED_VALUE"""),"6ed1ee3e-56bc-4fc7-9971-f8b83d597a02")</f>
        <v>6ed1ee3e-56bc-4fc7-9971-f8b83d597a02</v>
      </c>
    </row>
    <row r="128">
      <c r="A128" s="10" t="str">
        <f>IFERROR(__xludf.DUMMYFUNCTION("""COMPUTED_VALUE"""),"Star Wars: Rise of the space junk")</f>
        <v>Star Wars: Rise of the space junk</v>
      </c>
      <c r="B128" s="10" t="str">
        <f>IFERROR(__xludf.DUMMYFUNCTION("""COMPUTED_VALUE"""),"There are 8,000 tons of debris orbiting the Earth at 17,500mph. We need to talk about space sustainability, before we're marooned here forever.
")</f>
        <v>There are 8,000 tons of debris orbiting the Earth at 17,500mph. We need to talk about space sustainability, before we're marooned here forever.
</v>
      </c>
      <c r="C128" s="10" t="str">
        <f>IFERROR(__xludf.DUMMYFUNCTION("""COMPUTED_VALUE"""),"DeepTech")</f>
        <v>DeepTech</v>
      </c>
      <c r="D128" s="10" t="str">
        <f>IFERROR(__xludf.DUMMYFUNCTION("""COMPUTED_VALUE"""),"Holger Krag, Nobu Okada, Peter Martinez and Jeremy Wilks")</f>
        <v>Holger Krag, Nobu Okada, Peter Martinez and Jeremy Wilks</v>
      </c>
      <c r="E128" s="10" t="str">
        <f>IFERROR(__xludf.DUMMYFUNCTION("""COMPUTED_VALUE"""),"Holger Krag,Nobu Okada,Peter Martinez,Jeremy Wilks")</f>
        <v>Holger Krag,Nobu Okada,Peter Martinez,Jeremy Wilks</v>
      </c>
      <c r="F128" s="10" t="str">
        <f>IFERROR(__xludf.DUMMYFUNCTION("""COMPUTED_VALUE"""),"2019/11/06 14:50:00")</f>
        <v>2019/11/06 14:50:00</v>
      </c>
      <c r="G128" s="10" t="str">
        <f>IFERROR(__xludf.DUMMYFUNCTION("""COMPUTED_VALUE"""),"2019/11/06 15:15:00")</f>
        <v>2019/11/06 15:15:00</v>
      </c>
      <c r="H128" s="10" t="str">
        <f>IFERROR(__xludf.DUMMYFUNCTION("""COMPUTED_VALUE"""),"871689fc-ecc3-489d-82f1-f443c7b6c01e")</f>
        <v>871689fc-ecc3-489d-82f1-f443c7b6c01e</v>
      </c>
      <c r="I128" s="10" t="str">
        <f>IFERROR(__xludf.DUMMYFUNCTION("""COMPUTED_VALUE"""),"871689fc-ecc3-489d-82f1-f443c7b6c01e")</f>
        <v>871689fc-ecc3-489d-82f1-f443c7b6c01e</v>
      </c>
    </row>
    <row r="129">
      <c r="A129" s="10" t="str">
        <f>IFERROR(__xludf.DUMMYFUNCTION("""COMPUTED_VALUE"""),"Battling for the better angels of our nature")</f>
        <v>Battling for the better angels of our nature</v>
      </c>
      <c r="B129" s="10" t="str">
        <f>IFERROR(__xludf.DUMMYFUNCTION("""COMPUTED_VALUE"""),"Combatting inequality, climate change, and political polarisation are some of central battles of our time. In this session, the head of Amnesty International, Kumi, will explore what we are doing to fight them and what more we must do if we are to save ou"&amp;"r better angels.")</f>
        <v>Combatting inequality, climate change, and political polarisation are some of central battles of our time. In this session, the head of Amnesty International, Kumi, will explore what we are doing to fight them and what more we must do if we are to save our better angels.</v>
      </c>
      <c r="C129" s="10" t="str">
        <f>IFERROR(__xludf.DUMMYFUNCTION("""COMPUTED_VALUE"""),"Future Societies")</f>
        <v>Future Societies</v>
      </c>
      <c r="D129" s="10" t="str">
        <f>IFERROR(__xludf.DUMMYFUNCTION("""COMPUTED_VALUE"""),"Kumi Naidoo and Tshepo Mokoena")</f>
        <v>Kumi Naidoo and Tshepo Mokoena</v>
      </c>
      <c r="E129" s="10" t="str">
        <f>IFERROR(__xludf.DUMMYFUNCTION("""COMPUTED_VALUE"""),"Kumi Naidoo,Tshepo Mokoena")</f>
        <v>Kumi Naidoo,Tshepo Mokoena</v>
      </c>
      <c r="F129" s="10" t="str">
        <f>IFERROR(__xludf.DUMMYFUNCTION("""COMPUTED_VALUE"""),"2019/11/07 13:20:00")</f>
        <v>2019/11/07 13:20:00</v>
      </c>
      <c r="G129" s="10" t="str">
        <f>IFERROR(__xludf.DUMMYFUNCTION("""COMPUTED_VALUE"""),"2019/11/07 13:40:00")</f>
        <v>2019/11/07 13:40:00</v>
      </c>
      <c r="H129" s="10" t="str">
        <f>IFERROR(__xludf.DUMMYFUNCTION("""COMPUTED_VALUE"""),"0d908ad4-fa35-4fbf-850c-a91619cad298")</f>
        <v>0d908ad4-fa35-4fbf-850c-a91619cad298</v>
      </c>
      <c r="I129" s="10" t="str">
        <f>IFERROR(__xludf.DUMMYFUNCTION("""COMPUTED_VALUE"""),"0d908ad4-fa35-4fbf-850c-a91619cad298")</f>
        <v>0d908ad4-fa35-4fbf-850c-a91619cad298</v>
      </c>
    </row>
    <row r="130">
      <c r="A130" s="10" t="str">
        <f>IFERROR(__xludf.DUMMYFUNCTION("""COMPUTED_VALUE"""),"Modernise your websites and applications with AWS")</f>
        <v>Modernise your websites and applications with AWS</v>
      </c>
      <c r="B130" s="10" t="str">
        <f>IFERROR(__xludf.DUMMYFUNCTION("""COMPUTED_VALUE"""),"Web development changes rapidly. New languages, modern frameworks (and microframeworks), and stronger, smarter browsers and edge devices allow web developers to innovate faster and smarter.
In this session we will look into the different paths a develope"&amp;"r can take with AWS to build a modern website or application. From powerful hosting, security and distribution with Amazon S3, CloudFront, Certificate Manager and Route53 to serverless backend and then bringing it all together with AWS Amplify, a new serv"&amp;"ice which can build and manage your web deployments.")</f>
        <v>Web development changes rapidly. New languages, modern frameworks (and microframeworks), and stronger, smarter browsers and edge devices allow web developers to innovate faster and smarter.
In this session we will look into the different paths a developer can take with AWS to build a modern website or application. From powerful hosting, security and distribution with Amazon S3, CloudFront, Certificate Manager and Route53 to serverless backend and then bringing it all together with AWS Amplify, a new service which can build and manage your web deployments.</v>
      </c>
      <c r="C130" s="10" t="str">
        <f>IFERROR(__xludf.DUMMYFUNCTION("""COMPUTED_VALUE"""),"AWS Developer Workshops")</f>
        <v>AWS Developer Workshops</v>
      </c>
      <c r="D130" s="10" t="str">
        <f>IFERROR(__xludf.DUMMYFUNCTION("""COMPUTED_VALUE"""),"")</f>
        <v/>
      </c>
      <c r="E130" s="10" t="str">
        <f>IFERROR(__xludf.DUMMYFUNCTION("""COMPUTED_VALUE"""),"")</f>
        <v/>
      </c>
      <c r="F130" s="10" t="str">
        <f>IFERROR(__xludf.DUMMYFUNCTION("""COMPUTED_VALUE"""),"2019/11/05 11:00:00")</f>
        <v>2019/11/05 11:00:00</v>
      </c>
      <c r="G130" s="10" t="str">
        <f>IFERROR(__xludf.DUMMYFUNCTION("""COMPUTED_VALUE"""),"2019/11/05 11:50:00")</f>
        <v>2019/11/05 11:50:00</v>
      </c>
      <c r="H130" s="10" t="str">
        <f>IFERROR(__xludf.DUMMYFUNCTION("""COMPUTED_VALUE"""),"ba8176d8-cb7e-4c66-84a6-1391b0ab0aaa")</f>
        <v>ba8176d8-cb7e-4c66-84a6-1391b0ab0aaa</v>
      </c>
      <c r="I130" s="10" t="str">
        <f>IFERROR(__xludf.DUMMYFUNCTION("""COMPUTED_VALUE"""),"ba8176d8-cb7e-4c66-84a6-1391b0ab0aaa")</f>
        <v>ba8176d8-cb7e-4c66-84a6-1391b0ab0aaa</v>
      </c>
    </row>
    <row r="131">
      <c r="A131" s="10" t="str">
        <f>IFERROR(__xludf.DUMMYFUNCTION("""COMPUTED_VALUE"""),"Building an anti-brand: The evolution of visual culture")</f>
        <v>Building an anti-brand: The evolution of visual culture</v>
      </c>
      <c r="B131" s="10" t="str">
        <f>IFERROR(__xludf.DUMMYFUNCTION("""COMPUTED_VALUE"""),"The rise of the ""anti-brand"" among Millennial and Gen-Z consumers has plagued traditional fashion marketing. Our three panelists are pioneers in pushing the boundaries of modern visual culture. Today, we ask them: how do you sell to the savviest generat"&amp;"ion yet? ")</f>
        <v>The rise of the "anti-brand" among Millennial and Gen-Z consumers has plagued traditional fashion marketing. Our three panelists are pioneers in pushing the boundaries of modern visual culture. Today, we ask them: how do you sell to the savviest generation yet? </v>
      </c>
      <c r="C131" s="10" t="str">
        <f>IFERROR(__xludf.DUMMYFUNCTION("""COMPUTED_VALUE"""),"Modum")</f>
        <v>Modum</v>
      </c>
      <c r="D131" s="10" t="str">
        <f>IFERROR(__xludf.DUMMYFUNCTION("""COMPUTED_VALUE""")," , Greg Lutze, Kenneth Richard and Natalie Salmon")</f>
        <v> , Greg Lutze, Kenneth Richard and Natalie Salmon</v>
      </c>
      <c r="E131" s="10" t="str">
        <f>IFERROR(__xludf.DUMMYFUNCTION("""COMPUTED_VALUE""")," ,Greg Lutze,Kenneth Richard,Natalie Salmon")</f>
        <v> ,Greg Lutze,Kenneth Richard,Natalie Salmon</v>
      </c>
      <c r="F131" s="10" t="str">
        <f>IFERROR(__xludf.DUMMYFUNCTION("""COMPUTED_VALUE"""),"2019/11/07 11:30:00")</f>
        <v>2019/11/07 11:30:00</v>
      </c>
      <c r="G131" s="10" t="str">
        <f>IFERROR(__xludf.DUMMYFUNCTION("""COMPUTED_VALUE"""),"2019/11/07 11:55:00")</f>
        <v>2019/11/07 11:55:00</v>
      </c>
      <c r="H131" s="10" t="str">
        <f>IFERROR(__xludf.DUMMYFUNCTION("""COMPUTED_VALUE"""),"5e0d7839-5cd6-4d94-928a-65450a52ee50")</f>
        <v>5e0d7839-5cd6-4d94-928a-65450a52ee50</v>
      </c>
      <c r="I131" s="10" t="str">
        <f>IFERROR(__xludf.DUMMYFUNCTION("""COMPUTED_VALUE"""),"5e0d7839-5cd6-4d94-928a-65450a52ee50")</f>
        <v>5e0d7839-5cd6-4d94-928a-65450a52ee50</v>
      </c>
    </row>
    <row r="132">
      <c r="A132" s="10" t="str">
        <f>IFERROR(__xludf.DUMMYFUNCTION("""COMPUTED_VALUE"""),"Why the ocean isn't doomed")</f>
        <v>Why the ocean isn't doomed</v>
      </c>
      <c r="B132" s="10" t="str">
        <f>IFERROR(__xludf.DUMMYFUNCTION("""COMPUTED_VALUE"""),"Plastic in the Pacific. Shampoo in the Sargasso sea. Bottles on the beaches. As some claim it's too late to clean up the oceans, others ask what happens if we don't? Our panel of experts reflects on the fight to look past pollution, toward solutions, and "&amp;"reveal why they believe all is not yet lost.")</f>
        <v>Plastic in the Pacific. Shampoo in the Sargasso sea. Bottles on the beaches. As some claim it's too late to clean up the oceans, others ask what happens if we don't? Our panel of experts reflects on the fight to look past pollution, toward solutions, and reveal why they believe all is not yet lost.</v>
      </c>
      <c r="C132" s="10" t="str">
        <f>IFERROR(__xludf.DUMMYFUNCTION("""COMPUTED_VALUE"""),"planet:tech ")</f>
        <v>planet:tech </v>
      </c>
      <c r="D132" s="10" t="str">
        <f>IFERROR(__xludf.DUMMYFUNCTION("""COMPUTED_VALUE"""),"Garrett McNamara, Dianna Cohen and Philip Crowther")</f>
        <v>Garrett McNamara, Dianna Cohen and Philip Crowther</v>
      </c>
      <c r="E132" s="10" t="str">
        <f>IFERROR(__xludf.DUMMYFUNCTION("""COMPUTED_VALUE"""),"Garrett McNamara,Dianna Cohen,Philip Crowther")</f>
        <v>Garrett McNamara,Dianna Cohen,Philip Crowther</v>
      </c>
      <c r="F132" s="10" t="str">
        <f>IFERROR(__xludf.DUMMYFUNCTION("""COMPUTED_VALUE"""),"2019/11/05 14:50:00")</f>
        <v>2019/11/05 14:50:00</v>
      </c>
      <c r="G132" s="10" t="str">
        <f>IFERROR(__xludf.DUMMYFUNCTION("""COMPUTED_VALUE"""),"2019/11/05 15:10:00")</f>
        <v>2019/11/05 15:10:00</v>
      </c>
      <c r="H132" s="10" t="str">
        <f>IFERROR(__xludf.DUMMYFUNCTION("""COMPUTED_VALUE"""),"53f761ef-b26e-43d6-b849-c0d302ff6cd6")</f>
        <v>53f761ef-b26e-43d6-b849-c0d302ff6cd6</v>
      </c>
      <c r="I132" s="10" t="str">
        <f>IFERROR(__xludf.DUMMYFUNCTION("""COMPUTED_VALUE"""),"53f761ef-b26e-43d6-b849-c0d302ff6cd6")</f>
        <v>53f761ef-b26e-43d6-b849-c0d302ff6cd6</v>
      </c>
    </row>
    <row r="133">
      <c r="A133" s="10" t="str">
        <f>IFERROR(__xludf.DUMMYFUNCTION("""COMPUTED_VALUE"""),"Innovation and regulation: The EU takes on Silicon Valley ")</f>
        <v>Innovation and regulation: The EU takes on Silicon Valley </v>
      </c>
      <c r="B133" s="10" t="str">
        <f>IFERROR(__xludf.DUMMYFUNCTION("""COMPUTED_VALUE"""),"Europe is well-positioned to overtake Silicon Valley as the ideological heart of the tech industry. In this fireside chat moderated by Nicholas Vinocur from Politico, Dashlane CEO Emmanuel Schalit will discuss how the U.S. has slipped as a leader in tech "&amp;"and innovation, especially as the tech industry has lost the public’s trust after extensive user tracking and massive data breaches. They'll also talk about tech regulation, how the EU is emerging in light of GDPR, and ultimately, who - or rather, where -"&amp;" will own the next generation of the internet.")</f>
        <v>Europe is well-positioned to overtake Silicon Valley as the ideological heart of the tech industry. In this fireside chat moderated by Nicholas Vinocur from Politico, Dashlane CEO Emmanuel Schalit will discuss how the U.S. has slipped as a leader in tech and innovation, especially as the tech industry has lost the public’s trust after extensive user tracking and massive data breaches. They'll also talk about tech regulation, how the EU is emerging in light of GDPR, and ultimately, who - or rather, where - will own the next generation of the internet.</v>
      </c>
      <c r="C133" s="10" t="str">
        <f>IFERROR(__xludf.DUMMYFUNCTION("""COMPUTED_VALUE"""),"SaaS Monster")</f>
        <v>SaaS Monster</v>
      </c>
      <c r="D133" s="10" t="str">
        <f>IFERROR(__xludf.DUMMYFUNCTION("""COMPUTED_VALUE"""),"Emmanuel Schalit and Nicholas Vinocur")</f>
        <v>Emmanuel Schalit and Nicholas Vinocur</v>
      </c>
      <c r="E133" s="10" t="str">
        <f>IFERROR(__xludf.DUMMYFUNCTION("""COMPUTED_VALUE"""),"Emmanuel Schalit,Nicholas Vinocur")</f>
        <v>Emmanuel Schalit,Nicholas Vinocur</v>
      </c>
      <c r="F133" s="10" t="str">
        <f>IFERROR(__xludf.DUMMYFUNCTION("""COMPUTED_VALUE"""),"2019/11/06 14:45:00")</f>
        <v>2019/11/06 14:45:00</v>
      </c>
      <c r="G133" s="10" t="str">
        <f>IFERROR(__xludf.DUMMYFUNCTION("""COMPUTED_VALUE"""),"2019/11/06 15:05:00")</f>
        <v>2019/11/06 15:05:00</v>
      </c>
      <c r="H133" s="10" t="str">
        <f>IFERROR(__xludf.DUMMYFUNCTION("""COMPUTED_VALUE"""),"6f83107c-c233-4251-967d-13e881b14d20")</f>
        <v>6f83107c-c233-4251-967d-13e881b14d20</v>
      </c>
      <c r="I133" s="10" t="str">
        <f>IFERROR(__xludf.DUMMYFUNCTION("""COMPUTED_VALUE"""),"6f83107c-c233-4251-967d-13e881b14d20")</f>
        <v>6f83107c-c233-4251-967d-13e881b14d20</v>
      </c>
    </row>
    <row r="134">
      <c r="A134" s="10" t="str">
        <f>IFERROR(__xludf.DUMMYFUNCTION("""COMPUTED_VALUE"""),"DS TEST TITLE")</f>
        <v>DS TEST TITLE</v>
      </c>
      <c r="B134" s="10" t="str">
        <f>IFERROR(__xludf.DUMMYFUNCTION("""COMPUTED_VALUE"""),"DS TEST DESCRIPTION")</f>
        <v>DS TEST DESCRIPTION</v>
      </c>
      <c r="C134" s="10" t="str">
        <f>IFERROR(__xludf.DUMMYFUNCTION("""COMPUTED_VALUE"""),"")</f>
        <v/>
      </c>
      <c r="D134" s="10" t="str">
        <f>IFERROR(__xludf.DUMMYFUNCTION("""COMPUTED_VALUE"""),"Aaron Meagher")</f>
        <v>Aaron Meagher</v>
      </c>
      <c r="E134" s="10" t="str">
        <f>IFERROR(__xludf.DUMMYFUNCTION("""COMPUTED_VALUE"""),"Aaron Meagher")</f>
        <v>Aaron Meagher</v>
      </c>
      <c r="F134" s="10" t="str">
        <f>IFERROR(__xludf.DUMMYFUNCTION("""COMPUTED_VALUE"""),"2019/05/21 13:45:00")</f>
        <v>2019/05/21 13:45:00</v>
      </c>
      <c r="G134" s="10" t="str">
        <f>IFERROR(__xludf.DUMMYFUNCTION("""COMPUTED_VALUE"""),"2019/05/21 14:00:00")</f>
        <v>2019/05/21 14:00:00</v>
      </c>
      <c r="H134" s="10" t="str">
        <f>IFERROR(__xludf.DUMMYFUNCTION("""COMPUTED_VALUE"""),"b96fd2d5-f2cf-4ad8-83fc-9550eada9ab6")</f>
        <v>b96fd2d5-f2cf-4ad8-83fc-9550eada9ab6</v>
      </c>
      <c r="I134" s="10" t="str">
        <f>IFERROR(__xludf.DUMMYFUNCTION("""COMPUTED_VALUE"""),"b96fd2d5-f2cf-4ad8-83fc-9550eada9ab6")</f>
        <v>b96fd2d5-f2cf-4ad8-83fc-9550eada9ab6</v>
      </c>
    </row>
    <row r="135">
      <c r="A135" s="10" t="str">
        <f>IFERROR(__xludf.DUMMYFUNCTION("""COMPUTED_VALUE"""),"Cash is dead, what's next to go?")</f>
        <v>Cash is dead, what's next to go?</v>
      </c>
      <c r="B135" s="10" t="str">
        <f>IFERROR(__xludf.DUMMYFUNCTION("""COMPUTED_VALUE"""),"Despite scrutiny and skepticism, fintech disruption is here to stay. It's hard to argue against the value of breaking the old models. With cash and brick and mortars on their way out, fintech leaders give their vision for the next big change. ")</f>
        <v>Despite scrutiny and skepticism, fintech disruption is here to stay. It's hard to argue against the value of breaking the old models. With cash and brick and mortars on their way out, fintech leaders give their vision for the next big change. </v>
      </c>
      <c r="C135" s="10" t="str">
        <f>IFERROR(__xludf.DUMMYFUNCTION("""COMPUTED_VALUE"""),"Centre Stage")</f>
        <v>Centre Stage</v>
      </c>
      <c r="D135" s="10" t="str">
        <f>IFERROR(__xludf.DUMMYFUNCTION("""COMPUTED_VALUE"""),"Nikolay Storonsky, Zach Perret, Anne Boden and Felix Salmon")</f>
        <v>Nikolay Storonsky, Zach Perret, Anne Boden and Felix Salmon</v>
      </c>
      <c r="E135" s="10" t="str">
        <f>IFERROR(__xludf.DUMMYFUNCTION("""COMPUTED_VALUE"""),"Nikolay Storonsky,Zach Perret,Anne Boden,Felix Salmon")</f>
        <v>Nikolay Storonsky,Zach Perret,Anne Boden,Felix Salmon</v>
      </c>
      <c r="F135" s="10" t="str">
        <f>IFERROR(__xludf.DUMMYFUNCTION("""COMPUTED_VALUE"""),"2019/11/07 12:10:00")</f>
        <v>2019/11/07 12:10:00</v>
      </c>
      <c r="G135" s="10" t="str">
        <f>IFERROR(__xludf.DUMMYFUNCTION("""COMPUTED_VALUE"""),"2019/11/07 12:30:00")</f>
        <v>2019/11/07 12:30:00</v>
      </c>
      <c r="H135" s="10" t="str">
        <f>IFERROR(__xludf.DUMMYFUNCTION("""COMPUTED_VALUE"""),"b2d76271-5c88-4504-8eb4-6f45b3b38de4")</f>
        <v>b2d76271-5c88-4504-8eb4-6f45b3b38de4</v>
      </c>
      <c r="I135" s="10" t="str">
        <f>IFERROR(__xludf.DUMMYFUNCTION("""COMPUTED_VALUE"""),"b2d76271-5c88-4504-8eb4-6f45b3b38de4")</f>
        <v>b2d76271-5c88-4504-8eb4-6f45b3b38de4</v>
      </c>
    </row>
    <row r="136">
      <c r="A136" s="10" t="str">
        <f>IFERROR(__xludf.DUMMYFUNCTION("""COMPUTED_VALUE"""),"Should robots have rights?")</f>
        <v>Should robots have rights?</v>
      </c>
      <c r="B136" s="10" t="str">
        <f>IFERROR(__xludf.DUMMYFUNCTION("""COMPUTED_VALUE"""),"Many experts have warned of the importance to protecting humanity from advanced AI, but could we reach a time when we are a threat to the robots? We'll discuss whether the concept of rights applies to humans alone. 
")</f>
        <v>Many experts have warned of the importance to protecting humanity from advanced AI, but could we reach a time when we are a threat to the robots? We'll discuss whether the concept of rights applies to humans alone. 
</v>
      </c>
      <c r="C136" s="10" t="str">
        <f>IFERROR(__xludf.DUMMYFUNCTION("""COMPUTED_VALUE"""),"DeepTech")</f>
        <v>DeepTech</v>
      </c>
      <c r="D136" s="10" t="str">
        <f>IFERROR(__xludf.DUMMYFUNCTION("""COMPUTED_VALUE"""),"John Basl, Steve Petersen, Ben Goertzel, Fouzia Adjailia and Louise Lucas")</f>
        <v>John Basl, Steve Petersen, Ben Goertzel, Fouzia Adjailia and Louise Lucas</v>
      </c>
      <c r="E136" s="10" t="str">
        <f>IFERROR(__xludf.DUMMYFUNCTION("""COMPUTED_VALUE"""),"John Basl,Steve Petersen,Ben Goertzel,Fouzia Adjailia,Louise Lucas")</f>
        <v>John Basl,Steve Petersen,Ben Goertzel,Fouzia Adjailia,Louise Lucas</v>
      </c>
      <c r="F136" s="10" t="str">
        <f>IFERROR(__xludf.DUMMYFUNCTION("""COMPUTED_VALUE"""),"2019/11/06 12:10:00")</f>
        <v>2019/11/06 12:10:00</v>
      </c>
      <c r="G136" s="10" t="str">
        <f>IFERROR(__xludf.DUMMYFUNCTION("""COMPUTED_VALUE"""),"2019/11/06 12:35:00")</f>
        <v>2019/11/06 12:35:00</v>
      </c>
      <c r="H136" s="10" t="str">
        <f>IFERROR(__xludf.DUMMYFUNCTION("""COMPUTED_VALUE"""),"cad13a64-b9db-4862-b091-0435773e2aec")</f>
        <v>cad13a64-b9db-4862-b091-0435773e2aec</v>
      </c>
      <c r="I136" s="10" t="str">
        <f>IFERROR(__xludf.DUMMYFUNCTION("""COMPUTED_VALUE"""),"cad13a64-b9db-4862-b091-0435773e2aec")</f>
        <v>cad13a64-b9db-4862-b091-0435773e2aec</v>
      </c>
    </row>
    <row r="137">
      <c r="A137" s="10" t="str">
        <f>IFERROR(__xludf.DUMMYFUNCTION("""COMPUTED_VALUE"""),"Opening remarks")</f>
        <v>Opening remarks</v>
      </c>
      <c r="B137" s="10" t="str">
        <f>IFERROR(__xludf.DUMMYFUNCTION("""COMPUTED_VALUE"""),"")</f>
        <v/>
      </c>
      <c r="C137" s="10" t="str">
        <f>IFERROR(__xludf.DUMMYFUNCTION("""COMPUTED_VALUE"""),"PandaConf")</f>
        <v>PandaConf</v>
      </c>
      <c r="D137" s="10" t="str">
        <f>IFERROR(__xludf.DUMMYFUNCTION("""COMPUTED_VALUE"""),"Belinda Esterhammer")</f>
        <v>Belinda Esterhammer</v>
      </c>
      <c r="E137" s="10" t="str">
        <f>IFERROR(__xludf.DUMMYFUNCTION("""COMPUTED_VALUE"""),"Belinda Esterhammer")</f>
        <v>Belinda Esterhammer</v>
      </c>
      <c r="F137" s="10" t="str">
        <f>IFERROR(__xludf.DUMMYFUNCTION("""COMPUTED_VALUE"""),"2019/11/06 13:20:00")</f>
        <v>2019/11/06 13:20:00</v>
      </c>
      <c r="G137" s="10" t="str">
        <f>IFERROR(__xludf.DUMMYFUNCTION("""COMPUTED_VALUE"""),"2019/11/06 13:25:00")</f>
        <v>2019/11/06 13:25:00</v>
      </c>
      <c r="H137" s="10" t="str">
        <f>IFERROR(__xludf.DUMMYFUNCTION("""COMPUTED_VALUE"""),"fb0e70e0-034f-404d-9fc4-51faa6d0e1dc")</f>
        <v>fb0e70e0-034f-404d-9fc4-51faa6d0e1dc</v>
      </c>
      <c r="I137" s="10" t="str">
        <f>IFERROR(__xludf.DUMMYFUNCTION("""COMPUTED_VALUE"""),"fb0e70e0-034f-404d-9fc4-51faa6d0e1dc")</f>
        <v>fb0e70e0-034f-404d-9fc4-51faa6d0e1dc</v>
      </c>
    </row>
    <row r="138">
      <c r="A138" s="10" t="str">
        <f>IFERROR(__xludf.DUMMYFUNCTION("""COMPUTED_VALUE"""),"The moon, for your next-level business ")</f>
        <v>The moon, for your next-level business </v>
      </c>
      <c r="B138" s="10" t="str">
        <f>IFERROR(__xludf.DUMMYFUNCTION("""COMPUTED_VALUE"""),"Takeshi Hakamada, Founder &amp; CEO of ispace, a Japanese lunar exploration company that raised over $90 million for its upcoming private lunar missions, will speak about the business opportunity for non-space companies to enter the lunar market. With a focus"&amp;" on the automotive industry, Takeshi will speak about the companies that have partnered with ispace to bring their business to the Moon.")</f>
        <v>Takeshi Hakamada, Founder &amp; CEO of ispace, a Japanese lunar exploration company that raised over $90 million for its upcoming private lunar missions, will speak about the business opportunity for non-space companies to enter the lunar market. With a focus on the automotive industry, Takeshi will speak about the companies that have partnered with ispace to bring their business to the Moon.</v>
      </c>
      <c r="C138" s="10" t="str">
        <f>IFERROR(__xludf.DUMMYFUNCTION("""COMPUTED_VALUE"""),"Auto/Tech &amp; TalkRobot")</f>
        <v>Auto/Tech &amp; TalkRobot</v>
      </c>
      <c r="D138" s="10" t="str">
        <f>IFERROR(__xludf.DUMMYFUNCTION("""COMPUTED_VALUE"""),"Takeshi Hakamada")</f>
        <v>Takeshi Hakamada</v>
      </c>
      <c r="E138" s="10" t="str">
        <f>IFERROR(__xludf.DUMMYFUNCTION("""COMPUTED_VALUE"""),"Takeshi Hakamada")</f>
        <v>Takeshi Hakamada</v>
      </c>
      <c r="F138" s="10" t="str">
        <f>IFERROR(__xludf.DUMMYFUNCTION("""COMPUTED_VALUE"""),"2019/11/06 12:35:00")</f>
        <v>2019/11/06 12:35:00</v>
      </c>
      <c r="G138" s="10" t="str">
        <f>IFERROR(__xludf.DUMMYFUNCTION("""COMPUTED_VALUE"""),"2019/11/06 12:55:00")</f>
        <v>2019/11/06 12:55:00</v>
      </c>
      <c r="H138" s="10" t="str">
        <f>IFERROR(__xludf.DUMMYFUNCTION("""COMPUTED_VALUE"""),"2d2605c0-2036-4e02-a704-55fb46ddbf1b")</f>
        <v>2d2605c0-2036-4e02-a704-55fb46ddbf1b</v>
      </c>
      <c r="I138" s="10" t="str">
        <f>IFERROR(__xludf.DUMMYFUNCTION("""COMPUTED_VALUE"""),"2d2605c0-2036-4e02-a704-55fb46ddbf1b")</f>
        <v>2d2605c0-2036-4e02-a704-55fb46ddbf1b</v>
      </c>
    </row>
    <row r="139">
      <c r="A139" s="10" t="str">
        <f>IFERROR(__xludf.DUMMYFUNCTION("""COMPUTED_VALUE"""),"Banking on it: Why fintech is more than a safe bet")</f>
        <v>Banking on it: Why fintech is more than a safe bet</v>
      </c>
      <c r="B139" s="10" t="str">
        <f>IFERROR(__xludf.DUMMYFUNCTION("""COMPUTED_VALUE"""),"Fintech could be a gateway to financial inclusion globally, making the sector more than just a smart bet. From online lending to payments startups, why should VCs focus on fintech?")</f>
        <v>Fintech could be a gateway to financial inclusion globally, making the sector more than just a smart bet. From online lending to payments startups, why should VCs focus on fintech?</v>
      </c>
      <c r="C139" s="10" t="str">
        <f>IFERROR(__xludf.DUMMYFUNCTION("""COMPUTED_VALUE"""),"Venture stage")</f>
        <v>Venture stage</v>
      </c>
      <c r="D139" s="10" t="str">
        <f>IFERROR(__xludf.DUMMYFUNCTION("""COMPUTED_VALUE"""),"Michael Schlein, Donatella Callegaris and Callum Burroughs")</f>
        <v>Michael Schlein, Donatella Callegaris and Callum Burroughs</v>
      </c>
      <c r="E139" s="10" t="str">
        <f>IFERROR(__xludf.DUMMYFUNCTION("""COMPUTED_VALUE"""),"Michael Schlein,Donatella Callegaris,Callum Burroughs")</f>
        <v>Michael Schlein,Donatella Callegaris,Callum Burroughs</v>
      </c>
      <c r="F139" s="10" t="str">
        <f>IFERROR(__xludf.DUMMYFUNCTION("""COMPUTED_VALUE"""),"2019/11/05 15:30:00")</f>
        <v>2019/11/05 15:30:00</v>
      </c>
      <c r="G139" s="10" t="str">
        <f>IFERROR(__xludf.DUMMYFUNCTION("""COMPUTED_VALUE"""),"2019/11/05 15:50:00")</f>
        <v>2019/11/05 15:50:00</v>
      </c>
      <c r="H139" s="10" t="str">
        <f>IFERROR(__xludf.DUMMYFUNCTION("""COMPUTED_VALUE"""),"5100d185-ad11-4412-b62f-f5e2bf55b693")</f>
        <v>5100d185-ad11-4412-b62f-f5e2bf55b693</v>
      </c>
      <c r="I139" s="10" t="str">
        <f>IFERROR(__xludf.DUMMYFUNCTION("""COMPUTED_VALUE"""),"5100d185-ad11-4412-b62f-f5e2bf55b693")</f>
        <v>5100d185-ad11-4412-b62f-f5e2bf55b693</v>
      </c>
    </row>
    <row r="140">
      <c r="A140" s="10" t="str">
        <f>IFERROR(__xludf.DUMMYFUNCTION("""COMPUTED_VALUE"""),"A review of top smart watches to hit the market")</f>
        <v>A review of top smart watches to hit the market</v>
      </c>
      <c r="B140" s="10" t="str">
        <f>IFERROR(__xludf.DUMMYFUNCTION("""COMPUTED_VALUE"""),"Meet the latest range of smart watches which can do everything from tracking your heart rate, to playing music while you run. How does our panel of reviewers rate them against their market rivals?")</f>
        <v>Meet the latest range of smart watches which can do everything from tracking your heart rate, to playing music while you run. How does our panel of reviewers rate them against their market rivals?</v>
      </c>
      <c r="C140" s="10" t="str">
        <f>IFERROR(__xludf.DUMMYFUNCTION("""COMPUTED_VALUE"""),"UnBoxed")</f>
        <v>UnBoxed</v>
      </c>
      <c r="D140" s="10" t="str">
        <f>IFERROR(__xludf.DUMMYFUNCTION("""COMPUTED_VALUE"""),"Eli Etherton, Tom Honeyands, Katie Collins and Lindsey Turrentine")</f>
        <v>Eli Etherton, Tom Honeyands, Katie Collins and Lindsey Turrentine</v>
      </c>
      <c r="E140" s="10" t="str">
        <f>IFERROR(__xludf.DUMMYFUNCTION("""COMPUTED_VALUE"""),"Eli Etherton,Tom Honeyands,Katie Collins,Lindsey Turrentine")</f>
        <v>Eli Etherton,Tom Honeyands,Katie Collins,Lindsey Turrentine</v>
      </c>
      <c r="F140" s="10" t="str">
        <f>IFERROR(__xludf.DUMMYFUNCTION("""COMPUTED_VALUE"""),"2019/11/05 12:45:00")</f>
        <v>2019/11/05 12:45:00</v>
      </c>
      <c r="G140" s="10" t="str">
        <f>IFERROR(__xludf.DUMMYFUNCTION("""COMPUTED_VALUE"""),"2019/11/05 13:15:00")</f>
        <v>2019/11/05 13:15:00</v>
      </c>
      <c r="H140" s="10" t="str">
        <f>IFERROR(__xludf.DUMMYFUNCTION("""COMPUTED_VALUE"""),"0ddd2d08-0a01-4207-af98-ade08b4d210a")</f>
        <v>0ddd2d08-0a01-4207-af98-ade08b4d210a</v>
      </c>
      <c r="I140" s="10" t="str">
        <f>IFERROR(__xludf.DUMMYFUNCTION("""COMPUTED_VALUE"""),"0ddd2d08-0a01-4207-af98-ade08b4d210a")</f>
        <v>0ddd2d08-0a01-4207-af98-ade08b4d210a</v>
      </c>
    </row>
    <row r="141">
      <c r="A141" s="10" t="str">
        <f>IFERROR(__xludf.DUMMYFUNCTION("""COMPUTED_VALUE"""),"Startup Showcase")</f>
        <v>Startup Showcase</v>
      </c>
      <c r="B141" s="10" t="str">
        <f>IFERROR(__xludf.DUMMYFUNCTION("""COMPUTED_VALUE"""),"")</f>
        <v/>
      </c>
      <c r="C141" s="10" t="str">
        <f>IFERROR(__xludf.DUMMYFUNCTION("""COMPUTED_VALUE"""),"")</f>
        <v/>
      </c>
      <c r="D141" s="10" t="str">
        <f>IFERROR(__xludf.DUMMYFUNCTION("""COMPUTED_VALUE"""),"Steven Gundry,  Mohamed Khashaba,  YongKee Lim,  Damien Gorlier,  Feldberg Natalia,  Chelsy Swackhamer,  Etienne Petermann,  Apar Jain,  Kwon Taehyeon,  Lys Mehou-Loko,  Agata Baran,  Mohamed Abdallah,  Amin Hossein,  Daeho Lee,  Davood Fanaei Sheikholesl"&amp;"ami,  Hermann 'Hesh' Schreiter,  Amelie Grohnert,  Mohammed Ahmad,  Chang Hun (Douglass) Lee,  Tatiana Khodanovich,  Johan Boholm,  Viktoriia Sharapova,  Carlos Ferreira,  Hassan Yasin,  Michael Maurer-Pühringer,  Valeria Mingova,  Jueun Ha,  Sergey Vassi"&amp;"lyev,  Soonae Lee,  Mohammad Mohammad Amini,  Bola Bardet,  Mihai Draghici,  DongHoon Lee,  Lawrence Smith,  Graham Mak,  Dennis Poon,  Esmaeil Kondori,  Markus Pelnar,  Victoria Shabunina,  Ahmed Abdelaty,  DAWOON Han,  Luca Buscioni,  Diana Mereu,  Ali "&amp;"Alvi,  Marcin Kotewicz,  Jakub Jamontt,  Armando Statti,  Ana Cristina Grohnert and  Joanna Yein Song and Richard Schütze")</f>
        <v>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and  Joanna Yein Song and Richard Schütze</v>
      </c>
      <c r="E141" s="10" t="str">
        <f>IFERROR(__xludf.DUMMYFUNCTION("""COMPUTED_VALUE"""),"Steven Gundry, Mohamed Khashaba, YongKee Lim, Damien Gorlier, Feldberg Natalia, Chelsy Swackhamer, Etienne Petermann, Apar Jain, Kwon Taehyeon, Lys Mehou-Loko, Agata Baran, Mohamed Abdallah, Amin Hossein, Daeho Lee, Davood Fanaei Sheikholeslami, Hermann '"&amp;"Hesh' Schreiter, Amelie Grohnert, Mohammed Ahmad, Chang Hun (Douglass) Lee, Tatiana Khodanovich, Johan Boholm, Viktoriia Sharapova, Carlos Ferreira, Hassan Yasin, Michael Maurer-Pühringer, Valeria Mingova, Jueun Ha, Sergey Vassilyev, Soonae Lee, Mohammad "&amp;"Mohammad Amini, Bola Bardet, Mihai Draghici, DongHoon Lee, Lawrence Smith, Graham Mak, Dennis Poon, Esmaeil Kondori, Markus Pelnar, Victoria Shabunina, Ahmed Abdelaty, DAWOON Han, Luca Buscioni, Diana Mereu, Ali Alvi, Marcin Kotewicz, Jakub Jamontt, Arman"&amp;"do Statti, Ana Cristina Grohnert, Joanna Yein Song and Richard Schütze")</f>
        <v>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v>
      </c>
      <c r="F141" s="10" t="str">
        <f>IFERROR(__xludf.DUMMYFUNCTION("""COMPUTED_VALUE"""),"")</f>
        <v/>
      </c>
      <c r="G141" s="10" t="str">
        <f>IFERROR(__xludf.DUMMYFUNCTION("""COMPUTED_VALUE"""),"")</f>
        <v/>
      </c>
      <c r="H141" s="10" t="str">
        <f>IFERROR(__xludf.DUMMYFUNCTION("""COMPUTED_VALUE"""),"4e6c7af8-4e5e-5596-80ba-21b0ed6db59b")</f>
        <v>4e6c7af8-4e5e-5596-80ba-21b0ed6db59b</v>
      </c>
      <c r="I141" s="10" t="str">
        <f>IFERROR(__xludf.DUMMYFUNCTION("""COMPUTED_VALUE"""),"4e6c7af8-4e5e-5596-80ba-21b0ed6db59b")</f>
        <v>4e6c7af8-4e5e-5596-80ba-21b0ed6db59b</v>
      </c>
    </row>
    <row r="142">
      <c r="A142" s="10" t="str">
        <f>IFERROR(__xludf.DUMMYFUNCTION("""COMPUTED_VALUE"""),"Featured venue: La Puttana")</f>
        <v>Featured venue: La Puttana</v>
      </c>
      <c r="B142" s="10" t="str">
        <f>IFERROR(__xludf.DUMMYFUNCTION("""COMPUTED_VALUE"""),"At this small and provocatively named pizza place (we'll leave you to check it out on Google Translate), upstart chef Nuno Bergonse keeps things simple. A handful of Neapolitan-style pizzas are the perfect treat to hit the spot on a buzzing evening out al"&amp;"ong Pink Street. Rumour has it they taste even better at 2am...
Night Summit deals: 
Food deal: pizza (normal size) + free drink (imperial, tea, wine glass)")</f>
        <v>At this small and provocatively named pizza place (we'll leave you to check it out on Google Translate), upstart chef Nuno Bergonse keeps things simple. A handful of Neapolitan-style pizzas are the perfect treat to hit the spot on a buzzing evening out along Pink Street. Rumour has it they taste even better at 2am...
Night Summit deals: 
Food deal: pizza (normal size) + free drink (imperial, tea, wine glass)</v>
      </c>
      <c r="C142" s="10" t="str">
        <f>IFERROR(__xludf.DUMMYFUNCTION("""COMPUTED_VALUE"""),"La Puttana")</f>
        <v>La Puttana</v>
      </c>
      <c r="D142" s="10" t="str">
        <f>IFERROR(__xludf.DUMMYFUNCTION("""COMPUTED_VALUE"""),"")</f>
        <v/>
      </c>
      <c r="E142" s="10" t="str">
        <f>IFERROR(__xludf.DUMMYFUNCTION("""COMPUTED_VALUE"""),"")</f>
        <v/>
      </c>
      <c r="F142" s="10" t="str">
        <f>IFERROR(__xludf.DUMMYFUNCTION("""COMPUTED_VALUE"""),"2019/11/05 20:00:00")</f>
        <v>2019/11/05 20:00:00</v>
      </c>
      <c r="G142" s="10" t="str">
        <f>IFERROR(__xludf.DUMMYFUNCTION("""COMPUTED_VALUE"""),"2019/11/06 00:00:00")</f>
        <v>2019/11/06 00:00:00</v>
      </c>
      <c r="H142" s="10" t="str">
        <f>IFERROR(__xludf.DUMMYFUNCTION("""COMPUTED_VALUE"""),"460702a6-4620-4646-92f9-1d00700e5439")</f>
        <v>460702a6-4620-4646-92f9-1d00700e5439</v>
      </c>
      <c r="I142" s="10" t="str">
        <f>IFERROR(__xludf.DUMMYFUNCTION("""COMPUTED_VALUE"""),"460702a6-4620-4646-92f9-1d00700e5439")</f>
        <v>460702a6-4620-4646-92f9-1d00700e5439</v>
      </c>
    </row>
    <row r="143">
      <c r="A143" s="10" t="str">
        <f>IFERROR(__xludf.DUMMYFUNCTION("""COMPUTED_VALUE"""),"A picture is worth a thousand words")</f>
        <v>A picture is worth a thousand words</v>
      </c>
      <c r="B143" s="10" t="str">
        <f>IFERROR(__xludf.DUMMYFUNCTION("""COMPUTED_VALUE"""),"At this talk you will be in the company of one of our generation’s foremost photographers. Over the last 30 years, Rankin has worked in fashion, music and branding and has captured some of pop culture’s most iconic images. Join us as he talks through what"&amp;" he’s learned in a lifetime behind the lens.")</f>
        <v>At this talk you will be in the company of one of our generation’s foremost photographers. Over the last 30 years, Rankin has worked in fashion, music and branding and has captured some of pop culture’s most iconic images. Join us as he talks through what he’s learned in a lifetime behind the lens.</v>
      </c>
      <c r="C143" s="10" t="str">
        <f>IFERROR(__xludf.DUMMYFUNCTION("""COMPUTED_VALUE"""),"ContentMakers")</f>
        <v>ContentMakers</v>
      </c>
      <c r="D143" s="10" t="str">
        <f>IFERROR(__xludf.DUMMYFUNCTION("""COMPUTED_VALUE"""),"  and Rob Schwartz")</f>
        <v>  and Rob Schwartz</v>
      </c>
      <c r="E143" s="10" t="str">
        <f>IFERROR(__xludf.DUMMYFUNCTION("""COMPUTED_VALUE""")," ,Rob Schwartz")</f>
        <v> ,Rob Schwartz</v>
      </c>
      <c r="F143" s="10" t="str">
        <f>IFERROR(__xludf.DUMMYFUNCTION("""COMPUTED_VALUE"""),"2019/11/06 14:15:00")</f>
        <v>2019/11/06 14:15:00</v>
      </c>
      <c r="G143" s="10" t="str">
        <f>IFERROR(__xludf.DUMMYFUNCTION("""COMPUTED_VALUE"""),"2019/11/06 14:35:00")</f>
        <v>2019/11/06 14:35:00</v>
      </c>
      <c r="H143" s="10" t="str">
        <f>IFERROR(__xludf.DUMMYFUNCTION("""COMPUTED_VALUE"""),"dfb4965a-f237-40d1-b849-365622e84eaf")</f>
        <v>dfb4965a-f237-40d1-b849-365622e84eaf</v>
      </c>
      <c r="I143" s="10" t="str">
        <f>IFERROR(__xludf.DUMMYFUNCTION("""COMPUTED_VALUE"""),"dfb4965a-f237-40d1-b849-365622e84eaf")</f>
        <v>dfb4965a-f237-40d1-b849-365622e84eaf</v>
      </c>
    </row>
    <row r="144">
      <c r="A144" s="10" t="str">
        <f>IFERROR(__xludf.DUMMYFUNCTION("""COMPUTED_VALUE"""),"Opening remarks")</f>
        <v>Opening remarks</v>
      </c>
      <c r="B144" s="10" t="str">
        <f>IFERROR(__xludf.DUMMYFUNCTION("""COMPUTED_VALUE"""),"")</f>
        <v/>
      </c>
      <c r="C144" s="10" t="str">
        <f>IFERROR(__xludf.DUMMYFUNCTION("""COMPUTED_VALUE"""),"PandaConf")</f>
        <v>PandaConf</v>
      </c>
      <c r="D144" s="10" t="str">
        <f>IFERROR(__xludf.DUMMYFUNCTION("""COMPUTED_VALUE"""),"Mark Little")</f>
        <v>Mark Little</v>
      </c>
      <c r="E144" s="10" t="str">
        <f>IFERROR(__xludf.DUMMYFUNCTION("""COMPUTED_VALUE"""),"Mark Little")</f>
        <v>Mark Little</v>
      </c>
      <c r="F144" s="10" t="str">
        <f>IFERROR(__xludf.DUMMYFUNCTION("""COMPUTED_VALUE"""),"2019/11/05 10:30:00")</f>
        <v>2019/11/05 10:30:00</v>
      </c>
      <c r="G144" s="10" t="str">
        <f>IFERROR(__xludf.DUMMYFUNCTION("""COMPUTED_VALUE"""),"2019/11/05 10:45:00")</f>
        <v>2019/11/05 10:45:00</v>
      </c>
      <c r="H144" s="10" t="str">
        <f>IFERROR(__xludf.DUMMYFUNCTION("""COMPUTED_VALUE"""),"e9c06ccc-b1b0-488e-8769-505b81a582f8")</f>
        <v>e9c06ccc-b1b0-488e-8769-505b81a582f8</v>
      </c>
      <c r="I144" s="10" t="str">
        <f>IFERROR(__xludf.DUMMYFUNCTION("""COMPUTED_VALUE"""),"e9c06ccc-b1b0-488e-8769-505b81a582f8")</f>
        <v>e9c06ccc-b1b0-488e-8769-505b81a582f8</v>
      </c>
    </row>
    <row r="145">
      <c r="A145" s="10" t="str">
        <f>IFERROR(__xludf.DUMMYFUNCTION("""COMPUTED_VALUE"""),"Dubai 4.0: A global entrepreneurship and innovation opportunity, hosted by Dubai Investment Development Agency")</f>
        <v>Dubai 4.0: A global entrepreneurship and innovation opportunity, hosted by Dubai Investment Development Agency</v>
      </c>
      <c r="B145" s="10" t="str">
        <f>IFERROR(__xludf.DUMMYFUNCTION("""COMPUTED_VALUE"""),"Dubai’s drive to converge industry 4.0 technologies into the fabric of city life has achieved significant gains in productivity, efficiency, safety, and sustainability. These advancements further inspire new ways of thinking to shape the smart and sustain"&amp;"able cities of tomorrow.
Learn from leading Dubai government organisations about how the local connected ecosystem creates unique growth opportunities for startups, scale-ups, investors, as well as established innovative businesses from around the world.")</f>
        <v>Dubai’s drive to converge industry 4.0 technologies into the fabric of city life has achieved significant gains in productivity, efficiency, safety, and sustainability. These advancements further inspire new ways of thinking to shape the smart and sustainable cities of tomorrow.
Learn from leading Dubai government organisations about how the local connected ecosystem creates unique growth opportunities for startups, scale-ups, investors, as well as established innovative businesses from around the world.</v>
      </c>
      <c r="C145" s="10" t="str">
        <f>IFERROR(__xludf.DUMMYFUNCTION("""COMPUTED_VALUE"""),"Workshop 2")</f>
        <v>Workshop 2</v>
      </c>
      <c r="D145" s="10" t="str">
        <f>IFERROR(__xludf.DUMMYFUNCTION("""COMPUTED_VALUE"""),"")</f>
        <v/>
      </c>
      <c r="E145" s="10" t="str">
        <f>IFERROR(__xludf.DUMMYFUNCTION("""COMPUTED_VALUE"""),"")</f>
        <v/>
      </c>
      <c r="F145" s="10" t="str">
        <f>IFERROR(__xludf.DUMMYFUNCTION("""COMPUTED_VALUE"""),"2019/11/06 10:00:00")</f>
        <v>2019/11/06 10:00:00</v>
      </c>
      <c r="G145" s="10" t="str">
        <f>IFERROR(__xludf.DUMMYFUNCTION("""COMPUTED_VALUE"""),"2019/11/06 11:30:00")</f>
        <v>2019/11/06 11:30:00</v>
      </c>
      <c r="H145" s="10" t="str">
        <f>IFERROR(__xludf.DUMMYFUNCTION("""COMPUTED_VALUE"""),"ff7ae125-13b5-40aa-bc4b-5a9b68e1da75")</f>
        <v>ff7ae125-13b5-40aa-bc4b-5a9b68e1da75</v>
      </c>
      <c r="I145" s="10" t="str">
        <f>IFERROR(__xludf.DUMMYFUNCTION("""COMPUTED_VALUE"""),"ff7ae125-13b5-40aa-bc4b-5a9b68e1da75")</f>
        <v>ff7ae125-13b5-40aa-bc4b-5a9b68e1da75</v>
      </c>
    </row>
    <row r="146">
      <c r="A146" s="10" t="str">
        <f>IFERROR(__xludf.DUMMYFUNCTION("""COMPUTED_VALUE"""),"Working with giants: Three ways to close B2B partnerships faster")</f>
        <v>Working with giants: Three ways to close B2B partnerships faster</v>
      </c>
      <c r="B146" s="10" t="str">
        <f>IFERROR(__xludf.DUMMYFUNCTION("""COMPUTED_VALUE"""),"David and Goliath - this was the fintech metaphor everyone was using. CEO &amp; founder of Flux, Matty outlines how the company progressed from us versus them and started to deliver for customers instead of just companies, through a variety of partnerships in"&amp;"cluding Just Eat, KFC, and Barclays.")</f>
        <v>David and Goliath - this was the fintech metaphor everyone was using. CEO &amp; founder of Flux, Matty outlines how the company progressed from us versus them and started to deliver for customers instead of just companies, through a variety of partnerships including Just Eat, KFC, and Barclays.</v>
      </c>
      <c r="C146" s="10" t="str">
        <f>IFERROR(__xludf.DUMMYFUNCTION("""COMPUTED_VALUE"""),"Growth Summit")</f>
        <v>Growth Summit</v>
      </c>
      <c r="D146" s="10" t="str">
        <f>IFERROR(__xludf.DUMMYFUNCTION("""COMPUTED_VALUE"""),"Matty Cusden-Ross")</f>
        <v>Matty Cusden-Ross</v>
      </c>
      <c r="E146" s="10" t="str">
        <f>IFERROR(__xludf.DUMMYFUNCTION("""COMPUTED_VALUE"""),"Matty Cusden-Ross")</f>
        <v>Matty Cusden-Ross</v>
      </c>
      <c r="F146" s="10" t="str">
        <f>IFERROR(__xludf.DUMMYFUNCTION("""COMPUTED_VALUE"""),"2019/11/06 10:10:00")</f>
        <v>2019/11/06 10:10:00</v>
      </c>
      <c r="G146" s="10" t="str">
        <f>IFERROR(__xludf.DUMMYFUNCTION("""COMPUTED_VALUE"""),"2019/11/06 10:14:00")</f>
        <v>2019/11/06 10:14:00</v>
      </c>
      <c r="H146" s="10" t="str">
        <f>IFERROR(__xludf.DUMMYFUNCTION("""COMPUTED_VALUE"""),"5f028636-6abd-4417-a264-1f869ec452e3")</f>
        <v>5f028636-6abd-4417-a264-1f869ec452e3</v>
      </c>
      <c r="I146" s="10" t="str">
        <f>IFERROR(__xludf.DUMMYFUNCTION("""COMPUTED_VALUE"""),"5f028636-6abd-4417-a264-1f869ec452e3")</f>
        <v>5f028636-6abd-4417-a264-1f869ec452e3</v>
      </c>
    </row>
    <row r="147">
      <c r="A147" s="10" t="str">
        <f>IFERROR(__xludf.DUMMYFUNCTION("""COMPUTED_VALUE"""),"Q&amp;A Session with Mikhaila Peterson")</f>
        <v>Q&amp;A Session with Mikhaila Peterson</v>
      </c>
      <c r="B147" s="10" t="str">
        <f>IFERROR(__xludf.DUMMYFUNCTION("""COMPUTED_VALUE"""),"")</f>
        <v/>
      </c>
      <c r="C147" s="10" t="str">
        <f>IFERROR(__xludf.DUMMYFUNCTION("""COMPUTED_VALUE"""),"Q + A")</f>
        <v>Q + A</v>
      </c>
      <c r="D147" s="10" t="str">
        <f>IFERROR(__xludf.DUMMYFUNCTION("""COMPUTED_VALUE"""),"Mikhaila Peterson")</f>
        <v>Mikhaila Peterson</v>
      </c>
      <c r="E147" s="10" t="str">
        <f>IFERROR(__xludf.DUMMYFUNCTION("""COMPUTED_VALUE"""),"Mikhaila Peterson")</f>
        <v>Mikhaila Peterson</v>
      </c>
      <c r="F147" s="10" t="str">
        <f>IFERROR(__xludf.DUMMYFUNCTION("""COMPUTED_VALUE"""),"2019/11/07 12:30:00")</f>
        <v>2019/11/07 12:30:00</v>
      </c>
      <c r="G147" s="10" t="str">
        <f>IFERROR(__xludf.DUMMYFUNCTION("""COMPUTED_VALUE"""),"2019/11/07 12:45:00")</f>
        <v>2019/11/07 12:45:00</v>
      </c>
      <c r="H147" s="10" t="str">
        <f>IFERROR(__xludf.DUMMYFUNCTION("""COMPUTED_VALUE"""),"90a5f821-be17-4203-8089-71f2c4233921")</f>
        <v>90a5f821-be17-4203-8089-71f2c4233921</v>
      </c>
      <c r="I147" s="10" t="str">
        <f>IFERROR(__xludf.DUMMYFUNCTION("""COMPUTED_VALUE"""),"90a5f821-be17-4203-8089-71f2c4233921")</f>
        <v>90a5f821-be17-4203-8089-71f2c4233921</v>
      </c>
    </row>
    <row r="148">
      <c r="A148" s="10" t="str">
        <f>IFERROR(__xludf.DUMMYFUNCTION("""COMPUTED_VALUE"""),"The perks of getting in early")</f>
        <v>The perks of getting in early</v>
      </c>
      <c r="B148" s="10" t="str">
        <f>IFERROR(__xludf.DUMMYFUNCTION("""COMPUTED_VALUE"""),"Nothing beats getting in on the ground floor. But you need to know how to spot a winner, to back one. And once you do, what can you expect next?")</f>
        <v>Nothing beats getting in on the ground floor. But you need to know how to spot a winner, to back one. And once you do, what can you expect next?</v>
      </c>
      <c r="C148" s="10" t="str">
        <f>IFERROR(__xludf.DUMMYFUNCTION("""COMPUTED_VALUE"""),"Venture stage")</f>
        <v>Venture stage</v>
      </c>
      <c r="D148" s="10" t="str">
        <f>IFERROR(__xludf.DUMMYFUNCTION("""COMPUTED_VALUE"""),"Pär-Jörgen Pärson and Arnaud Bonzom")</f>
        <v>Pär-Jörgen Pärson and Arnaud Bonzom</v>
      </c>
      <c r="E148" s="10" t="str">
        <f>IFERROR(__xludf.DUMMYFUNCTION("""COMPUTED_VALUE"""),"Pär-Jörgen Pärson,Arnaud Bonzom")</f>
        <v>Pär-Jörgen Pärson,Arnaud Bonzom</v>
      </c>
      <c r="F148" s="10" t="str">
        <f>IFERROR(__xludf.DUMMYFUNCTION("""COMPUTED_VALUE"""),"2019/11/06 12:30:00")</f>
        <v>2019/11/06 12:30:00</v>
      </c>
      <c r="G148" s="10" t="str">
        <f>IFERROR(__xludf.DUMMYFUNCTION("""COMPUTED_VALUE"""),"2019/11/06 12:50:00")</f>
        <v>2019/11/06 12:50:00</v>
      </c>
      <c r="H148" s="10" t="str">
        <f>IFERROR(__xludf.DUMMYFUNCTION("""COMPUTED_VALUE"""),"af7641e2-1749-45fe-bb8b-1a3f6220dfc7")</f>
        <v>af7641e2-1749-45fe-bb8b-1a3f6220dfc7</v>
      </c>
      <c r="I148" s="10" t="str">
        <f>IFERROR(__xludf.DUMMYFUNCTION("""COMPUTED_VALUE"""),"af7641e2-1749-45fe-bb8b-1a3f6220dfc7")</f>
        <v>af7641e2-1749-45fe-bb8b-1a3f6220dfc7</v>
      </c>
    </row>
    <row r="149">
      <c r="A149" s="10" t="str">
        <f>IFERROR(__xludf.DUMMYFUNCTION("""COMPUTED_VALUE"""),"Lunch break")</f>
        <v>Lunch break</v>
      </c>
      <c r="B149" s="10" t="str">
        <f>IFERROR(__xludf.DUMMYFUNCTION("""COMPUTED_VALUE"""),"")</f>
        <v/>
      </c>
      <c r="C149" s="10" t="str">
        <f>IFERROR(__xludf.DUMMYFUNCTION("""COMPUTED_VALUE"""),"Corporate Innovation Summit")</f>
        <v>Corporate Innovation Summit</v>
      </c>
      <c r="D149" s="10" t="str">
        <f>IFERROR(__xludf.DUMMYFUNCTION("""COMPUTED_VALUE"""),"")</f>
        <v/>
      </c>
      <c r="E149" s="10" t="str">
        <f>IFERROR(__xludf.DUMMYFUNCTION("""COMPUTED_VALUE"""),"")</f>
        <v/>
      </c>
      <c r="F149" s="10" t="str">
        <f>IFERROR(__xludf.DUMMYFUNCTION("""COMPUTED_VALUE"""),"2019/11/06 13:00:00")</f>
        <v>2019/11/06 13:00:00</v>
      </c>
      <c r="G149" s="10" t="str">
        <f>IFERROR(__xludf.DUMMYFUNCTION("""COMPUTED_VALUE"""),"2019/11/06 13:45:00")</f>
        <v>2019/11/06 13:45:00</v>
      </c>
      <c r="H149" s="10" t="str">
        <f>IFERROR(__xludf.DUMMYFUNCTION("""COMPUTED_VALUE"""),"b1eee270-2eba-4cdb-9fce-e15b7bdfe981")</f>
        <v>b1eee270-2eba-4cdb-9fce-e15b7bdfe981</v>
      </c>
      <c r="I149" s="10" t="str">
        <f>IFERROR(__xludf.DUMMYFUNCTION("""COMPUTED_VALUE"""),"b1eee270-2eba-4cdb-9fce-e15b7bdfe981")</f>
        <v>b1eee270-2eba-4cdb-9fce-e15b7bdfe981</v>
      </c>
    </row>
    <row r="150">
      <c r="A150" s="10" t="str">
        <f>IFERROR(__xludf.DUMMYFUNCTION("""COMPUTED_VALUE"""),"PITCH group round 13")</f>
        <v>PITCH group round 13</v>
      </c>
      <c r="B150" s="10" t="str">
        <f>IFERROR(__xludf.DUMMYFUNCTION("""COMPUTED_VALUE"""),"")</f>
        <v/>
      </c>
      <c r="C150" s="10" t="str">
        <f>IFERROR(__xludf.DUMMYFUNCTION("""COMPUTED_VALUE"""),"")</f>
        <v/>
      </c>
      <c r="D150" s="10" t="str">
        <f>IFERROR(__xludf.DUMMYFUNCTION("""COMPUTED_VALUE"""),"Jules Walker
Yamilette Cano
Anthemos Georgiades
Jim Hunter
Melissa Lester
young kwon
Hugo Feiler
Nicolas Hotterbeekx
Piotr Bardadyn
Mateusz Romanów
Rodrigo Moretti
André Flórido
Veena Giridhar Gopal")</f>
        <v>Jules Walker
Yamilette Cano
Anthemos Georgiades
Jim Hunter
Melissa Lester
young kwon
Hugo Feiler
Nicolas Hotterbeekx
Piotr Bardadyn
Mateusz Romanów
Rodrigo Moretti
André Flórido
Veena Giridhar Gopal</v>
      </c>
      <c r="E150" s="10" t="str">
        <f>IFERROR(__xludf.DUMMYFUNCTION("""COMPUTED_VALUE"""),"Jules Walker
Yamilette Cano
Anthemos Georgiades
Jim Hunter
Melissa Lester
young kwon
Hugo Feiler
Nicolas Hotterbeekx
Piotr Bardadyn
Mateusz Romanów
Rodrigo Moretti
André Flórido
Veena Giridhar Gopal")</f>
        <v>Jules Walker
Yamilette Cano
Anthemos Georgiades
Jim Hunter
Melissa Lester
young kwon
Hugo Feiler
Nicolas Hotterbeekx
Piotr Bardadyn
Mateusz Romanów
Rodrigo Moretti
André Flórido
Veena Giridhar Gopal</v>
      </c>
      <c r="F150" s="10" t="str">
        <f>IFERROR(__xludf.DUMMYFUNCTION("""COMPUTED_VALUE"""),"")</f>
        <v/>
      </c>
      <c r="G150" s="10" t="str">
        <f>IFERROR(__xludf.DUMMYFUNCTION("""COMPUTED_VALUE"""),"")</f>
        <v/>
      </c>
      <c r="H150" s="10" t="str">
        <f>IFERROR(__xludf.DUMMYFUNCTION("""COMPUTED_VALUE"""),"3e385ce7-c08f-52a0-b433-472a358f9267")</f>
        <v>3e385ce7-c08f-52a0-b433-472a358f9267</v>
      </c>
      <c r="I150" s="10" t="str">
        <f>IFERROR(__xludf.DUMMYFUNCTION("""COMPUTED_VALUE"""),"3e385ce7-c08f-52a0-b433-472a358f9267")</f>
        <v>3e385ce7-c08f-52a0-b433-472a358f9267</v>
      </c>
    </row>
    <row r="151">
      <c r="A151" s="10" t="str">
        <f>IFERROR(__xludf.DUMMYFUNCTION("""COMPUTED_VALUE"""),"Digital values: The European approach to promote prosperity")</f>
        <v>Digital values: The European approach to promote prosperity</v>
      </c>
      <c r="B151" s="10" t="str">
        <f>IFERROR(__xludf.DUMMYFUNCTION("""COMPUTED_VALUE"""),"The economic ties of trade and cooperation that bind the European continent are now, in spite of the turmoil of the past few years, tighter than ever. In this session we’ll hear from two of Europe’s leading innovators in the realm of public policy discuss"&amp;"ion on how they promote the use of technology to drive economic growth across Europe, all while strengthening values.")</f>
        <v>The economic ties of trade and cooperation that bind the European continent are now, in spite of the turmoil of the past few years, tighter than ever. In this session we’ll hear from two of Europe’s leading innovators in the realm of public policy discussion on how they promote the use of technology to drive economic growth across Europe, all while strengthening values.</v>
      </c>
      <c r="C151" s="10" t="str">
        <f>IFERROR(__xludf.DUMMYFUNCTION("""COMPUTED_VALUE"""),"Future Societies")</f>
        <v>Future Societies</v>
      </c>
      <c r="D151" s="10" t="str">
        <f>IFERROR(__xludf.DUMMYFUNCTION("""COMPUTED_VALUE"""),"Dorothee Bär, George Papandreou and Hadas Gold")</f>
        <v>Dorothee Bär, George Papandreou and Hadas Gold</v>
      </c>
      <c r="E151" s="10" t="str">
        <f>IFERROR(__xludf.DUMMYFUNCTION("""COMPUTED_VALUE"""),"Dorothee Bär,George Papandreou,Hadas Gold")</f>
        <v>Dorothee Bär,George Papandreou,Hadas Gold</v>
      </c>
      <c r="F151" s="10" t="str">
        <f>IFERROR(__xludf.DUMMYFUNCTION("""COMPUTED_VALUE"""),"2019/11/06 13:55:00")</f>
        <v>2019/11/06 13:55:00</v>
      </c>
      <c r="G151" s="10" t="str">
        <f>IFERROR(__xludf.DUMMYFUNCTION("""COMPUTED_VALUE"""),"2019/11/06 14:15:00")</f>
        <v>2019/11/06 14:15:00</v>
      </c>
      <c r="H151" s="10" t="str">
        <f>IFERROR(__xludf.DUMMYFUNCTION("""COMPUTED_VALUE"""),"8dc45218-8b4a-43c8-9e70-87f83930f8f8")</f>
        <v>8dc45218-8b4a-43c8-9e70-87f83930f8f8</v>
      </c>
      <c r="I151" s="10" t="str">
        <f>IFERROR(__xludf.DUMMYFUNCTION("""COMPUTED_VALUE"""),"8dc45218-8b4a-43c8-9e70-87f83930f8f8")</f>
        <v>8dc45218-8b4a-43c8-9e70-87f83930f8f8</v>
      </c>
    </row>
    <row r="152">
      <c r="A152" s="10" t="str">
        <f>IFERROR(__xludf.DUMMYFUNCTION("""COMPUTED_VALUE"""),"Train Station Alcântara-Mar")</f>
        <v>Train Station Alcântara-Mar</v>
      </c>
      <c r="B152" s="10" t="str">
        <f>IFERROR(__xludf.DUMMYFUNCTION("""COMPUTED_VALUE"""),"")</f>
        <v/>
      </c>
      <c r="C152" s="10" t="str">
        <f>IFERROR(__xludf.DUMMYFUNCTION("""COMPUTED_VALUE"""),"Train Station Alcântara-Mar")</f>
        <v>Train Station Alcântara-Mar</v>
      </c>
      <c r="D152" s="10" t="str">
        <f>IFERROR(__xludf.DUMMYFUNCTION("""COMPUTED_VALUE"""),"")</f>
        <v/>
      </c>
      <c r="E152" s="10" t="str">
        <f>IFERROR(__xludf.DUMMYFUNCTION("""COMPUTED_VALUE"""),"")</f>
        <v/>
      </c>
      <c r="F152" s="10" t="str">
        <f>IFERROR(__xludf.DUMMYFUNCTION("""COMPUTED_VALUE"""),"2019/11/06 20:01:00")</f>
        <v>2019/11/06 20:01:00</v>
      </c>
      <c r="G152" s="10" t="str">
        <f>IFERROR(__xludf.DUMMYFUNCTION("""COMPUTED_VALUE"""),"2019/11/07 01:59:00")</f>
        <v>2019/11/07 01:59:00</v>
      </c>
      <c r="H152" s="10" t="str">
        <f>IFERROR(__xludf.DUMMYFUNCTION("""COMPUTED_VALUE"""),"90a8aa9b-d961-436b-9229-0b8a9193e8a7")</f>
        <v>90a8aa9b-d961-436b-9229-0b8a9193e8a7</v>
      </c>
      <c r="I152" s="10" t="str">
        <f>IFERROR(__xludf.DUMMYFUNCTION("""COMPUTED_VALUE"""),"90a8aa9b-d961-436b-9229-0b8a9193e8a7")</f>
        <v>90a8aa9b-d961-436b-9229-0b8a9193e8a7</v>
      </c>
    </row>
    <row r="153">
      <c r="A153" s="10" t="str">
        <f>IFERROR(__xludf.DUMMYFUNCTION("""COMPUTED_VALUE"""),"Delivering to the next level")</f>
        <v>Delivering to the next level</v>
      </c>
      <c r="B153" s="10" t="str">
        <f>IFERROR(__xludf.DUMMYFUNCTION("""COMPUTED_VALUE"""),"With 1,300 locations in over 100 countries, Kuehne + Nagel understand a thing or two about logistics. In this session, we'll learn about how software and data are shaping the logistics service of the future.")</f>
        <v>With 1,300 locations in over 100 countries, Kuehne + Nagel understand a thing or two about logistics. In this session, we'll learn about how software and data are shaping the logistics service of the future.</v>
      </c>
      <c r="C153" s="10" t="str">
        <f>IFERROR(__xludf.DUMMYFUNCTION("""COMPUTED_VALUE"""),"Corporate Innovation Summit")</f>
        <v>Corporate Innovation Summit</v>
      </c>
      <c r="D153" s="10" t="str">
        <f>IFERROR(__xludf.DUMMYFUNCTION("""COMPUTED_VALUE"""),"Martin Kolbe")</f>
        <v>Martin Kolbe</v>
      </c>
      <c r="E153" s="10" t="str">
        <f>IFERROR(__xludf.DUMMYFUNCTION("""COMPUTED_VALUE"""),"Martin Kolbe")</f>
        <v>Martin Kolbe</v>
      </c>
      <c r="F153" s="10" t="str">
        <f>IFERROR(__xludf.DUMMYFUNCTION("""COMPUTED_VALUE"""),"2019/11/06 10:45:00")</f>
        <v>2019/11/06 10:45:00</v>
      </c>
      <c r="G153" s="10" t="str">
        <f>IFERROR(__xludf.DUMMYFUNCTION("""COMPUTED_VALUE"""),"2019/11/06 11:05:00")</f>
        <v>2019/11/06 11:05:00</v>
      </c>
      <c r="H153" s="10" t="str">
        <f>IFERROR(__xludf.DUMMYFUNCTION("""COMPUTED_VALUE"""),"30de7968-f8a8-4392-8a75-a2d96fe1f170")</f>
        <v>30de7968-f8a8-4392-8a75-a2d96fe1f170</v>
      </c>
      <c r="I153" s="10" t="str">
        <f>IFERROR(__xludf.DUMMYFUNCTION("""COMPUTED_VALUE"""),"30de7968-f8a8-4392-8a75-a2d96fe1f170")</f>
        <v>30de7968-f8a8-4392-8a75-a2d96fe1f170</v>
      </c>
    </row>
    <row r="154">
      <c r="A154" s="10" t="str">
        <f>IFERROR(__xludf.DUMMYFUNCTION("""COMPUTED_VALUE"""),"The bull's eye strategy to bootstrap past $2m ARR")</f>
        <v>The bull's eye strategy to bootstrap past $2m ARR</v>
      </c>
      <c r="B154" s="10" t="str">
        <f>IFERROR(__xludf.DUMMYFUNCTION("""COMPUTED_VALUE"""),"Communication spreads in concentric circles, from the core influencers towards the least connected actors. By targeting these core influencers in the ""bullʼs eye"", co-founder and CEO of Chili Piper, Nicolas will discuss how he was able to close the firs"&amp;"t million in revenues himself, bootstrap past $2m and continue doubling year over year.")</f>
        <v>Communication spreads in concentric circles, from the core influencers towards the least connected actors. By targeting these core influencers in the "bullʼs eye", co-founder and CEO of Chili Piper, Nicolas will discuss how he was able to close the first million in revenues himself, bootstrap past $2m and continue doubling year over year.</v>
      </c>
      <c r="C154" s="10" t="str">
        <f>IFERROR(__xludf.DUMMYFUNCTION("""COMPUTED_VALUE"""),"Growth Summit")</f>
        <v>Growth Summit</v>
      </c>
      <c r="D154" s="10" t="str">
        <f>IFERROR(__xludf.DUMMYFUNCTION("""COMPUTED_VALUE"""),"Nicolas Vandenberghe")</f>
        <v>Nicolas Vandenberghe</v>
      </c>
      <c r="E154" s="10" t="str">
        <f>IFERROR(__xludf.DUMMYFUNCTION("""COMPUTED_VALUE"""),"Nicolas Vandenberghe")</f>
        <v>Nicolas Vandenberghe</v>
      </c>
      <c r="F154" s="10" t="str">
        <f>IFERROR(__xludf.DUMMYFUNCTION("""COMPUTED_VALUE"""),"2019/11/05 10:34:00")</f>
        <v>2019/11/05 10:34:00</v>
      </c>
      <c r="G154" s="10" t="str">
        <f>IFERROR(__xludf.DUMMYFUNCTION("""COMPUTED_VALUE"""),"2019/11/05 10:38:00")</f>
        <v>2019/11/05 10:38:00</v>
      </c>
      <c r="H154" s="10" t="str">
        <f>IFERROR(__xludf.DUMMYFUNCTION("""COMPUTED_VALUE"""),"00d9bc29-2697-4e24-9413-6fe06fd96eda")</f>
        <v>00d9bc29-2697-4e24-9413-6fe06fd96eda</v>
      </c>
      <c r="I154" s="10" t="str">
        <f>IFERROR(__xludf.DUMMYFUNCTION("""COMPUTED_VALUE"""),"00d9bc29-2697-4e24-9413-6fe06fd96eda")</f>
        <v>00d9bc29-2697-4e24-9413-6fe06fd96eda</v>
      </c>
    </row>
    <row r="155">
      <c r="A155" s="10" t="str">
        <f>IFERROR(__xludf.DUMMYFUNCTION("""COMPUTED_VALUE"""),"Burn the  maps: Re-inventing navigation... again")</f>
        <v>Burn the  maps: Re-inventing navigation... again</v>
      </c>
      <c r="B155" s="10" t="str">
        <f>IFERROR(__xludf.DUMMYFUNCTION("""COMPUTED_VALUE"""),"Is there anything left to innovate in the field of maps and navigation? What are future directions in the age of electric and autonomous driving? If you're feeling lost, don't worry. We know the way.")</f>
        <v>Is there anything left to innovate in the field of maps and navigation? What are future directions in the age of electric and autonomous driving? If you're feeling lost, don't worry. We know the way.</v>
      </c>
      <c r="C155" s="10" t="str">
        <f>IFERROR(__xludf.DUMMYFUNCTION("""COMPUTED_VALUE"""),"Auto/Tech &amp; TalkRobot")</f>
        <v>Auto/Tech &amp; TalkRobot</v>
      </c>
      <c r="D155" s="10" t="str">
        <f>IFERROR(__xludf.DUMMYFUNCTION("""COMPUTED_VALUE"""),"Risto Vahtra, Gideon van Dijk, Jan Feiling and Steve Ranger")</f>
        <v>Risto Vahtra, Gideon van Dijk, Jan Feiling and Steve Ranger</v>
      </c>
      <c r="E155" s="10" t="str">
        <f>IFERROR(__xludf.DUMMYFUNCTION("""COMPUTED_VALUE"""),"Risto Vahtra,Gideon van Dijk,Jan Feiling,Steve Ranger")</f>
        <v>Risto Vahtra,Gideon van Dijk,Jan Feiling,Steve Ranger</v>
      </c>
      <c r="F155" s="10" t="str">
        <f>IFERROR(__xludf.DUMMYFUNCTION("""COMPUTED_VALUE"""),"2019/11/07 12:55:00")</f>
        <v>2019/11/07 12:55:00</v>
      </c>
      <c r="G155" s="10" t="str">
        <f>IFERROR(__xludf.DUMMYFUNCTION("""COMPUTED_VALUE"""),"2019/11/07 13:15:00")</f>
        <v>2019/11/07 13:15:00</v>
      </c>
      <c r="H155" s="10" t="str">
        <f>IFERROR(__xludf.DUMMYFUNCTION("""COMPUTED_VALUE"""),"8bd1d885-2ccb-4623-80fc-170eab4eb74f")</f>
        <v>8bd1d885-2ccb-4623-80fc-170eab4eb74f</v>
      </c>
      <c r="I155" s="10" t="str">
        <f>IFERROR(__xludf.DUMMYFUNCTION("""COMPUTED_VALUE"""),"8bd1d885-2ccb-4623-80fc-170eab4eb74f")</f>
        <v>8bd1d885-2ccb-4623-80fc-170eab4eb74f</v>
      </c>
    </row>
    <row r="156">
      <c r="A156" s="10" t="str">
        <f>IFERROR(__xludf.DUMMYFUNCTION("""COMPUTED_VALUE"""),"Taxi drop off")</f>
        <v>Taxi drop off</v>
      </c>
      <c r="B156" s="10" t="str">
        <f>IFERROR(__xludf.DUMMYFUNCTION("""COMPUTED_VALUE"""),"")</f>
        <v/>
      </c>
      <c r="C156" s="10" t="str">
        <f>IFERROR(__xludf.DUMMYFUNCTION("""COMPUTED_VALUE"""),"Taxi drop off - Night Summit - Nov 5")</f>
        <v>Taxi drop off - Night Summit - Nov 5</v>
      </c>
      <c r="D156" s="10" t="str">
        <f>IFERROR(__xludf.DUMMYFUNCTION("""COMPUTED_VALUE"""),"")</f>
        <v/>
      </c>
      <c r="E156" s="10" t="str">
        <f>IFERROR(__xludf.DUMMYFUNCTION("""COMPUTED_VALUE"""),"")</f>
        <v/>
      </c>
      <c r="F156" s="10" t="str">
        <f>IFERROR(__xludf.DUMMYFUNCTION("""COMPUTED_VALUE"""),"2019/11/05 20:01:00")</f>
        <v>2019/11/05 20:01:00</v>
      </c>
      <c r="G156" s="10" t="str">
        <f>IFERROR(__xludf.DUMMYFUNCTION("""COMPUTED_VALUE"""),"2019/11/05 23:59:00")</f>
        <v>2019/11/05 23:59:00</v>
      </c>
      <c r="H156" s="10" t="str">
        <f>IFERROR(__xludf.DUMMYFUNCTION("""COMPUTED_VALUE"""),"b5b8f70c-79df-4dda-9671-775de039d686")</f>
        <v>b5b8f70c-79df-4dda-9671-775de039d686</v>
      </c>
      <c r="I156" s="10" t="str">
        <f>IFERROR(__xludf.DUMMYFUNCTION("""COMPUTED_VALUE"""),"b5b8f70c-79df-4dda-9671-775de039d686")</f>
        <v>b5b8f70c-79df-4dda-9671-775de039d686</v>
      </c>
    </row>
    <row r="157">
      <c r="A157" s="10" t="str">
        <f>IFERROR(__xludf.DUMMYFUNCTION("""COMPUTED_VALUE"""),"How do investors look at mobility?")</f>
        <v>How do investors look at mobility?</v>
      </c>
      <c r="B157" s="10" t="str">
        <f>IFERROR(__xludf.DUMMYFUNCTION("""COMPUTED_VALUE"""),"Where are investors putting their money in mobility over the next five years?")</f>
        <v>Where are investors putting their money in mobility over the next five years?</v>
      </c>
      <c r="C157" s="10" t="str">
        <f>IFERROR(__xludf.DUMMYFUNCTION("""COMPUTED_VALUE"""),"Auto/Tech &amp; TalkRobot")</f>
        <v>Auto/Tech &amp; TalkRobot</v>
      </c>
      <c r="D157" s="10" t="str">
        <f>IFERROR(__xludf.DUMMYFUNCTION("""COMPUTED_VALUE"""),"Philipp von Hagen, Olaf Sakkers and Kimberly Weisul")</f>
        <v>Philipp von Hagen, Olaf Sakkers and Kimberly Weisul</v>
      </c>
      <c r="E157" s="10" t="str">
        <f>IFERROR(__xludf.DUMMYFUNCTION("""COMPUTED_VALUE"""),"Philipp von Hagen,Olaf Sakkers,Kimberly Weisul")</f>
        <v>Philipp von Hagen,Olaf Sakkers,Kimberly Weisul</v>
      </c>
      <c r="F157" s="10" t="str">
        <f>IFERROR(__xludf.DUMMYFUNCTION("""COMPUTED_VALUE"""),"2019/11/06 14:20:00")</f>
        <v>2019/11/06 14:20:00</v>
      </c>
      <c r="G157" s="10" t="str">
        <f>IFERROR(__xludf.DUMMYFUNCTION("""COMPUTED_VALUE"""),"2019/11/06 14:40:00")</f>
        <v>2019/11/06 14:40:00</v>
      </c>
      <c r="H157" s="10" t="str">
        <f>IFERROR(__xludf.DUMMYFUNCTION("""COMPUTED_VALUE"""),"a38698a7-a96b-48c2-baef-5bae369c2ef3")</f>
        <v>a38698a7-a96b-48c2-baef-5bae369c2ef3</v>
      </c>
      <c r="I157" s="10" t="str">
        <f>IFERROR(__xludf.DUMMYFUNCTION("""COMPUTED_VALUE"""),"a38698a7-a96b-48c2-baef-5bae369c2ef3")</f>
        <v>a38698a7-a96b-48c2-baef-5bae369c2ef3</v>
      </c>
    </row>
    <row r="158">
      <c r="A158" s="10" t="str">
        <f>IFERROR(__xludf.DUMMYFUNCTION("""COMPUTED_VALUE"""),"Meet the next generation of fintech unicorns")</f>
        <v>Meet the next generation of fintech unicorns</v>
      </c>
      <c r="B158" s="10" t="str">
        <f>IFERROR(__xludf.DUMMYFUNCTION("""COMPUTED_VALUE"""),"What happens when you bring together the founders of three of the most valuable fintechs in the world? We’re about to find out. We've gathered three trailblazing, news-making pioneers from global fintechs, who will be joining us in conversation about what"&amp;" it means to be a unicorn.")</f>
        <v>What happens when you bring together the founders of three of the most valuable fintechs in the world? We’re about to find out. We've gathered three trailblazing, news-making pioneers from global fintechs, who will be joining us in conversation about what it means to be a unicorn.</v>
      </c>
      <c r="C158" s="10" t="str">
        <f>IFERROR(__xludf.DUMMYFUNCTION("""COMPUTED_VALUE"""),"MoneyConf")</f>
        <v>MoneyConf</v>
      </c>
      <c r="D158" s="10" t="str">
        <f>IFERROR(__xludf.DUMMYFUNCTION("""COMPUTED_VALUE"""),"Sunil Chandra, Lucy Liu, Tim Sievers and John Detrixhe")</f>
        <v>Sunil Chandra, Lucy Liu, Tim Sievers and John Detrixhe</v>
      </c>
      <c r="E158" s="10" t="str">
        <f>IFERROR(__xludf.DUMMYFUNCTION("""COMPUTED_VALUE"""),"Sunil Chandra,Lucy Liu,Tim Sievers,John Detrixhe")</f>
        <v>Sunil Chandra,Lucy Liu,Tim Sievers,John Detrixhe</v>
      </c>
      <c r="F158" s="10" t="str">
        <f>IFERROR(__xludf.DUMMYFUNCTION("""COMPUTED_VALUE"""),"2019/11/06 12:35:00")</f>
        <v>2019/11/06 12:35:00</v>
      </c>
      <c r="G158" s="10" t="str">
        <f>IFERROR(__xludf.DUMMYFUNCTION("""COMPUTED_VALUE"""),"2019/11/06 13:00:00")</f>
        <v>2019/11/06 13:00:00</v>
      </c>
      <c r="H158" s="10" t="str">
        <f>IFERROR(__xludf.DUMMYFUNCTION("""COMPUTED_VALUE"""),"6f68d430-2e86-420a-bd3b-12ff3db1e16b")</f>
        <v>6f68d430-2e86-420a-bd3b-12ff3db1e16b</v>
      </c>
      <c r="I158" s="10" t="str">
        <f>IFERROR(__xludf.DUMMYFUNCTION("""COMPUTED_VALUE"""),"6f68d430-2e86-420a-bd3b-12ff3db1e16b")</f>
        <v>6f68d430-2e86-420a-bd3b-12ff3db1e16b</v>
      </c>
    </row>
    <row r="159">
      <c r="A159" s="10" t="str">
        <f>IFERROR(__xludf.DUMMYFUNCTION("""COMPUTED_VALUE"""),"Can technology revitalise democracy?")</f>
        <v>Can technology revitalise democracy?</v>
      </c>
      <c r="B159" s="10" t="str">
        <f>IFERROR(__xludf.DUMMYFUNCTION("""COMPUTED_VALUE"""),"Although digital technology and in particular social media is often seen as a driver of the current crisis of liberal democracy, it may also be part of the solution. Around the world, citizens have used digital technology to experiment with new forms of c"&amp;"ommunication and mobilization and parties and governments have used digital technology to involve citizens.")</f>
        <v>Although digital technology and in particular social media is often seen as a driver of the current crisis of liberal democracy, it may also be part of the solution. Around the world, citizens have used digital technology to experiment with new forms of communication and mobilization and parties and governments have used digital technology to involve citizens.</v>
      </c>
      <c r="C159" s="10" t="str">
        <f>IFERROR(__xludf.DUMMYFUNCTION("""COMPUTED_VALUE"""),"Future Societies")</f>
        <v>Future Societies</v>
      </c>
      <c r="D159" s="10" t="str">
        <f>IFERROR(__xludf.DUMMYFUNCTION("""COMPUTED_VALUE"""),"Sheila Nix, Ayman Hariri, Carlos Moedas and Hans Kundnani")</f>
        <v>Sheila Nix, Ayman Hariri, Carlos Moedas and Hans Kundnani</v>
      </c>
      <c r="E159" s="10" t="str">
        <f>IFERROR(__xludf.DUMMYFUNCTION("""COMPUTED_VALUE"""),"Sheila Nix,Ayman Hariri,Carlos Moedas,Hans Kundnani")</f>
        <v>Sheila Nix,Ayman Hariri,Carlos Moedas,Hans Kundnani</v>
      </c>
      <c r="F159" s="10" t="str">
        <f>IFERROR(__xludf.DUMMYFUNCTION("""COMPUTED_VALUE"""),"2019/11/07 14:00:00")</f>
        <v>2019/11/07 14:00:00</v>
      </c>
      <c r="G159" s="10" t="str">
        <f>IFERROR(__xludf.DUMMYFUNCTION("""COMPUTED_VALUE"""),"2019/11/07 14:20:00")</f>
        <v>2019/11/07 14:20:00</v>
      </c>
      <c r="H159" s="10" t="str">
        <f>IFERROR(__xludf.DUMMYFUNCTION("""COMPUTED_VALUE"""),"5278877b-bb2b-411a-ab6a-1134cbe228a4")</f>
        <v>5278877b-bb2b-411a-ab6a-1134cbe228a4</v>
      </c>
      <c r="I159" s="10" t="str">
        <f>IFERROR(__xludf.DUMMYFUNCTION("""COMPUTED_VALUE"""),"5278877b-bb2b-411a-ab6a-1134cbe228a4")</f>
        <v>5278877b-bb2b-411a-ab6a-1134cbe228a4</v>
      </c>
    </row>
    <row r="160">
      <c r="A160" s="10" t="str">
        <f>IFERROR(__xludf.DUMMYFUNCTION("""COMPUTED_VALUE"""),"GoCardless and Transferwise: A new shared vision for recurring payments")</f>
        <v>GoCardless and Transferwise: A new shared vision for recurring payments</v>
      </c>
      <c r="B160" s="10" t="str">
        <f>IFERROR(__xludf.DUMMYFUNCTION("""COMPUTED_VALUE"""),"")</f>
        <v/>
      </c>
      <c r="C160" s="10" t="str">
        <f>IFERROR(__xludf.DUMMYFUNCTION("""COMPUTED_VALUE"""),"")</f>
        <v/>
      </c>
      <c r="D160" s="10" t="str">
        <f>IFERROR(__xludf.DUMMYFUNCTION("""COMPUTED_VALUE"""),"Taavet Hinrikus and  Hiroki Takeuchi
")</f>
        <v>Taavet Hinrikus and  Hiroki Takeuchi
</v>
      </c>
      <c r="E160" s="10" t="str">
        <f>IFERROR(__xludf.DUMMYFUNCTION("""COMPUTED_VALUE"""),"Taavet Hinrikus, Hiroki Takeuchi
")</f>
        <v>Taavet Hinrikus, Hiroki Takeuchi
</v>
      </c>
      <c r="F160" s="10" t="str">
        <f>IFERROR(__xludf.DUMMYFUNCTION("""COMPUTED_VALUE"""),"")</f>
        <v/>
      </c>
      <c r="G160" s="10" t="str">
        <f>IFERROR(__xludf.DUMMYFUNCTION("""COMPUTED_VALUE"""),"")</f>
        <v/>
      </c>
      <c r="H160" s="10" t="str">
        <f>IFERROR(__xludf.DUMMYFUNCTION("""COMPUTED_VALUE"""),"2c284f7d-1dd7-5126-8bcc-0db3e96a68a4")</f>
        <v>2c284f7d-1dd7-5126-8bcc-0db3e96a68a4</v>
      </c>
      <c r="I160" s="10" t="str">
        <f>IFERROR(__xludf.DUMMYFUNCTION("""COMPUTED_VALUE"""),"2c284f7d-1dd7-5126-8bcc-0db3e96a68a4")</f>
        <v>2c284f7d-1dd7-5126-8bcc-0db3e96a68a4</v>
      </c>
    </row>
    <row r="161">
      <c r="A161" s="10" t="str">
        <f>IFERROR(__xludf.DUMMYFUNCTION("""COMPUTED_VALUE"""),"Artificial intelligence: What every business leader should know, hosted by IESE Business School")</f>
        <v>Artificial intelligence: What every business leader should know, hosted by IESE Business School</v>
      </c>
      <c r="B161" s="10" t="str">
        <f>IFERROR(__xludf.DUMMYFUNCTION("""COMPUTED_VALUE"""),"Most companies are accessing artificial intelligence (AI) tools, but they are unsure of how it will transform their business model. IESE Prof. Javier Zamora will discuss how to understand AI from a strategic point of view and select and optimise these too"&amp;"ls to create new value propositions.")</f>
        <v>Most companies are accessing artificial intelligence (AI) tools, but they are unsure of how it will transform their business model. IESE Prof. Javier Zamora will discuss how to understand AI from a strategic point of view and select and optimise these tools to create new value propositions.</v>
      </c>
      <c r="C161" s="10" t="str">
        <f>IFERROR(__xludf.DUMMYFUNCTION("""COMPUTED_VALUE"""),"Workshop 1")</f>
        <v>Workshop 1</v>
      </c>
      <c r="D161" s="10" t="str">
        <f>IFERROR(__xludf.DUMMYFUNCTION("""COMPUTED_VALUE"""),"Javier Zamora")</f>
        <v>Javier Zamora</v>
      </c>
      <c r="E161" s="10" t="str">
        <f>IFERROR(__xludf.DUMMYFUNCTION("""COMPUTED_VALUE"""),"Javier Zamora")</f>
        <v>Javier Zamora</v>
      </c>
      <c r="F161" s="10" t="str">
        <f>IFERROR(__xludf.DUMMYFUNCTION("""COMPUTED_VALUE"""),"2019/11/06 14:30:00")</f>
        <v>2019/11/06 14:30:00</v>
      </c>
      <c r="G161" s="10" t="str">
        <f>IFERROR(__xludf.DUMMYFUNCTION("""COMPUTED_VALUE"""),"2019/11/06 15:30:00")</f>
        <v>2019/11/06 15:30:00</v>
      </c>
      <c r="H161" s="10" t="str">
        <f>IFERROR(__xludf.DUMMYFUNCTION("""COMPUTED_VALUE"""),"d3be623f-5fa8-4315-b11f-7460cfa94501")</f>
        <v>d3be623f-5fa8-4315-b11f-7460cfa94501</v>
      </c>
      <c r="I161" s="10" t="str">
        <f>IFERROR(__xludf.DUMMYFUNCTION("""COMPUTED_VALUE"""),"d3be623f-5fa8-4315-b11f-7460cfa94501")</f>
        <v>d3be623f-5fa8-4315-b11f-7460cfa94501</v>
      </c>
    </row>
    <row r="162">
      <c r="A162" s="10" t="str">
        <f>IFERROR(__xludf.DUMMYFUNCTION("""COMPUTED_VALUE"""),"Wladimir Klitschko: From boxing champion to challenge master ")</f>
        <v>Wladimir Klitschko: From boxing champion to challenge master </v>
      </c>
      <c r="B162" s="10" t="str">
        <f>IFERROR(__xludf.DUMMYFUNCTION("""COMPUTED_VALUE"""),"Wladimir Klitschko holds the record for the longest cumulative heavyweight title reign. In this session, he explains his love of a challenge and his success principles both inside and outside the ring, which still serve him today. 
")</f>
        <v>Wladimir Klitschko holds the record for the longest cumulative heavyweight title reign. In this session, he explains his love of a challenge and his success principles both inside and outside the ring, which still serve him today. 
</v>
      </c>
      <c r="C162" s="10" t="str">
        <f>IFERROR(__xludf.DUMMYFUNCTION("""COMPUTED_VALUE"""),"SportsTrade")</f>
        <v>SportsTrade</v>
      </c>
      <c r="D162" s="10" t="str">
        <f>IFERROR(__xludf.DUMMYFUNCTION("""COMPUTED_VALUE"""),"Wladimir Klitschko and Sachin Nakrani")</f>
        <v>Wladimir Klitschko and Sachin Nakrani</v>
      </c>
      <c r="E162" s="10" t="str">
        <f>IFERROR(__xludf.DUMMYFUNCTION("""COMPUTED_VALUE"""),"Wladimir Klitschko,Sachin Nakrani")</f>
        <v>Wladimir Klitschko,Sachin Nakrani</v>
      </c>
      <c r="F162" s="10" t="str">
        <f>IFERROR(__xludf.DUMMYFUNCTION("""COMPUTED_VALUE"""),"2019/11/05 10:50:00")</f>
        <v>2019/11/05 10:50:00</v>
      </c>
      <c r="G162" s="10" t="str">
        <f>IFERROR(__xludf.DUMMYFUNCTION("""COMPUTED_VALUE"""),"2019/11/05 11:05:00")</f>
        <v>2019/11/05 11:05:00</v>
      </c>
      <c r="H162" s="10" t="str">
        <f>IFERROR(__xludf.DUMMYFUNCTION("""COMPUTED_VALUE"""),"d8cb4530-6628-447a-b84e-d57bff0d3af2")</f>
        <v>d8cb4530-6628-447a-b84e-d57bff0d3af2</v>
      </c>
      <c r="I162" s="10" t="str">
        <f>IFERROR(__xludf.DUMMYFUNCTION("""COMPUTED_VALUE"""),"d8cb4530-6628-447a-b84e-d57bff0d3af2")</f>
        <v>d8cb4530-6628-447a-b84e-d57bff0d3af2</v>
      </c>
    </row>
    <row r="163">
      <c r="A163" s="10" t="str">
        <f>IFERROR(__xludf.DUMMYFUNCTION("""COMPUTED_VALUE"""),"Building a global ecosystem")</f>
        <v>Building a global ecosystem</v>
      </c>
      <c r="B163" s="10" t="str">
        <f>IFERROR(__xludf.DUMMYFUNCTION("""COMPUTED_VALUE"""),"Join Sebastien, CEO of KaiOS Technologies, as he shares the plans for his company which powers a global ecosystem of affordable digital products and services. In this keynote, you’ll learn about how a new entrant in an established market becomes the world"&amp;"’s third-largest mobile operating system.")</f>
        <v>Join Sebastien, CEO of KaiOS Technologies, as he shares the plans for his company which powers a global ecosystem of affordable digital products and services. In this keynote, you’ll learn about how a new entrant in an established market becomes the world’s third-largest mobile operating system.</v>
      </c>
      <c r="C163" s="10" t="str">
        <f>IFERROR(__xludf.DUMMYFUNCTION("""COMPUTED_VALUE"""),"Growth Summit")</f>
        <v>Growth Summit</v>
      </c>
      <c r="D163" s="10" t="str">
        <f>IFERROR(__xludf.DUMMYFUNCTION("""COMPUTED_VALUE"""),"Sebastien Codeville")</f>
        <v>Sebastien Codeville</v>
      </c>
      <c r="E163" s="10" t="str">
        <f>IFERROR(__xludf.DUMMYFUNCTION("""COMPUTED_VALUE"""),"Sebastien Codeville")</f>
        <v>Sebastien Codeville</v>
      </c>
      <c r="F163" s="10" t="str">
        <f>IFERROR(__xludf.DUMMYFUNCTION("""COMPUTED_VALUE"""),"2019/11/07 13:14:00")</f>
        <v>2019/11/07 13:14:00</v>
      </c>
      <c r="G163" s="10" t="str">
        <f>IFERROR(__xludf.DUMMYFUNCTION("""COMPUTED_VALUE"""),"2019/11/07 13:25:00")</f>
        <v>2019/11/07 13:25:00</v>
      </c>
      <c r="H163" s="10" t="str">
        <f>IFERROR(__xludf.DUMMYFUNCTION("""COMPUTED_VALUE"""),"bb3601e0-eeae-4d54-a99e-a93b6a3d345d")</f>
        <v>bb3601e0-eeae-4d54-a99e-a93b6a3d345d</v>
      </c>
      <c r="I163" s="10" t="str">
        <f>IFERROR(__xludf.DUMMYFUNCTION("""COMPUTED_VALUE"""),"bb3601e0-eeae-4d54-a99e-a93b6a3d345d")</f>
        <v>bb3601e0-eeae-4d54-a99e-a93b6a3d345d</v>
      </c>
    </row>
    <row r="164">
      <c r="A164" s="10" t="str">
        <f>IFERROR(__xludf.DUMMYFUNCTION("""COMPUTED_VALUE"""),"Why 5G will change everything")</f>
        <v>Why 5G will change everything</v>
      </c>
      <c r="B164" s="10" t="str">
        <f>IFERROR(__xludf.DUMMYFUNCTION("""COMPUTED_VALUE"""),"Whilst most innovations thus far have catered to consumers, the 5G phase of the mobile internet will be driven by industry. Join Marcus, CTO of Nokia, to learn how 5G networks will affect the industrial space, as well as society.")</f>
        <v>Whilst most innovations thus far have catered to consumers, the 5G phase of the mobile internet will be driven by industry. Join Marcus, CTO of Nokia, to learn how 5G networks will affect the industrial space, as well as society.</v>
      </c>
      <c r="C164" s="10" t="str">
        <f>IFERROR(__xludf.DUMMYFUNCTION("""COMPUTED_VALUE"""),"Corporate Innovation Summit")</f>
        <v>Corporate Innovation Summit</v>
      </c>
      <c r="D164" s="10" t="str">
        <f>IFERROR(__xludf.DUMMYFUNCTION("""COMPUTED_VALUE"""),"Marcus Weldon and Jonathan Weber")</f>
        <v>Marcus Weldon and Jonathan Weber</v>
      </c>
      <c r="E164" s="10" t="str">
        <f>IFERROR(__xludf.DUMMYFUNCTION("""COMPUTED_VALUE"""),"Marcus Weldon,Jonathan Weber")</f>
        <v>Marcus Weldon,Jonathan Weber</v>
      </c>
      <c r="F164" s="10" t="str">
        <f>IFERROR(__xludf.DUMMYFUNCTION("""COMPUTED_VALUE"""),"2019/11/06 12:40:00")</f>
        <v>2019/11/06 12:40:00</v>
      </c>
      <c r="G164" s="10" t="str">
        <f>IFERROR(__xludf.DUMMYFUNCTION("""COMPUTED_VALUE"""),"2019/11/06 13:00:00")</f>
        <v>2019/11/06 13:00:00</v>
      </c>
      <c r="H164" s="10" t="str">
        <f>IFERROR(__xludf.DUMMYFUNCTION("""COMPUTED_VALUE"""),"e3731954-0333-42a2-881e-44b3ce1c97d4")</f>
        <v>e3731954-0333-42a2-881e-44b3ce1c97d4</v>
      </c>
      <c r="I164" s="10" t="str">
        <f>IFERROR(__xludf.DUMMYFUNCTION("""COMPUTED_VALUE"""),"e3731954-0333-42a2-881e-44b3ce1c97d4")</f>
        <v>e3731954-0333-42a2-881e-44b3ce1c97d4</v>
      </c>
    </row>
    <row r="165">
      <c r="A165" s="10" t="str">
        <f>IFERROR(__xludf.DUMMYFUNCTION("""COMPUTED_VALUE"""),"PITCH group round 15")</f>
        <v>PITCH group round 15</v>
      </c>
      <c r="B165" s="10" t="str">
        <f>IFERROR(__xludf.DUMMYFUNCTION("""COMPUTED_VALUE"""),"")</f>
        <v/>
      </c>
      <c r="C165" s="10" t="str">
        <f>IFERROR(__xludf.DUMMYFUNCTION("""COMPUTED_VALUE"""),"")</f>
        <v/>
      </c>
      <c r="D165" s="10" t="str">
        <f>IFERROR(__xludf.DUMMYFUNCTION("""COMPUTED_VALUE"""),"Roham Gharegozlo,  Marin Cauvas,  Freddie Evans,  Saba Karim,  Eduardo Lemos,  Ivan Alaiz,  João Lopes,  Artur Fjodorov,  Marian Glaeser,  Alex cordero,  Stone Atwine,  IVAN SHTANKO and  Hirbod Bigvand
")</f>
        <v>Roham Gharegozlo,  Marin Cauvas,  Freddie Evans,  Saba Karim,  Eduardo Lemos,  Ivan Alaiz,  João Lopes,  Artur Fjodorov,  Marian Glaeser,  Alex cordero,  Stone Atwine,  IVAN SHTANKO and  Hirbod Bigvand
</v>
      </c>
      <c r="E165" s="10" t="str">
        <f>IFERROR(__xludf.DUMMYFUNCTION("""COMPUTED_VALUE"""),"Roham Gharegozlo, Marin Cauvas, Freddie Evans, Saba Karim, Eduardo Lemos, Ivan Alaiz, João Lopes, Artur Fjodorov, Marian Glaeser, Alex cordero, Stone Atwine, IVAN SHTANKO, Hirbod Bigvand
")</f>
        <v>Roham Gharegozlo, Marin Cauvas, Freddie Evans, Saba Karim, Eduardo Lemos, Ivan Alaiz, João Lopes, Artur Fjodorov, Marian Glaeser, Alex cordero, Stone Atwine, IVAN SHTANKO, Hirbod Bigvand
</v>
      </c>
      <c r="F165" s="10" t="str">
        <f>IFERROR(__xludf.DUMMYFUNCTION("""COMPUTED_VALUE"""),"")</f>
        <v/>
      </c>
      <c r="G165" s="10" t="str">
        <f>IFERROR(__xludf.DUMMYFUNCTION("""COMPUTED_VALUE"""),"")</f>
        <v/>
      </c>
      <c r="H165" s="10" t="str">
        <f>IFERROR(__xludf.DUMMYFUNCTION("""COMPUTED_VALUE"""),"95855248-5baf-54cb-87de-c2e70ce8eb9c")</f>
        <v>95855248-5baf-54cb-87de-c2e70ce8eb9c</v>
      </c>
      <c r="I165" s="10" t="str">
        <f>IFERROR(__xludf.DUMMYFUNCTION("""COMPUTED_VALUE"""),"95855248-5baf-54cb-87de-c2e70ce8eb9c")</f>
        <v>95855248-5baf-54cb-87de-c2e70ce8eb9c</v>
      </c>
    </row>
    <row r="166">
      <c r="A166" s="10" t="str">
        <f>IFERROR(__xludf.DUMMYFUNCTION("""COMPUTED_VALUE"""),"Opening Remarks: The world is broken: Four founders who solved problems in their own office with SaaS")</f>
        <v>Opening Remarks: The world is broken: Four founders who solved problems in their own office with SaaS</v>
      </c>
      <c r="B166" s="10" t="str">
        <f>IFERROR(__xludf.DUMMYFUNCTION("""COMPUTED_VALUE"""),"Solving these initial problems led to the discovery of bigger and better problems, and very lucrative businesses.")</f>
        <v>Solving these initial problems led to the discovery of bigger and better problems, and very lucrative businesses.</v>
      </c>
      <c r="C166" s="10" t="str">
        <f>IFERROR(__xludf.DUMMYFUNCTION("""COMPUTED_VALUE"""),"SaaS Monster")</f>
        <v>SaaS Monster</v>
      </c>
      <c r="D166" s="10" t="str">
        <f>IFERROR(__xludf.DUMMYFUNCTION("""COMPUTED_VALUE"""),"Stephen Cummins")</f>
        <v>Stephen Cummins</v>
      </c>
      <c r="E166" s="10" t="str">
        <f>IFERROR(__xludf.DUMMYFUNCTION("""COMPUTED_VALUE"""),"Stephen Cummins")</f>
        <v>Stephen Cummins</v>
      </c>
      <c r="F166" s="10" t="str">
        <f>IFERROR(__xludf.DUMMYFUNCTION("""COMPUTED_VALUE"""),"2019/11/06 10:45:00")</f>
        <v>2019/11/06 10:45:00</v>
      </c>
      <c r="G166" s="10" t="str">
        <f>IFERROR(__xludf.DUMMYFUNCTION("""COMPUTED_VALUE"""),"2019/11/06 11:00:00")</f>
        <v>2019/11/06 11:00:00</v>
      </c>
      <c r="H166" s="10" t="str">
        <f>IFERROR(__xludf.DUMMYFUNCTION("""COMPUTED_VALUE"""),"72860cf5-c69d-4def-823c-b25c9fb6cf49")</f>
        <v>72860cf5-c69d-4def-823c-b25c9fb6cf49</v>
      </c>
      <c r="I166" s="10" t="str">
        <f>IFERROR(__xludf.DUMMYFUNCTION("""COMPUTED_VALUE"""),"72860cf5-c69d-4def-823c-b25c9fb6cf49")</f>
        <v>72860cf5-c69d-4def-823c-b25c9fb6cf49</v>
      </c>
    </row>
    <row r="167">
      <c r="A167" s="10" t="str">
        <f>IFERROR(__xludf.DUMMYFUNCTION("""COMPUTED_VALUE"""),"Bradley Twohig of Lightspeed in conversation")</f>
        <v>Bradley Twohig of Lightspeed in conversation</v>
      </c>
      <c r="B167" s="10" t="str">
        <f>IFERROR(__xludf.DUMMYFUNCTION("""COMPUTED_VALUE"""),"One of the first Snapchat investors shares his thoughts on current funding trends in the US and Europe.")</f>
        <v>One of the first Snapchat investors shares his thoughts on current funding trends in the US and Europe.</v>
      </c>
      <c r="C167" s="10" t="str">
        <f>IFERROR(__xludf.DUMMYFUNCTION("""COMPUTED_VALUE"""),"Venture stage")</f>
        <v>Venture stage</v>
      </c>
      <c r="D167" s="10" t="str">
        <f>IFERROR(__xludf.DUMMYFUNCTION("""COMPUTED_VALUE"""),"Bradley Twohig and Frank Caufield")</f>
        <v>Bradley Twohig and Frank Caufield</v>
      </c>
      <c r="E167" s="10" t="str">
        <f>IFERROR(__xludf.DUMMYFUNCTION("""COMPUTED_VALUE"""),"Bradley Twohig,Frank Caufield")</f>
        <v>Bradley Twohig,Frank Caufield</v>
      </c>
      <c r="F167" s="10" t="str">
        <f>IFERROR(__xludf.DUMMYFUNCTION("""COMPUTED_VALUE"""),"2019/11/06 14:05:00")</f>
        <v>2019/11/06 14:05:00</v>
      </c>
      <c r="G167" s="10" t="str">
        <f>IFERROR(__xludf.DUMMYFUNCTION("""COMPUTED_VALUE"""),"2019/11/06 14:25:00")</f>
        <v>2019/11/06 14:25:00</v>
      </c>
      <c r="H167" s="10" t="str">
        <f>IFERROR(__xludf.DUMMYFUNCTION("""COMPUTED_VALUE"""),"0d7726a8-82d4-454b-91d9-bcdd50bc23f5")</f>
        <v>0d7726a8-82d4-454b-91d9-bcdd50bc23f5</v>
      </c>
      <c r="I167" s="10" t="str">
        <f>IFERROR(__xludf.DUMMYFUNCTION("""COMPUTED_VALUE"""),"0d7726a8-82d4-454b-91d9-bcdd50bc23f5")</f>
        <v>0d7726a8-82d4-454b-91d9-bcdd50bc23f5</v>
      </c>
    </row>
    <row r="168">
      <c r="A168" s="10" t="str">
        <f>IFERROR(__xludf.DUMMYFUNCTION("""COMPUTED_VALUE"""),"Opening remarks")</f>
        <v>Opening remarks</v>
      </c>
      <c r="B168" s="10" t="str">
        <f>IFERROR(__xludf.DUMMYFUNCTION("""COMPUTED_VALUE"""),"Welcome to Corporate Innovation Summit, where we unfold the secrets of the worlds largest firms.")</f>
        <v>Welcome to Corporate Innovation Summit, where we unfold the secrets of the worlds largest firms.</v>
      </c>
      <c r="C168" s="10" t="str">
        <f>IFERROR(__xludf.DUMMYFUNCTION("""COMPUTED_VALUE"""),"Corporate Innovation Summit")</f>
        <v>Corporate Innovation Summit</v>
      </c>
      <c r="D168" s="10" t="str">
        <f>IFERROR(__xludf.DUMMYFUNCTION("""COMPUTED_VALUE"""),"Diogo Sousa")</f>
        <v>Diogo Sousa</v>
      </c>
      <c r="E168" s="10" t="str">
        <f>IFERROR(__xludf.DUMMYFUNCTION("""COMPUTED_VALUE"""),"Diogo Sousa")</f>
        <v>Diogo Sousa</v>
      </c>
      <c r="F168" s="10" t="str">
        <f>IFERROR(__xludf.DUMMYFUNCTION("""COMPUTED_VALUE"""),"2019/11/06 10:15:00")</f>
        <v>2019/11/06 10:15:00</v>
      </c>
      <c r="G168" s="10" t="str">
        <f>IFERROR(__xludf.DUMMYFUNCTION("""COMPUTED_VALUE"""),"2019/11/06 10:30:00")</f>
        <v>2019/11/06 10:30:00</v>
      </c>
      <c r="H168" s="10" t="str">
        <f>IFERROR(__xludf.DUMMYFUNCTION("""COMPUTED_VALUE"""),"145259d2-ccb5-41ce-9ab9-b98883051820")</f>
        <v>145259d2-ccb5-41ce-9ab9-b98883051820</v>
      </c>
      <c r="I168" s="10" t="str">
        <f>IFERROR(__xludf.DUMMYFUNCTION("""COMPUTED_VALUE"""),"145259d2-ccb5-41ce-9ab9-b98883051820")</f>
        <v>145259d2-ccb5-41ce-9ab9-b98883051820</v>
      </c>
    </row>
    <row r="169">
      <c r="A169" s="10" t="str">
        <f>IFERROR(__xludf.DUMMYFUNCTION("""COMPUTED_VALUE"""),"What makes TikTok tick?  Inside the world's top app ")</f>
        <v>What makes TikTok tick?  Inside the world's top app </v>
      </c>
      <c r="B169" s="10" t="str">
        <f>IFERROR(__xludf.DUMMYFUNCTION("""COMPUTED_VALUE"""),"TikTok mania is upon us, and we will never be the same again. The phenomenon is only getting bigger:  How well do you know the world's most weird and wonderful app?")</f>
        <v>TikTok mania is upon us, and we will never be the same again. The phenomenon is only getting bigger:  How well do you know the world's most weird and wonderful app?</v>
      </c>
      <c r="C169" s="10" t="str">
        <f>IFERROR(__xludf.DUMMYFUNCTION("""COMPUTED_VALUE"""),"Startup University")</f>
        <v>Startup University</v>
      </c>
      <c r="D169" s="10" t="str">
        <f>IFERROR(__xludf.DUMMYFUNCTION("""COMPUTED_VALUE"""),"Hannah Snow, Dylan Collins and Natalie Monbiot")</f>
        <v>Hannah Snow, Dylan Collins and Natalie Monbiot</v>
      </c>
      <c r="E169" s="10" t="str">
        <f>IFERROR(__xludf.DUMMYFUNCTION("""COMPUTED_VALUE"""),"Hannah Snow,Dylan Collins,Natalie Monbiot")</f>
        <v>Hannah Snow,Dylan Collins,Natalie Monbiot</v>
      </c>
      <c r="F169" s="10" t="str">
        <f>IFERROR(__xludf.DUMMYFUNCTION("""COMPUTED_VALUE"""),"2019/11/05 15:25:00")</f>
        <v>2019/11/05 15:25:00</v>
      </c>
      <c r="G169" s="10" t="str">
        <f>IFERROR(__xludf.DUMMYFUNCTION("""COMPUTED_VALUE"""),"2019/11/05 15:45:00")</f>
        <v>2019/11/05 15:45:00</v>
      </c>
      <c r="H169" s="10" t="str">
        <f>IFERROR(__xludf.DUMMYFUNCTION("""COMPUTED_VALUE"""),"388b42c9-f97f-4acc-bfb4-4181466546bc")</f>
        <v>388b42c9-f97f-4acc-bfb4-4181466546bc</v>
      </c>
      <c r="I169" s="10" t="str">
        <f>IFERROR(__xludf.DUMMYFUNCTION("""COMPUTED_VALUE"""),"388b42c9-f97f-4acc-bfb4-4181466546bc")</f>
        <v>388b42c9-f97f-4acc-bfb4-4181466546bc</v>
      </c>
    </row>
    <row r="170">
      <c r="A170" s="10" t="str">
        <f>IFERROR(__xludf.DUMMYFUNCTION("""COMPUTED_VALUE"""),"Lunch break")</f>
        <v>Lunch break</v>
      </c>
      <c r="B170" s="10" t="str">
        <f>IFERROR(__xludf.DUMMYFUNCTION("""COMPUTED_VALUE"""),"")</f>
        <v/>
      </c>
      <c r="C170" s="10" t="str">
        <f>IFERROR(__xludf.DUMMYFUNCTION("""COMPUTED_VALUE"""),"Auto/Tech &amp; TalkRobot")</f>
        <v>Auto/Tech &amp; TalkRobot</v>
      </c>
      <c r="D170" s="10" t="str">
        <f>IFERROR(__xludf.DUMMYFUNCTION("""COMPUTED_VALUE"""),"")</f>
        <v/>
      </c>
      <c r="E170" s="10" t="str">
        <f>IFERROR(__xludf.DUMMYFUNCTION("""COMPUTED_VALUE"""),"")</f>
        <v/>
      </c>
      <c r="F170" s="10" t="str">
        <f>IFERROR(__xludf.DUMMYFUNCTION("""COMPUTED_VALUE"""),"2019/11/06 13:15:00")</f>
        <v>2019/11/06 13:15:00</v>
      </c>
      <c r="G170" s="10" t="str">
        <f>IFERROR(__xludf.DUMMYFUNCTION("""COMPUTED_VALUE"""),"2019/11/06 14:00:00")</f>
        <v>2019/11/06 14:00:00</v>
      </c>
      <c r="H170" s="10" t="str">
        <f>IFERROR(__xludf.DUMMYFUNCTION("""COMPUTED_VALUE"""),"2ac7eaf8-3025-400b-aa2a-ae1c008fc618")</f>
        <v>2ac7eaf8-3025-400b-aa2a-ae1c008fc618</v>
      </c>
      <c r="I170" s="10" t="str">
        <f>IFERROR(__xludf.DUMMYFUNCTION("""COMPUTED_VALUE"""),"2ac7eaf8-3025-400b-aa2a-ae1c008fc618")</f>
        <v>2ac7eaf8-3025-400b-aa2a-ae1c008fc618</v>
      </c>
    </row>
    <row r="171">
      <c r="A171" s="10" t="str">
        <f>IFERROR(__xludf.DUMMYFUNCTION("""COMPUTED_VALUE"""),"Machine Demo final")</f>
        <v>Machine Demo final</v>
      </c>
      <c r="B171" s="10" t="str">
        <f>IFERROR(__xludf.DUMMYFUNCTION("""COMPUTED_VALUE"""),"The four finalists from Machine Demo group rounds battle it out in front of a panel of expert judges to be crowned the 2019 Machine Demo champion.")</f>
        <v>The four finalists from Machine Demo group rounds battle it out in front of a panel of expert judges to be crowned the 2019 Machine Demo champion.</v>
      </c>
      <c r="C171" s="10" t="str">
        <f>IFERROR(__xludf.DUMMYFUNCTION("""COMPUTED_VALUE"""),"Machine Demo")</f>
        <v>Machine Demo</v>
      </c>
      <c r="D171" s="10" t="str">
        <f>IFERROR(__xludf.DUMMYFUNCTION("""COMPUTED_VALUE"""),"Ansgar Chorhummel, Kaigham Gabriel, Sven Illing, Rytis Vitkauskas, Bruno Meireles de Sousa and Hugo Augusto")</f>
        <v>Ansgar Chorhummel, Kaigham Gabriel, Sven Illing, Rytis Vitkauskas, Bruno Meireles de Sousa and Hugo Augusto</v>
      </c>
      <c r="E171" s="10" t="str">
        <f>IFERROR(__xludf.DUMMYFUNCTION("""COMPUTED_VALUE"""),"Ansgar Chorhummel,Kaigham Gabriel,Sven Illing,Rytis Vitkauskas,Bruno Meireles de Sousa,Hugo Augusto")</f>
        <v>Ansgar Chorhummel,Kaigham Gabriel,Sven Illing,Rytis Vitkauskas,Bruno Meireles de Sousa,Hugo Augusto</v>
      </c>
      <c r="F171" s="10" t="str">
        <f>IFERROR(__xludf.DUMMYFUNCTION("""COMPUTED_VALUE"""),"2019/11/07 14:30:00")</f>
        <v>2019/11/07 14:30:00</v>
      </c>
      <c r="G171" s="10" t="str">
        <f>IFERROR(__xludf.DUMMYFUNCTION("""COMPUTED_VALUE"""),"2019/11/07 15:15:00")</f>
        <v>2019/11/07 15:15:00</v>
      </c>
      <c r="H171" s="10" t="str">
        <f>IFERROR(__xludf.DUMMYFUNCTION("""COMPUTED_VALUE"""),"a45525a4-80dc-43f5-9f4b-e2aa68ae37eb")</f>
        <v>a45525a4-80dc-43f5-9f4b-e2aa68ae37eb</v>
      </c>
      <c r="I171" s="10" t="str">
        <f>IFERROR(__xludf.DUMMYFUNCTION("""COMPUTED_VALUE"""),"a45525a4-80dc-43f5-9f4b-e2aa68ae37eb")</f>
        <v>a45525a4-80dc-43f5-9f4b-e2aa68ae37eb</v>
      </c>
    </row>
    <row r="172">
      <c r="A172" s="10" t="str">
        <f>IFERROR(__xludf.DUMMYFUNCTION("""COMPUTED_VALUE"""),"Opening remarks")</f>
        <v>Opening remarks</v>
      </c>
      <c r="B172" s="10" t="str">
        <f>IFERROR(__xludf.DUMMYFUNCTION("""COMPUTED_VALUE"""),"")</f>
        <v/>
      </c>
      <c r="C172" s="10" t="str">
        <f>IFERROR(__xludf.DUMMYFUNCTION("""COMPUTED_VALUE"""),"Centre Stage")</f>
        <v>Centre Stage</v>
      </c>
      <c r="D172" s="10" t="str">
        <f>IFERROR(__xludf.DUMMYFUNCTION("""COMPUTED_VALUE"""),"Paddy Cosgrave")</f>
        <v>Paddy Cosgrave</v>
      </c>
      <c r="E172" s="10" t="str">
        <f>IFERROR(__xludf.DUMMYFUNCTION("""COMPUTED_VALUE"""),"Paddy Cosgrave")</f>
        <v>Paddy Cosgrave</v>
      </c>
      <c r="F172" s="10" t="str">
        <f>IFERROR(__xludf.DUMMYFUNCTION("""COMPUTED_VALUE"""),"2019/11/07 10:15:00")</f>
        <v>2019/11/07 10:15:00</v>
      </c>
      <c r="G172" s="10" t="str">
        <f>IFERROR(__xludf.DUMMYFUNCTION("""COMPUTED_VALUE"""),"2019/11/07 10:30:00")</f>
        <v>2019/11/07 10:30:00</v>
      </c>
      <c r="H172" s="10" t="str">
        <f>IFERROR(__xludf.DUMMYFUNCTION("""COMPUTED_VALUE"""),"ea03f8f8-84e1-47a9-afee-1829384c3b79")</f>
        <v>ea03f8f8-84e1-47a9-afee-1829384c3b79</v>
      </c>
      <c r="I172" s="10" t="str">
        <f>IFERROR(__xludf.DUMMYFUNCTION("""COMPUTED_VALUE"""),"ea03f8f8-84e1-47a9-afee-1829384c3b79")</f>
        <v>ea03f8f8-84e1-47a9-afee-1829384c3b79</v>
      </c>
    </row>
    <row r="173">
      <c r="A173" s="10" t="str">
        <f>IFERROR(__xludf.DUMMYFUNCTION("""COMPUTED_VALUE"""),"Why AI-based decision making will grow your company")</f>
        <v>Why AI-based decision making will grow your company</v>
      </c>
      <c r="B173" s="10" t="str">
        <f>IFERROR(__xludf.DUMMYFUNCTION("""COMPUTED_VALUE"""),"Vishal, CEO of Prowler.io, explains how the most successful companies will increasingly use AI to inform their decisions. He'll draw on the surprising characteristic of Prowler’s growth such as how the company built a team of world-class AI practitioners "&amp;"out of the academic field and integrated them into a commercial organisation.")</f>
        <v>Vishal, CEO of Prowler.io, explains how the most successful companies will increasingly use AI to inform their decisions. He'll draw on the surprising characteristic of Prowler’s growth such as how the company built a team of world-class AI practitioners out of the academic field and integrated them into a commercial organisation.</v>
      </c>
      <c r="C173" s="10" t="str">
        <f>IFERROR(__xludf.DUMMYFUNCTION("""COMPUTED_VALUE"""),"Growth Summit")</f>
        <v>Growth Summit</v>
      </c>
      <c r="D173" s="10" t="str">
        <f>IFERROR(__xludf.DUMMYFUNCTION("""COMPUTED_VALUE"""),"Vishal Chatrath")</f>
        <v>Vishal Chatrath</v>
      </c>
      <c r="E173" s="10" t="str">
        <f>IFERROR(__xludf.DUMMYFUNCTION("""COMPUTED_VALUE"""),"Vishal Chatrath")</f>
        <v>Vishal Chatrath</v>
      </c>
      <c r="F173" s="10" t="str">
        <f>IFERROR(__xludf.DUMMYFUNCTION("""COMPUTED_VALUE"""),"2019/11/06 12:41:00")</f>
        <v>2019/11/06 12:41:00</v>
      </c>
      <c r="G173" s="10" t="str">
        <f>IFERROR(__xludf.DUMMYFUNCTION("""COMPUTED_VALUE"""),"2019/11/06 12:52:00")</f>
        <v>2019/11/06 12:52:00</v>
      </c>
      <c r="H173" s="10" t="str">
        <f>IFERROR(__xludf.DUMMYFUNCTION("""COMPUTED_VALUE"""),"51ae4986-1360-46e7-92eb-2af6e705c8fa")</f>
        <v>51ae4986-1360-46e7-92eb-2af6e705c8fa</v>
      </c>
      <c r="I173" s="10" t="str">
        <f>IFERROR(__xludf.DUMMYFUNCTION("""COMPUTED_VALUE"""),"51ae4986-1360-46e7-92eb-2af6e705c8fa")</f>
        <v>51ae4986-1360-46e7-92eb-2af6e705c8fa</v>
      </c>
    </row>
    <row r="174">
      <c r="A174" s="10" t="str">
        <f>IFERROR(__xludf.DUMMYFUNCTION("""COMPUTED_VALUE"""),"PITCH group round 14")</f>
        <v>PITCH group round 14</v>
      </c>
      <c r="B174" s="10" t="str">
        <f>IFERROR(__xludf.DUMMYFUNCTION("""COMPUTED_VALUE"""),"")</f>
        <v/>
      </c>
      <c r="C174" s="10" t="str">
        <f>IFERROR(__xludf.DUMMYFUNCTION("""COMPUTED_VALUE"""),"PITCH 2")</f>
        <v>PITCH 2</v>
      </c>
      <c r="D174" s="10" t="str">
        <f>IFERROR(__xludf.DUMMYFUNCTION("""COMPUTED_VALUE"""),"Vanessa Wright, Claude Ritter, Yamilette Cano, Stephan Morais, Joe Altendorff, Marco Delgado, Hendrik Kramer, Svetlana Zakharenkova, Tony Park, Klena Sarges Silva, Jacinto Sa and Pedro Beirão")</f>
        <v>Vanessa Wright, Claude Ritter, Yamilette Cano, Stephan Morais, Joe Altendorff, Marco Delgado, Hendrik Kramer, Svetlana Zakharenkova, Tony Park, Klena Sarges Silva, Jacinto Sa and Pedro Beirão</v>
      </c>
      <c r="E174" s="10" t="str">
        <f>IFERROR(__xludf.DUMMYFUNCTION("""COMPUTED_VALUE"""),"Vanessa Wright,Claude Ritter,Yamilette Cano,Stephan Morais,Joe Altendorff,Marco Delgado,Hendrik Kramer,Svetlana Zakharenkova,Tony Park,Klena Sarges Silva,Jacinto Sa,Pedro Beirão")</f>
        <v>Vanessa Wright,Claude Ritter,Yamilette Cano,Stephan Morais,Joe Altendorff,Marco Delgado,Hendrik Kramer,Svetlana Zakharenkova,Tony Park,Klena Sarges Silva,Jacinto Sa,Pedro Beirão</v>
      </c>
      <c r="F174" s="10" t="str">
        <f>IFERROR(__xludf.DUMMYFUNCTION("""COMPUTED_VALUE"""),"2019/11/05 14:00:00")</f>
        <v>2019/11/05 14:00:00</v>
      </c>
      <c r="G174" s="10" t="str">
        <f>IFERROR(__xludf.DUMMYFUNCTION("""COMPUTED_VALUE"""),"2019/11/05 15:00:00")</f>
        <v>2019/11/05 15:00:00</v>
      </c>
      <c r="H174" s="10" t="str">
        <f>IFERROR(__xludf.DUMMYFUNCTION("""COMPUTED_VALUE"""),"708f2837-fcff-48b7-bf28-b917ee417d80")</f>
        <v>708f2837-fcff-48b7-bf28-b917ee417d80</v>
      </c>
      <c r="I174" s="10" t="str">
        <f>IFERROR(__xludf.DUMMYFUNCTION("""COMPUTED_VALUE"""),"708f2837-fcff-48b7-bf28-b917ee417d80")</f>
        <v>708f2837-fcff-48b7-bf28-b917ee417d80</v>
      </c>
    </row>
    <row r="175">
      <c r="A175" s="10" t="str">
        <f>IFERROR(__xludf.DUMMYFUNCTION("""COMPUTED_VALUE"""),"The changing face of TV Sports")</f>
        <v>The changing face of TV Sports</v>
      </c>
      <c r="B175" s="10" t="str">
        <f>IFERROR(__xludf.DUMMYFUNCTION("""COMPUTED_VALUE"""),"Is the TV sports rights bubble about to burst?  This session examines the state of industry and highlights what the disruptors and OTT platforms are doing to change the game.
")</f>
        <v>Is the TV sports rights bubble about to burst?  This session examines the state of industry and highlights what the disruptors and OTT platforms are doing to change the game.
</v>
      </c>
      <c r="C175" s="10" t="str">
        <f>IFERROR(__xludf.DUMMYFUNCTION("""COMPUTED_VALUE"""),"SportsTrade")</f>
        <v>SportsTrade</v>
      </c>
      <c r="D175" s="10" t="str">
        <f>IFERROR(__xludf.DUMMYFUNCTION("""COMPUTED_VALUE"""),"Baron Davis, Zack Weiner and Michael Spirito")</f>
        <v>Baron Davis, Zack Weiner and Michael Spirito</v>
      </c>
      <c r="E175" s="10" t="str">
        <f>IFERROR(__xludf.DUMMYFUNCTION("""COMPUTED_VALUE"""),"Baron Davis,Zack Weiner,Michael Spirito")</f>
        <v>Baron Davis,Zack Weiner,Michael Spirito</v>
      </c>
      <c r="F175" s="10" t="str">
        <f>IFERROR(__xludf.DUMMYFUNCTION("""COMPUTED_VALUE"""),"2019/11/05 11:45:00")</f>
        <v>2019/11/05 11:45:00</v>
      </c>
      <c r="G175" s="10" t="str">
        <f>IFERROR(__xludf.DUMMYFUNCTION("""COMPUTED_VALUE"""),"2019/11/05 12:05:00")</f>
        <v>2019/11/05 12:05:00</v>
      </c>
      <c r="H175" s="10" t="str">
        <f>IFERROR(__xludf.DUMMYFUNCTION("""COMPUTED_VALUE"""),"59cc6a20-06d0-4e50-867f-655066403c91")</f>
        <v>59cc6a20-06d0-4e50-867f-655066403c91</v>
      </c>
      <c r="I175" s="10" t="str">
        <f>IFERROR(__xludf.DUMMYFUNCTION("""COMPUTED_VALUE"""),"59cc6a20-06d0-4e50-867f-655066403c91")</f>
        <v>59cc6a20-06d0-4e50-867f-655066403c91</v>
      </c>
    </row>
    <row r="176">
      <c r="A176" s="10" t="str">
        <f>IFERROR(__xludf.DUMMYFUNCTION("""COMPUTED_VALUE"""),"Wealthtech: Finding our path to success")</f>
        <v>Wealthtech: Finding our path to success</v>
      </c>
      <c r="B176" s="10" t="str">
        <f>IFERROR(__xludf.DUMMYFUNCTION("""COMPUTED_VALUE"""),"CEO of Nucoro, Lennart will discuss the challenges of building a B2B tech platform from scratch and how partnerships can solve the digitisation challenge in finance.")</f>
        <v>CEO of Nucoro, Lennart will discuss the challenges of building a B2B tech platform from scratch and how partnerships can solve the digitisation challenge in finance.</v>
      </c>
      <c r="C176" s="10" t="str">
        <f>IFERROR(__xludf.DUMMYFUNCTION("""COMPUTED_VALUE"""),"Growth Summit")</f>
        <v>Growth Summit</v>
      </c>
      <c r="D176" s="10" t="str">
        <f>IFERROR(__xludf.DUMMYFUNCTION("""COMPUTED_VALUE"""),"Lennart Asshoff")</f>
        <v>Lennart Asshoff</v>
      </c>
      <c r="E176" s="10" t="str">
        <f>IFERROR(__xludf.DUMMYFUNCTION("""COMPUTED_VALUE"""),"Lennart Asshoff")</f>
        <v>Lennart Asshoff</v>
      </c>
      <c r="F176" s="10" t="str">
        <f>IFERROR(__xludf.DUMMYFUNCTION("""COMPUTED_VALUE"""),"2019/11/06 10:22:00")</f>
        <v>2019/11/06 10:22:00</v>
      </c>
      <c r="G176" s="10" t="str">
        <f>IFERROR(__xludf.DUMMYFUNCTION("""COMPUTED_VALUE"""),"2019/11/06 10:26:00")</f>
        <v>2019/11/06 10:26:00</v>
      </c>
      <c r="H176" s="10" t="str">
        <f>IFERROR(__xludf.DUMMYFUNCTION("""COMPUTED_VALUE"""),"b3535b77-bbce-4a95-8901-534a627cae9c")</f>
        <v>b3535b77-bbce-4a95-8901-534a627cae9c</v>
      </c>
      <c r="I176" s="10" t="str">
        <f>IFERROR(__xludf.DUMMYFUNCTION("""COMPUTED_VALUE"""),"b3535b77-bbce-4a95-8901-534a627cae9c")</f>
        <v>b3535b77-bbce-4a95-8901-534a627cae9c</v>
      </c>
    </row>
    <row r="177">
      <c r="A177" s="10" t="str">
        <f>IFERROR(__xludf.DUMMYFUNCTION("""COMPUTED_VALUE"""),"I, Robot: The future of marketing ")</f>
        <v>I, Robot: The future of marketing </v>
      </c>
      <c r="B177" s="10" t="str">
        <f>IFERROR(__xludf.DUMMYFUNCTION("""COMPUTED_VALUE"""),"Mobile has created the most frictionless market the world has ever seen – within seconds, you can reach millions of potential customers across the globe. To manage the complexity of a global market, marketers use increasing amounts of data – and to deal w"&amp;"ith that, they use machine learning or AI. Does this mean the marketer of the future is a robot?")</f>
        <v>Mobile has created the most frictionless market the world has ever seen – within seconds, you can reach millions of potential customers across the globe. To manage the complexity of a global market, marketers use increasing amounts of data – and to deal with that, they use machine learning or AI. Does this mean the marketer of the future is a robot?</v>
      </c>
      <c r="C177" s="10" t="str">
        <f>IFERROR(__xludf.DUMMYFUNCTION("""COMPUTED_VALUE"""),"SaaS Monster")</f>
        <v>SaaS Monster</v>
      </c>
      <c r="D177" s="10" t="str">
        <f>IFERROR(__xludf.DUMMYFUNCTION("""COMPUTED_VALUE"""),"Christian Henschel and Emil Protalinski")</f>
        <v>Christian Henschel and Emil Protalinski</v>
      </c>
      <c r="E177" s="10" t="str">
        <f>IFERROR(__xludf.DUMMYFUNCTION("""COMPUTED_VALUE"""),"Christian Henschel,Emil Protalinski")</f>
        <v>Christian Henschel,Emil Protalinski</v>
      </c>
      <c r="F177" s="10" t="str">
        <f>IFERROR(__xludf.DUMMYFUNCTION("""COMPUTED_VALUE"""),"2019/11/05 14:25:00")</f>
        <v>2019/11/05 14:25:00</v>
      </c>
      <c r="G177" s="10" t="str">
        <f>IFERROR(__xludf.DUMMYFUNCTION("""COMPUTED_VALUE"""),"2019/11/05 14:45:00")</f>
        <v>2019/11/05 14:45:00</v>
      </c>
      <c r="H177" s="10" t="str">
        <f>IFERROR(__xludf.DUMMYFUNCTION("""COMPUTED_VALUE"""),"f8834362-1388-40bf-bd2a-9d4c8118f0f6")</f>
        <v>f8834362-1388-40bf-bd2a-9d4c8118f0f6</v>
      </c>
      <c r="I177" s="10" t="str">
        <f>IFERROR(__xludf.DUMMYFUNCTION("""COMPUTED_VALUE"""),"f8834362-1388-40bf-bd2a-9d4c8118f0f6")</f>
        <v>f8834362-1388-40bf-bd2a-9d4c8118f0f6</v>
      </c>
    </row>
    <row r="178">
      <c r="A178" s="10" t="str">
        <f>IFERROR(__xludf.DUMMYFUNCTION("""COMPUTED_VALUE"""),"Winning in the feedback economy")</f>
        <v>Winning in the feedback economy</v>
      </c>
      <c r="B178" s="10" t="str">
        <f>IFERROR(__xludf.DUMMYFUNCTION("""COMPUTED_VALUE"""),"Feedback is pervasive, public, and powerful. The total transparency of social media coupled with the fundamental human desire to be heard means feedback is constantly surfacing about every aspect of your company. Companies that listen better and faster th"&amp;"an their competitors can adapt — and win — in the feedback economy. ")</f>
        <v>Feedback is pervasive, public, and powerful. The total transparency of social media coupled with the fundamental human desire to be heard means feedback is constantly surfacing about every aspect of your company. Companies that listen better and faster than their competitors can adapt — and win — in the feedback economy. </v>
      </c>
      <c r="C178" s="10" t="str">
        <f>IFERROR(__xludf.DUMMYFUNCTION("""COMPUTED_VALUE"""),"PandaConf")</f>
        <v>PandaConf</v>
      </c>
      <c r="D178" s="10" t="str">
        <f>IFERROR(__xludf.DUMMYFUNCTION("""COMPUTED_VALUE"""),"Zander Lurie")</f>
        <v>Zander Lurie</v>
      </c>
      <c r="E178" s="10" t="str">
        <f>IFERROR(__xludf.DUMMYFUNCTION("""COMPUTED_VALUE"""),"Zander Lurie")</f>
        <v>Zander Lurie</v>
      </c>
      <c r="F178" s="10" t="str">
        <f>IFERROR(__xludf.DUMMYFUNCTION("""COMPUTED_VALUE"""),"2019/11/05 10:45:00")</f>
        <v>2019/11/05 10:45:00</v>
      </c>
      <c r="G178" s="10" t="str">
        <f>IFERROR(__xludf.DUMMYFUNCTION("""COMPUTED_VALUE"""),"2019/11/05 11:05:00")</f>
        <v>2019/11/05 11:05:00</v>
      </c>
      <c r="H178" s="10" t="str">
        <f>IFERROR(__xludf.DUMMYFUNCTION("""COMPUTED_VALUE"""),"230f8603-c72e-4b0f-8f1a-20d41f115544")</f>
        <v>230f8603-c72e-4b0f-8f1a-20d41f115544</v>
      </c>
      <c r="I178" s="10" t="str">
        <f>IFERROR(__xludf.DUMMYFUNCTION("""COMPUTED_VALUE"""),"230f8603-c72e-4b0f-8f1a-20d41f115544")</f>
        <v>230f8603-c72e-4b0f-8f1a-20d41f115544</v>
      </c>
    </row>
    <row r="179">
      <c r="A179" s="10" t="str">
        <f>IFERROR(__xludf.DUMMYFUNCTION("""COMPUTED_VALUE"""),"Making innovation instrumental")</f>
        <v>Making innovation instrumental</v>
      </c>
      <c r="B179" s="10" t="str">
        <f>IFERROR(__xludf.DUMMYFUNCTION("""COMPUTED_VALUE"""),"CEO of Fender, Andy discusses how Fender – now in its 74th year as a world-leading guitar manufacturer - is appealing to digitally-savvy millennial consumers by innovating in both software and hardware and connecting both to drive industry and company gro"&amp;"wth.  ")</f>
        <v>CEO of Fender, Andy discusses how Fender – now in its 74th year as a world-leading guitar manufacturer - is appealing to digitally-savvy millennial consumers by innovating in both software and hardware and connecting both to drive industry and company growth.  </v>
      </c>
      <c r="C179" s="10" t="str">
        <f>IFERROR(__xludf.DUMMYFUNCTION("""COMPUTED_VALUE"""),"MusicNotes")</f>
        <v>MusicNotes</v>
      </c>
      <c r="D179" s="10" t="str">
        <f>IFERROR(__xludf.DUMMYFUNCTION("""COMPUTED_VALUE"""),"Andy Mooney")</f>
        <v>Andy Mooney</v>
      </c>
      <c r="E179" s="10" t="str">
        <f>IFERROR(__xludf.DUMMYFUNCTION("""COMPUTED_VALUE"""),"Andy Mooney")</f>
        <v>Andy Mooney</v>
      </c>
      <c r="F179" s="10" t="str">
        <f>IFERROR(__xludf.DUMMYFUNCTION("""COMPUTED_VALUE"""),"2019/11/07 15:15:00")</f>
        <v>2019/11/07 15:15:00</v>
      </c>
      <c r="G179" s="10" t="str">
        <f>IFERROR(__xludf.DUMMYFUNCTION("""COMPUTED_VALUE"""),"2019/11/07 15:35:00")</f>
        <v>2019/11/07 15:35:00</v>
      </c>
      <c r="H179" s="10" t="str">
        <f>IFERROR(__xludf.DUMMYFUNCTION("""COMPUTED_VALUE"""),"6e4ef6f9-b2b7-46fb-b62d-205e7229be0c")</f>
        <v>6e4ef6f9-b2b7-46fb-b62d-205e7229be0c</v>
      </c>
      <c r="I179" s="10" t="str">
        <f>IFERROR(__xludf.DUMMYFUNCTION("""COMPUTED_VALUE"""),"6e4ef6f9-b2b7-46fb-b62d-205e7229be0c")</f>
        <v>6e4ef6f9-b2b7-46fb-b62d-205e7229be0c</v>
      </c>
    </row>
    <row r="180">
      <c r="A180" s="10" t="str">
        <f>IFERROR(__xludf.DUMMYFUNCTION("""COMPUTED_VALUE"""),"Lunch break")</f>
        <v>Lunch break</v>
      </c>
      <c r="B180" s="10" t="str">
        <f>IFERROR(__xludf.DUMMYFUNCTION("""COMPUTED_VALUE"""),"")</f>
        <v/>
      </c>
      <c r="C180" s="10" t="str">
        <f>IFERROR(__xludf.DUMMYFUNCTION("""COMPUTED_VALUE"""),"Corporate Innovation Summit")</f>
        <v>Corporate Innovation Summit</v>
      </c>
      <c r="D180" s="10" t="str">
        <f>IFERROR(__xludf.DUMMYFUNCTION("""COMPUTED_VALUE"""),"")</f>
        <v/>
      </c>
      <c r="E180" s="10" t="str">
        <f>IFERROR(__xludf.DUMMYFUNCTION("""COMPUTED_VALUE"""),"")</f>
        <v/>
      </c>
      <c r="F180" s="10" t="str">
        <f>IFERROR(__xludf.DUMMYFUNCTION("""COMPUTED_VALUE"""),"2019/11/07 12:55:00")</f>
        <v>2019/11/07 12:55:00</v>
      </c>
      <c r="G180" s="10" t="str">
        <f>IFERROR(__xludf.DUMMYFUNCTION("""COMPUTED_VALUE"""),"2019/11/07 13:30:00")</f>
        <v>2019/11/07 13:30:00</v>
      </c>
      <c r="H180" s="10" t="str">
        <f>IFERROR(__xludf.DUMMYFUNCTION("""COMPUTED_VALUE"""),"d36c7638-471e-453f-9f5e-b95a47877687")</f>
        <v>d36c7638-471e-453f-9f5e-b95a47877687</v>
      </c>
      <c r="I180" s="10" t="str">
        <f>IFERROR(__xludf.DUMMYFUNCTION("""COMPUTED_VALUE"""),"d36c7638-471e-453f-9f5e-b95a47877687")</f>
        <v>d36c7638-471e-453f-9f5e-b95a47877687</v>
      </c>
    </row>
    <row r="181">
      <c r="A181" s="10" t="str">
        <f>IFERROR(__xludf.DUMMYFUNCTION("""COMPUTED_VALUE"""),"Extraterrestrial entrepreneurs: Doing business in the new space market")</f>
        <v>Extraterrestrial entrepreneurs: Doing business in the new space market</v>
      </c>
      <c r="B181" s="10" t="str">
        <f>IFERROR(__xludf.DUMMYFUNCTION("""COMPUTED_VALUE"""),"The re-emergence of the space industry is bringing about new opportunities for corporations and individuals to leverage technical advances made possible through NASA, ESA and other organisations. As we enter this new era of public-private partnerships, le"&amp;"arn about the potential business and societal advancements on the horizon with Chantelle Baier from 4Space inc and about future corporate technical uses with Alan Boehme from P&amp;G.")</f>
        <v>The re-emergence of the space industry is bringing about new opportunities for corporations and individuals to leverage technical advances made possible through NASA, ESA and other organisations. As we enter this new era of public-private partnerships, learn about the potential business and societal advancements on the horizon with Chantelle Baier from 4Space inc and about future corporate technical uses with Alan Boehme from P&amp;G.</v>
      </c>
      <c r="C181" s="10" t="str">
        <f>IFERROR(__xludf.DUMMYFUNCTION("""COMPUTED_VALUE"""),"DeepTech")</f>
        <v>DeepTech</v>
      </c>
      <c r="D181" s="10" t="str">
        <f>IFERROR(__xludf.DUMMYFUNCTION("""COMPUTED_VALUE"""),"Alan Boehme and Chantelle Baier")</f>
        <v>Alan Boehme and Chantelle Baier</v>
      </c>
      <c r="E181" s="10" t="str">
        <f>IFERROR(__xludf.DUMMYFUNCTION("""COMPUTED_VALUE"""),"Alan Boehme,Chantelle Baier")</f>
        <v>Alan Boehme,Chantelle Baier</v>
      </c>
      <c r="F181" s="10" t="str">
        <f>IFERROR(__xludf.DUMMYFUNCTION("""COMPUTED_VALUE"""),"2019/11/06 16:20:00")</f>
        <v>2019/11/06 16:20:00</v>
      </c>
      <c r="G181" s="10" t="str">
        <f>IFERROR(__xludf.DUMMYFUNCTION("""COMPUTED_VALUE"""),"2019/11/06 16:40:00")</f>
        <v>2019/11/06 16:40:00</v>
      </c>
      <c r="H181" s="10" t="str">
        <f>IFERROR(__xludf.DUMMYFUNCTION("""COMPUTED_VALUE"""),"102a2943-0682-4789-8944-33e68885e9c9")</f>
        <v>102a2943-0682-4789-8944-33e68885e9c9</v>
      </c>
      <c r="I181" s="10" t="str">
        <f>IFERROR(__xludf.DUMMYFUNCTION("""COMPUTED_VALUE"""),"102a2943-0682-4789-8944-33e68885e9c9")</f>
        <v>102a2943-0682-4789-8944-33e68885e9c9</v>
      </c>
    </row>
    <row r="182">
      <c r="A182" s="10" t="str">
        <f>IFERROR(__xludf.DUMMYFUNCTION("""COMPUTED_VALUE"""),"Retrofitting digital to banking")</f>
        <v>Retrofitting digital to banking</v>
      </c>
      <c r="B182" s="10" t="str">
        <f>IFERROR(__xludf.DUMMYFUNCTION("""COMPUTED_VALUE"""),"As consumers continue their mass migration toward digital and mobile banking solutions, reaching them is a digital challenge that traditional banks often struggle with. In this session, we'll learn what strategies and technologies are being employed to pr"&amp;"epare for the future.")</f>
        <v>As consumers continue their mass migration toward digital and mobile banking solutions, reaching them is a digital challenge that traditional banks often struggle with. In this session, we'll learn what strategies and technologies are being employed to prepare for the future.</v>
      </c>
      <c r="C182" s="10" t="str">
        <f>IFERROR(__xludf.DUMMYFUNCTION("""COMPUTED_VALUE"""),"Corporate Innovation Summit")</f>
        <v>Corporate Innovation Summit</v>
      </c>
      <c r="D182" s="10" t="str">
        <f>IFERROR(__xludf.DUMMYFUNCTION("""COMPUTED_VALUE"""),"Luis Uguina, Claire Calmejane, Paulo Marques and Peter Zemsky")</f>
        <v>Luis Uguina, Claire Calmejane, Paulo Marques and Peter Zemsky</v>
      </c>
      <c r="E182" s="10" t="str">
        <f>IFERROR(__xludf.DUMMYFUNCTION("""COMPUTED_VALUE"""),"Luis Uguina,Claire Calmejane,Paulo Marques,Peter Zemsky")</f>
        <v>Luis Uguina,Claire Calmejane,Paulo Marques,Peter Zemsky</v>
      </c>
      <c r="F182" s="10" t="str">
        <f>IFERROR(__xludf.DUMMYFUNCTION("""COMPUTED_VALUE"""),"2019/11/06 15:45:00")</f>
        <v>2019/11/06 15:45:00</v>
      </c>
      <c r="G182" s="10" t="str">
        <f>IFERROR(__xludf.DUMMYFUNCTION("""COMPUTED_VALUE"""),"2019/11/06 16:05:00")</f>
        <v>2019/11/06 16:05:00</v>
      </c>
      <c r="H182" s="10" t="str">
        <f>IFERROR(__xludf.DUMMYFUNCTION("""COMPUTED_VALUE"""),"f696cbec-24a3-42b1-b196-2a9ab262bbd7")</f>
        <v>f696cbec-24a3-42b1-b196-2a9ab262bbd7</v>
      </c>
      <c r="I182" s="10" t="str">
        <f>IFERROR(__xludf.DUMMYFUNCTION("""COMPUTED_VALUE"""),"f696cbec-24a3-42b1-b196-2a9ab262bbd7")</f>
        <v>f696cbec-24a3-42b1-b196-2a9ab262bbd7</v>
      </c>
    </row>
    <row r="183">
      <c r="A183" s="10" t="str">
        <f>IFERROR(__xludf.DUMMYFUNCTION("""COMPUTED_VALUE"""),"Opening remarks")</f>
        <v>Opening remarks</v>
      </c>
      <c r="B183" s="10" t="str">
        <f>IFERROR(__xludf.DUMMYFUNCTION("""COMPUTED_VALUE"""),"")</f>
        <v/>
      </c>
      <c r="C183" s="10" t="str">
        <f>IFERROR(__xludf.DUMMYFUNCTION("""COMPUTED_VALUE"""),"Centre Stage")</f>
        <v>Centre Stage</v>
      </c>
      <c r="D183" s="10" t="str">
        <f>IFERROR(__xludf.DUMMYFUNCTION("""COMPUTED_VALUE"""),"Yvonne Redmond")</f>
        <v>Yvonne Redmond</v>
      </c>
      <c r="E183" s="10" t="str">
        <f>IFERROR(__xludf.DUMMYFUNCTION("""COMPUTED_VALUE"""),"Yvonne Redmond")</f>
        <v>Yvonne Redmond</v>
      </c>
      <c r="F183" s="10" t="str">
        <f>IFERROR(__xludf.DUMMYFUNCTION("""COMPUTED_VALUE"""),"2019/11/06 13:50:00")</f>
        <v>2019/11/06 13:50:00</v>
      </c>
      <c r="G183" s="10" t="str">
        <f>IFERROR(__xludf.DUMMYFUNCTION("""COMPUTED_VALUE"""),"2019/11/06 14:00:00")</f>
        <v>2019/11/06 14:00:00</v>
      </c>
      <c r="H183" s="10" t="str">
        <f>IFERROR(__xludf.DUMMYFUNCTION("""COMPUTED_VALUE"""),"0cf0a640-509c-4e4c-8645-36186884d20e")</f>
        <v>0cf0a640-509c-4e4c-8645-36186884d20e</v>
      </c>
      <c r="I183" s="10" t="str">
        <f>IFERROR(__xludf.DUMMYFUNCTION("""COMPUTED_VALUE"""),"0cf0a640-509c-4e4c-8645-36186884d20e")</f>
        <v>0cf0a640-509c-4e4c-8645-36186884d20e</v>
      </c>
    </row>
    <row r="184">
      <c r="A184" s="10" t="str">
        <f>IFERROR(__xludf.DUMMYFUNCTION("""COMPUTED_VALUE"""),"PITCH group round 2")</f>
        <v>PITCH group round 2</v>
      </c>
      <c r="B184" s="10" t="str">
        <f>IFERROR(__xludf.DUMMYFUNCTION("""COMPUTED_VALUE"""),"")</f>
        <v/>
      </c>
      <c r="C184" s="10" t="str">
        <f>IFERROR(__xludf.DUMMYFUNCTION("""COMPUTED_VALUE"""),"PITCH 2")</f>
        <v>PITCH 2</v>
      </c>
      <c r="D184" s="10" t="str">
        <f>IFERROR(__xludf.DUMMYFUNCTION("""COMPUTED_VALUE"""),"Nic Brisbourne, David Meltzer, Myra Khanna, Luis Shemtov, Miguel Barbosa, Jiazi Guo, George Laliashvili, Daniel Sozonov, Sam Davies, Pedro Humbert and MICHAEL JASCHKE")</f>
        <v>Nic Brisbourne, David Meltzer, Myra Khanna, Luis Shemtov, Miguel Barbosa, Jiazi Guo, George Laliashvili, Daniel Sozonov, Sam Davies, Pedro Humbert and MICHAEL JASCHKE</v>
      </c>
      <c r="E184" s="10" t="str">
        <f>IFERROR(__xludf.DUMMYFUNCTION("""COMPUTED_VALUE"""),"Nic Brisbourne,David Meltzer,Myra Khanna,Luis Shemtov,Miguel Barbosa,Jiazi Guo,George Laliashvili,Daniel Sozonov,Sam Davies,Pedro Humbert,MICHAEL JASCHKE")</f>
        <v>Nic Brisbourne,David Meltzer,Myra Khanna,Luis Shemtov,Miguel Barbosa,Jiazi Guo,George Laliashvili,Daniel Sozonov,Sam Davies,Pedro Humbert,MICHAEL JASCHKE</v>
      </c>
      <c r="F184" s="10" t="str">
        <f>IFERROR(__xludf.DUMMYFUNCTION("""COMPUTED_VALUE"""),"2019/11/05 09:15:00")</f>
        <v>2019/11/05 09:15:00</v>
      </c>
      <c r="G184" s="10" t="str">
        <f>IFERROR(__xludf.DUMMYFUNCTION("""COMPUTED_VALUE"""),"2019/11/05 10:15:00")</f>
        <v>2019/11/05 10:15:00</v>
      </c>
      <c r="H184" s="10" t="str">
        <f>IFERROR(__xludf.DUMMYFUNCTION("""COMPUTED_VALUE"""),"ae5f1596-fd1a-4771-8149-cb941bbcf18b")</f>
        <v>ae5f1596-fd1a-4771-8149-cb941bbcf18b</v>
      </c>
      <c r="I184" s="10" t="str">
        <f>IFERROR(__xludf.DUMMYFUNCTION("""COMPUTED_VALUE"""),"ae5f1596-fd1a-4771-8149-cb941bbcf18b")</f>
        <v>ae5f1596-fd1a-4771-8149-cb941bbcf18b</v>
      </c>
    </row>
    <row r="185">
      <c r="A185" s="10" t="str">
        <f>IFERROR(__xludf.DUMMYFUNCTION("""COMPUTED_VALUE"""),"Music 2030: What the future holds  ")</f>
        <v>Music 2030: What the future holds  </v>
      </c>
      <c r="B185" s="10" t="str">
        <f>IFERROR(__xludf.DUMMYFUNCTION("""COMPUTED_VALUE"""),"This panel is a state of the nation discussion on where music is - and where it is going. What has been the impact of streaming services, digital publishing, AI and machine learning so far, and where will it take the music industry in the future?")</f>
        <v>This panel is a state of the nation discussion on where music is - and where it is going. What has been the impact of streaming services, digital publishing, AI and machine learning so far, and where will it take the music industry in the future?</v>
      </c>
      <c r="C185" s="10" t="str">
        <f>IFERROR(__xludf.DUMMYFUNCTION("""COMPUTED_VALUE"""),"MusicNotes")</f>
        <v>MusicNotes</v>
      </c>
      <c r="D185" s="10" t="str">
        <f>IFERROR(__xludf.DUMMYFUNCTION("""COMPUTED_VALUE"""),"Jean-Michel Jarre, Pieter Van Rijn, Gigi Johnson and Eamonn Forde")</f>
        <v>Jean-Michel Jarre, Pieter Van Rijn, Gigi Johnson and Eamonn Forde</v>
      </c>
      <c r="E185" s="10" t="str">
        <f>IFERROR(__xludf.DUMMYFUNCTION("""COMPUTED_VALUE"""),"Jean-Michel Jarre,Pieter Van Rijn,Gigi Johnson,Eamonn Forde")</f>
        <v>Jean-Michel Jarre,Pieter Van Rijn,Gigi Johnson,Eamonn Forde</v>
      </c>
      <c r="F185" s="10" t="str">
        <f>IFERROR(__xludf.DUMMYFUNCTION("""COMPUTED_VALUE"""),"2019/11/07 15:35:00")</f>
        <v>2019/11/07 15:35:00</v>
      </c>
      <c r="G185" s="10" t="str">
        <f>IFERROR(__xludf.DUMMYFUNCTION("""COMPUTED_VALUE"""),"2019/11/07 16:00:00")</f>
        <v>2019/11/07 16:00:00</v>
      </c>
      <c r="H185" s="10" t="str">
        <f>IFERROR(__xludf.DUMMYFUNCTION("""COMPUTED_VALUE"""),"90a1f14c-da9d-44df-b565-c402b6114bb5")</f>
        <v>90a1f14c-da9d-44df-b565-c402b6114bb5</v>
      </c>
      <c r="I185" s="10" t="str">
        <f>IFERROR(__xludf.DUMMYFUNCTION("""COMPUTED_VALUE"""),"90a1f14c-da9d-44df-b565-c402b6114bb5")</f>
        <v>90a1f14c-da9d-44df-b565-c402b6114bb5</v>
      </c>
    </row>
    <row r="186">
      <c r="A186" s="10" t="str">
        <f>IFERROR(__xludf.DUMMYFUNCTION("""COMPUTED_VALUE"""),"Growth lessons from Japan")</f>
        <v>Growth lessons from Japan</v>
      </c>
      <c r="B186" s="10" t="str">
        <f>IFERROR(__xludf.DUMMYFUNCTION("""COMPUTED_VALUE"""),"As one of the world's strongest economies, Japanese business practices are taught and studied the world over. This session will transport us into the business philosophies and lessons that have shaped Japan and its culture.")</f>
        <v>As one of the world's strongest economies, Japanese business practices are taught and studied the world over. This session will transport us into the business philosophies and lessons that have shaped Japan and its culture.</v>
      </c>
      <c r="C186" s="10" t="str">
        <f>IFERROR(__xludf.DUMMYFUNCTION("""COMPUTED_VALUE"""),"Corporate Innovation Summit")</f>
        <v>Corporate Innovation Summit</v>
      </c>
      <c r="D186" s="10" t="str">
        <f>IFERROR(__xludf.DUMMYFUNCTION("""COMPUTED_VALUE"""),"Noriyuki Yamazaki, Aya Nakajo and Leisha Santorelli")</f>
        <v>Noriyuki Yamazaki, Aya Nakajo and Leisha Santorelli</v>
      </c>
      <c r="E186" s="10" t="str">
        <f>IFERROR(__xludf.DUMMYFUNCTION("""COMPUTED_VALUE"""),"Noriyuki Yamazaki,Aya Nakajo,Leisha Santorelli")</f>
        <v>Noriyuki Yamazaki,Aya Nakajo,Leisha Santorelli</v>
      </c>
      <c r="F186" s="10" t="str">
        <f>IFERROR(__xludf.DUMMYFUNCTION("""COMPUTED_VALUE"""),"2019/11/06 11:45:00")</f>
        <v>2019/11/06 11:45:00</v>
      </c>
      <c r="G186" s="10" t="str">
        <f>IFERROR(__xludf.DUMMYFUNCTION("""COMPUTED_VALUE"""),"2019/11/06 12:05:00")</f>
        <v>2019/11/06 12:05:00</v>
      </c>
      <c r="H186" s="10" t="str">
        <f>IFERROR(__xludf.DUMMYFUNCTION("""COMPUTED_VALUE"""),"afba863a-7765-421b-8672-b51d2a8e79e5")</f>
        <v>afba863a-7765-421b-8672-b51d2a8e79e5</v>
      </c>
      <c r="I186" s="10" t="str">
        <f>IFERROR(__xludf.DUMMYFUNCTION("""COMPUTED_VALUE"""),"afba863a-7765-421b-8672-b51d2a8e79e5")</f>
        <v>afba863a-7765-421b-8672-b51d2a8e79e5</v>
      </c>
    </row>
    <row r="187">
      <c r="A187" s="10" t="str">
        <f>IFERROR(__xludf.DUMMYFUNCTION("""COMPUTED_VALUE"""),"Lunch break")</f>
        <v>Lunch break</v>
      </c>
      <c r="B187" s="10" t="str">
        <f>IFERROR(__xludf.DUMMYFUNCTION("""COMPUTED_VALUE"""),"")</f>
        <v/>
      </c>
      <c r="C187" s="24" t="str">
        <f>IFERROR(__xludf.DUMMYFUNCTION("""COMPUTED_VALUE"""),"binate.io")</f>
        <v>binate.io</v>
      </c>
      <c r="D187" s="10" t="str">
        <f>IFERROR(__xludf.DUMMYFUNCTION("""COMPUTED_VALUE"""),"")</f>
        <v/>
      </c>
      <c r="E187" s="10" t="str">
        <f>IFERROR(__xludf.DUMMYFUNCTION("""COMPUTED_VALUE"""),"")</f>
        <v/>
      </c>
      <c r="F187" s="10" t="str">
        <f>IFERROR(__xludf.DUMMYFUNCTION("""COMPUTED_VALUE"""),"2019/11/06 13:05:00")</f>
        <v>2019/11/06 13:05:00</v>
      </c>
      <c r="G187" s="10" t="str">
        <f>IFERROR(__xludf.DUMMYFUNCTION("""COMPUTED_VALUE"""),"2019/11/06 13:50:00")</f>
        <v>2019/11/06 13:50:00</v>
      </c>
      <c r="H187" s="10" t="str">
        <f>IFERROR(__xludf.DUMMYFUNCTION("""COMPUTED_VALUE"""),"da4fc303-cfe8-4656-83f6-cbd1d333596d")</f>
        <v>da4fc303-cfe8-4656-83f6-cbd1d333596d</v>
      </c>
      <c r="I187" s="10" t="str">
        <f>IFERROR(__xludf.DUMMYFUNCTION("""COMPUTED_VALUE"""),"da4fc303-cfe8-4656-83f6-cbd1d333596d")</f>
        <v>da4fc303-cfe8-4656-83f6-cbd1d333596d</v>
      </c>
    </row>
    <row r="188">
      <c r="A188" s="10" t="str">
        <f>IFERROR(__xludf.DUMMYFUNCTION("""COMPUTED_VALUE"""),"Lunch break")</f>
        <v>Lunch break</v>
      </c>
      <c r="B188" s="10" t="str">
        <f>IFERROR(__xludf.DUMMYFUNCTION("""COMPUTED_VALUE"""),"")</f>
        <v/>
      </c>
      <c r="C188" s="10" t="str">
        <f>IFERROR(__xludf.DUMMYFUNCTION("""COMPUTED_VALUE"""),"UnBoxed")</f>
        <v>UnBoxed</v>
      </c>
      <c r="D188" s="10" t="str">
        <f>IFERROR(__xludf.DUMMYFUNCTION("""COMPUTED_VALUE"""),"")</f>
        <v/>
      </c>
      <c r="E188" s="10" t="str">
        <f>IFERROR(__xludf.DUMMYFUNCTION("""COMPUTED_VALUE"""),"")</f>
        <v/>
      </c>
      <c r="F188" s="10" t="str">
        <f>IFERROR(__xludf.DUMMYFUNCTION("""COMPUTED_VALUE"""),"2019/11/05 13:15:00")</f>
        <v>2019/11/05 13:15:00</v>
      </c>
      <c r="G188" s="10" t="str">
        <f>IFERROR(__xludf.DUMMYFUNCTION("""COMPUTED_VALUE"""),"2019/11/05 14:15:00")</f>
        <v>2019/11/05 14:15:00</v>
      </c>
      <c r="H188" s="10" t="str">
        <f>IFERROR(__xludf.DUMMYFUNCTION("""COMPUTED_VALUE"""),"50f59da3-2fd5-4907-ae64-321d597f2cac")</f>
        <v>50f59da3-2fd5-4907-ae64-321d597f2cac</v>
      </c>
      <c r="I188" s="10" t="str">
        <f>IFERROR(__xludf.DUMMYFUNCTION("""COMPUTED_VALUE"""),"50f59da3-2fd5-4907-ae64-321d597f2cac")</f>
        <v>50f59da3-2fd5-4907-ae64-321d597f2cac</v>
      </c>
    </row>
    <row r="189">
      <c r="A189" s="10" t="str">
        <f>IFERROR(__xludf.DUMMYFUNCTION("""COMPUTED_VALUE"""),"The New York Times: Storytelling and brands")</f>
        <v>The New York Times: Storytelling and brands</v>
      </c>
      <c r="B189" s="10" t="str">
        <f>IFERROR(__xludf.DUMMYFUNCTION("""COMPUTED_VALUE"""),"The New York Times is the most innovative storyteller in the world, famous for turning complex subjects into digestible narratives with its unique brand of storytelling. As Creative Director of their in-house brand studio, Graham will take you through som"&amp;"e of the greatest success stories in recent years and some of the design and storytelling methods they utilise to bring these stories to life.")</f>
        <v>The New York Times is the most innovative storyteller in the world, famous for turning complex subjects into digestible narratives with its unique brand of storytelling. As Creative Director of their in-house brand studio, Graham will take you through some of the greatest success stories in recent years and some of the design and storytelling methods they utilise to bring these stories to life.</v>
      </c>
      <c r="C189" s="10" t="str">
        <f>IFERROR(__xludf.DUMMYFUNCTION("""COMPUTED_VALUE"""),"ContentMakers")</f>
        <v>ContentMakers</v>
      </c>
      <c r="D189" s="10" t="str">
        <f>IFERROR(__xludf.DUMMYFUNCTION("""COMPUTED_VALUE"""),"Graham McDonnell")</f>
        <v>Graham McDonnell</v>
      </c>
      <c r="E189" s="10" t="str">
        <f>IFERROR(__xludf.DUMMYFUNCTION("""COMPUTED_VALUE"""),"Graham McDonnell")</f>
        <v>Graham McDonnell</v>
      </c>
      <c r="F189" s="10" t="str">
        <f>IFERROR(__xludf.DUMMYFUNCTION("""COMPUTED_VALUE"""),"2019/11/06 12:50:00")</f>
        <v>2019/11/06 12:50:00</v>
      </c>
      <c r="G189" s="10" t="str">
        <f>IFERROR(__xludf.DUMMYFUNCTION("""COMPUTED_VALUE"""),"2019/11/06 13:10:00")</f>
        <v>2019/11/06 13:10:00</v>
      </c>
      <c r="H189" s="10" t="str">
        <f>IFERROR(__xludf.DUMMYFUNCTION("""COMPUTED_VALUE"""),"1d77fc32-e449-4eb2-9e31-ac590f340617")</f>
        <v>1d77fc32-e449-4eb2-9e31-ac590f340617</v>
      </c>
      <c r="I189" s="10" t="str">
        <f>IFERROR(__xludf.DUMMYFUNCTION("""COMPUTED_VALUE"""),"1d77fc32-e449-4eb2-9e31-ac590f340617")</f>
        <v>1d77fc32-e449-4eb2-9e31-ac590f340617</v>
      </c>
    </row>
    <row r="190">
      <c r="A190" s="10" t="str">
        <f>IFERROR(__xludf.DUMMYFUNCTION("""COMPUTED_VALUE"""),"Living on the edge: The future of edge computing")</f>
        <v>Living on the edge: The future of edge computing</v>
      </c>
      <c r="B190" s="10" t="str">
        <f>IFERROR(__xludf.DUMMYFUNCTION("""COMPUTED_VALUE"""),"Tyler McMullen, CTO of Fastly, will share what it really means to be “at the edge”, and where the field of edge computing is going.  He’ll discuss current use cases and future opportunities for leveraging the edge for new application logic, including how "&amp;"enterprises can accomplish speed and safety using multi-tenancy and isolation.")</f>
        <v>Tyler McMullen, CTO of Fastly, will share what it really means to be “at the edge”, and where the field of edge computing is going.  He’ll discuss current use cases and future opportunities for leveraging the edge for new application logic, including how enterprises can accomplish speed and safety using multi-tenancy and isolation.</v>
      </c>
      <c r="C190" s="10" t="str">
        <f>IFERROR(__xludf.DUMMYFUNCTION("""COMPUTED_VALUE"""),"FullSTK")</f>
        <v>FullSTK</v>
      </c>
      <c r="D190" s="10" t="str">
        <f>IFERROR(__xludf.DUMMYFUNCTION("""COMPUTED_VALUE"""),"Tyler McMullen")</f>
        <v>Tyler McMullen</v>
      </c>
      <c r="E190" s="10" t="str">
        <f>IFERROR(__xludf.DUMMYFUNCTION("""COMPUTED_VALUE"""),"Tyler McMullen")</f>
        <v>Tyler McMullen</v>
      </c>
      <c r="F190" s="10" t="str">
        <f>IFERROR(__xludf.DUMMYFUNCTION("""COMPUTED_VALUE"""),"2019/11/07 14:35:00")</f>
        <v>2019/11/07 14:35:00</v>
      </c>
      <c r="G190" s="10" t="str">
        <f>IFERROR(__xludf.DUMMYFUNCTION("""COMPUTED_VALUE"""),"2019/11/07 14:55:00")</f>
        <v>2019/11/07 14:55:00</v>
      </c>
      <c r="H190" s="10" t="str">
        <f>IFERROR(__xludf.DUMMYFUNCTION("""COMPUTED_VALUE"""),"cc0447cd-c4ca-437d-bfa3-7c2eddc63cd7")</f>
        <v>cc0447cd-c4ca-437d-bfa3-7c2eddc63cd7</v>
      </c>
      <c r="I190" s="10" t="str">
        <f>IFERROR(__xludf.DUMMYFUNCTION("""COMPUTED_VALUE"""),"cc0447cd-c4ca-437d-bfa3-7c2eddc63cd7")</f>
        <v>cc0447cd-c4ca-437d-bfa3-7c2eddc63cd7</v>
      </c>
    </row>
    <row r="191">
      <c r="A191" s="10" t="str">
        <f>IFERROR(__xludf.DUMMYFUNCTION("""COMPUTED_VALUE"""),"How much tax is just right?")</f>
        <v>How much tax is just right?</v>
      </c>
      <c r="B191" s="10" t="str">
        <f>IFERROR(__xludf.DUMMYFUNCTION("""COMPUTED_VALUE"""),"If you think that the hardest thing to understand is income tax then you are in good company - Albert Einstein's. If you would like to better understand tax then you should come to this session where you will hear from some of the world's authorities on j"&amp;"ust how much tax is right.")</f>
        <v>If you think that the hardest thing to understand is income tax then you are in good company - Albert Einstein's. If you would like to better understand tax then you should come to this session where you will hear from some of the world's authorities on just how much tax is right.</v>
      </c>
      <c r="C191" s="10" t="str">
        <f>IFERROR(__xludf.DUMMYFUNCTION("""COMPUTED_VALUE"""),"Future Societies")</f>
        <v>Future Societies</v>
      </c>
      <c r="D191" s="10" t="str">
        <f>IFERROR(__xludf.DUMMYFUNCTION("""COMPUTED_VALUE"""),"Pascal Saint-Amans, Jane McCormick and Ryan Broderick")</f>
        <v>Pascal Saint-Amans, Jane McCormick and Ryan Broderick</v>
      </c>
      <c r="E191" s="10" t="str">
        <f>IFERROR(__xludf.DUMMYFUNCTION("""COMPUTED_VALUE"""),"Pascal Saint-Amans,Jane McCormick,Ryan Broderick")</f>
        <v>Pascal Saint-Amans,Jane McCormick,Ryan Broderick</v>
      </c>
      <c r="F191" s="10" t="str">
        <f>IFERROR(__xludf.DUMMYFUNCTION("""COMPUTED_VALUE"""),"2019/11/07 11:10:00")</f>
        <v>2019/11/07 11:10:00</v>
      </c>
      <c r="G191" s="10" t="str">
        <f>IFERROR(__xludf.DUMMYFUNCTION("""COMPUTED_VALUE"""),"2019/11/07 11:30:00")</f>
        <v>2019/11/07 11:30:00</v>
      </c>
      <c r="H191" s="10" t="str">
        <f>IFERROR(__xludf.DUMMYFUNCTION("""COMPUTED_VALUE"""),"57afb291-b87d-4915-ba24-1416b7084be1")</f>
        <v>57afb291-b87d-4915-ba24-1416b7084be1</v>
      </c>
      <c r="I191" s="10" t="str">
        <f>IFERROR(__xludf.DUMMYFUNCTION("""COMPUTED_VALUE"""),"57afb291-b87d-4915-ba24-1416b7084be1")</f>
        <v>57afb291-b87d-4915-ba24-1416b7084be1</v>
      </c>
    </row>
    <row r="192">
      <c r="A192" s="10" t="str">
        <f>IFERROR(__xludf.DUMMYFUNCTION("""COMPUTED_VALUE"""),"No one left behind: Making tech work for the many")</f>
        <v>No one left behind: Making tech work for the many</v>
      </c>
      <c r="B192" s="10" t="str">
        <f>IFERROR(__xludf.DUMMYFUNCTION("""COMPUTED_VALUE"""),"")</f>
        <v/>
      </c>
      <c r="C192" s="10" t="str">
        <f>IFERROR(__xludf.DUMMYFUNCTION("""COMPUTED_VALUE"""),"")</f>
        <v/>
      </c>
      <c r="D192" s="10" t="str">
        <f>IFERROR(__xludf.DUMMYFUNCTION("""COMPUTED_VALUE"""),"Ro Khanna")</f>
        <v>Ro Khanna</v>
      </c>
      <c r="E192" s="10" t="str">
        <f>IFERROR(__xludf.DUMMYFUNCTION("""COMPUTED_VALUE"""),"Ro Khanna")</f>
        <v>Ro Khanna</v>
      </c>
      <c r="F192" s="10" t="str">
        <f>IFERROR(__xludf.DUMMYFUNCTION("""COMPUTED_VALUE"""),"")</f>
        <v/>
      </c>
      <c r="G192" s="10" t="str">
        <f>IFERROR(__xludf.DUMMYFUNCTION("""COMPUTED_VALUE"""),"")</f>
        <v/>
      </c>
      <c r="H192" s="10" t="str">
        <f>IFERROR(__xludf.DUMMYFUNCTION("""COMPUTED_VALUE"""),"881fb86a-874b-55f5-9edd-f657075ca652")</f>
        <v>881fb86a-874b-55f5-9edd-f657075ca652</v>
      </c>
      <c r="I192" s="10" t="str">
        <f>IFERROR(__xludf.DUMMYFUNCTION("""COMPUTED_VALUE"""),"881fb86a-874b-55f5-9edd-f657075ca652")</f>
        <v>881fb86a-874b-55f5-9edd-f657075ca652</v>
      </c>
    </row>
    <row r="193">
      <c r="A193" s="10" t="str">
        <f>IFERROR(__xludf.DUMMYFUNCTION("""COMPUTED_VALUE"""),"Predicting the future of brand design")</f>
        <v>Predicting the future of brand design</v>
      </c>
      <c r="B193" s="10" t="str">
        <f>IFERROR(__xludf.DUMMYFUNCTION("""COMPUTED_VALUE"""),"Despite cultural, political and technological change, one thing remains constant: Companies will keep trying to sell you stuff, and they’ll keep coming up with new ways to do it. Let's hear what the experts think of where the industry is going.")</f>
        <v>Despite cultural, political and technological change, one thing remains constant: Companies will keep trying to sell you stuff, and they’ll keep coming up with new ways to do it. Let's hear what the experts think of where the industry is going.</v>
      </c>
      <c r="C193" s="10" t="str">
        <f>IFERROR(__xludf.DUMMYFUNCTION("""COMPUTED_VALUE"""),"PandaConf")</f>
        <v>PandaConf</v>
      </c>
      <c r="D193" s="10" t="str">
        <f>IFERROR(__xludf.DUMMYFUNCTION("""COMPUTED_VALUE"""),"Dan Gardner, Amy Buckner Chowdhry, Tim Kobe and Marty Swant")</f>
        <v>Dan Gardner, Amy Buckner Chowdhry, Tim Kobe and Marty Swant</v>
      </c>
      <c r="E193" s="10" t="str">
        <f>IFERROR(__xludf.DUMMYFUNCTION("""COMPUTED_VALUE"""),"Dan Gardner,Amy Buckner Chowdhry,Tim Kobe,Marty Swant")</f>
        <v>Dan Gardner,Amy Buckner Chowdhry,Tim Kobe,Marty Swant</v>
      </c>
      <c r="F193" s="10" t="str">
        <f>IFERROR(__xludf.DUMMYFUNCTION("""COMPUTED_VALUE"""),"2019/11/07 14:10:00")</f>
        <v>2019/11/07 14:10:00</v>
      </c>
      <c r="G193" s="10" t="str">
        <f>IFERROR(__xludf.DUMMYFUNCTION("""COMPUTED_VALUE"""),"2019/11/07 14:35:00")</f>
        <v>2019/11/07 14:35:00</v>
      </c>
      <c r="H193" s="10" t="str">
        <f>IFERROR(__xludf.DUMMYFUNCTION("""COMPUTED_VALUE"""),"cd12ea61-81ae-49e1-85cf-c58408fce6bb")</f>
        <v>cd12ea61-81ae-49e1-85cf-c58408fce6bb</v>
      </c>
      <c r="I193" s="10" t="str">
        <f>IFERROR(__xludf.DUMMYFUNCTION("""COMPUTED_VALUE"""),"cd12ea61-81ae-49e1-85cf-c58408fce6bb")</f>
        <v>cd12ea61-81ae-49e1-85cf-c58408fce6bb</v>
      </c>
    </row>
    <row r="194">
      <c r="A194" s="10" t="str">
        <f>IFERROR(__xludf.DUMMYFUNCTION("""COMPUTED_VALUE"""),"What I learned from building a 'unicorn' ")</f>
        <v>What I learned from building a 'unicorn' </v>
      </c>
      <c r="B194" s="10" t="str">
        <f>IFERROR(__xludf.DUMMYFUNCTION("""COMPUTED_VALUE"""),"Tech unicorns are no longer as rare as the name suggests, but those that survive the test of time (and balance sheets) might be. Three unicorn founders talk about the difference between high valuations and actually running a successful company.")</f>
        <v>Tech unicorns are no longer as rare as the name suggests, but those that survive the test of time (and balance sheets) might be. Three unicorn founders talk about the difference between high valuations and actually running a successful company.</v>
      </c>
      <c r="C194" s="10" t="str">
        <f>IFERROR(__xludf.DUMMYFUNCTION("""COMPUTED_VALUE"""),"Startup University")</f>
        <v>Startup University</v>
      </c>
      <c r="D194" s="10" t="str">
        <f>IFERROR(__xludf.DUMMYFUNCTION("""COMPUTED_VALUE"""),"Melanie Perkins, Mada Seghete, Lucy Liu and Ryan Browne")</f>
        <v>Melanie Perkins, Mada Seghete, Lucy Liu and Ryan Browne</v>
      </c>
      <c r="E194" s="10" t="str">
        <f>IFERROR(__xludf.DUMMYFUNCTION("""COMPUTED_VALUE"""),"Melanie Perkins,Mada Seghete,Lucy Liu,Ryan Browne")</f>
        <v>Melanie Perkins,Mada Seghete,Lucy Liu,Ryan Browne</v>
      </c>
      <c r="F194" s="10" t="str">
        <f>IFERROR(__xludf.DUMMYFUNCTION("""COMPUTED_VALUE"""),"2019/11/05 16:05:00")</f>
        <v>2019/11/05 16:05:00</v>
      </c>
      <c r="G194" s="10" t="str">
        <f>IFERROR(__xludf.DUMMYFUNCTION("""COMPUTED_VALUE"""),"2019/11/05 16:30:00")</f>
        <v>2019/11/05 16:30:00</v>
      </c>
      <c r="H194" s="10" t="str">
        <f>IFERROR(__xludf.DUMMYFUNCTION("""COMPUTED_VALUE"""),"6f917ff5-7193-40fb-bda6-f2cdac423d6e")</f>
        <v>6f917ff5-7193-40fb-bda6-f2cdac423d6e</v>
      </c>
      <c r="I194" s="10" t="str">
        <f>IFERROR(__xludf.DUMMYFUNCTION("""COMPUTED_VALUE"""),"6f917ff5-7193-40fb-bda6-f2cdac423d6e")</f>
        <v>6f917ff5-7193-40fb-bda6-f2cdac423d6e</v>
      </c>
    </row>
    <row r="195">
      <c r="A195" s="10" t="str">
        <f>IFERROR(__xludf.DUMMYFUNCTION("""COMPUTED_VALUE"""),"Experian's approach to data innovation ")</f>
        <v>Experian's approach to data innovation </v>
      </c>
      <c r="B195" s="10" t="str">
        <f>IFERROR(__xludf.DUMMYFUNCTION("""COMPUTED_VALUE"""),"5.8 million people are virtually invisible to the mainstream financial system that most people take for granted. This talk will cover the problems the potential solution found in data, and what key learnings can be adopted by the tech community at large.
"&amp;"
")</f>
        <v>5.8 million people are virtually invisible to the mainstream financial system that most people take for granted. This talk will cover the problems the potential solution found in data, and what key learnings can be adopted by the tech community at large.
</v>
      </c>
      <c r="C195" s="10" t="str">
        <f>IFERROR(__xludf.DUMMYFUNCTION("""COMPUTED_VALUE"""),"Startup University")</f>
        <v>Startup University</v>
      </c>
      <c r="D195" s="10" t="str">
        <f>IFERROR(__xludf.DUMMYFUNCTION("""COMPUTED_VALUE"""),"Jonathan Westley")</f>
        <v>Jonathan Westley</v>
      </c>
      <c r="E195" s="10" t="str">
        <f>IFERROR(__xludf.DUMMYFUNCTION("""COMPUTED_VALUE"""),"Jonathan Westley")</f>
        <v>Jonathan Westley</v>
      </c>
      <c r="F195" s="10" t="str">
        <f>IFERROR(__xludf.DUMMYFUNCTION("""COMPUTED_VALUE"""),"2019/11/06 11:30:00")</f>
        <v>2019/11/06 11:30:00</v>
      </c>
      <c r="G195" s="10" t="str">
        <f>IFERROR(__xludf.DUMMYFUNCTION("""COMPUTED_VALUE"""),"2019/11/06 11:50:00")</f>
        <v>2019/11/06 11:50:00</v>
      </c>
      <c r="H195" s="10" t="str">
        <f>IFERROR(__xludf.DUMMYFUNCTION("""COMPUTED_VALUE"""),"26433169-4936-4d3a-9b98-d91e6070b895")</f>
        <v>26433169-4936-4d3a-9b98-d91e6070b895</v>
      </c>
      <c r="I195" s="10" t="str">
        <f>IFERROR(__xludf.DUMMYFUNCTION("""COMPUTED_VALUE"""),"26433169-4936-4d3a-9b98-d91e6070b895")</f>
        <v>26433169-4936-4d3a-9b98-d91e6070b895</v>
      </c>
    </row>
    <row r="196">
      <c r="A196" s="10" t="str">
        <f>IFERROR(__xludf.DUMMYFUNCTION("""COMPUTED_VALUE"""),"Multi-platform media: The digital challenge")</f>
        <v>Multi-platform media: The digital challenge</v>
      </c>
      <c r="B196" s="10" t="str">
        <f>IFERROR(__xludf.DUMMYFUNCTION("""COMPUTED_VALUE"""),"This discussion will look at the changing face of traditional media and ask what both heritage brands and digitally native outlets need to do to thrive in a multi-platform environment. ")</f>
        <v>This discussion will look at the changing face of traditional media and ask what both heritage brands and digitally native outlets need to do to thrive in a multi-platform environment. </v>
      </c>
      <c r="C196" s="10" t="str">
        <f>IFERROR(__xludf.DUMMYFUNCTION("""COMPUTED_VALUE"""),"ContentMakers")</f>
        <v>ContentMakers</v>
      </c>
      <c r="D196" s="10" t="str">
        <f>IFERROR(__xludf.DUMMYFUNCTION("""COMPUTED_VALUE"""),"Larry Fitzgibbon, Victoriya Boklag, Kelly Bales and Erika Allen")</f>
        <v>Larry Fitzgibbon, Victoriya Boklag, Kelly Bales and Erika Allen</v>
      </c>
      <c r="E196" s="10" t="str">
        <f>IFERROR(__xludf.DUMMYFUNCTION("""COMPUTED_VALUE"""),"Larry Fitzgibbon,Victoriya Boklag,Kelly Bales,Erika Allen")</f>
        <v>Larry Fitzgibbon,Victoriya Boklag,Kelly Bales,Erika Allen</v>
      </c>
      <c r="F196" s="10" t="str">
        <f>IFERROR(__xludf.DUMMYFUNCTION("""COMPUTED_VALUE"""),"2019/11/06 12:30:00")</f>
        <v>2019/11/06 12:30:00</v>
      </c>
      <c r="G196" s="10" t="str">
        <f>IFERROR(__xludf.DUMMYFUNCTION("""COMPUTED_VALUE"""),"2019/11/06 12:50:00")</f>
        <v>2019/11/06 12:50:00</v>
      </c>
      <c r="H196" s="10" t="str">
        <f>IFERROR(__xludf.DUMMYFUNCTION("""COMPUTED_VALUE"""),"f3067ba0-d16f-476b-b9db-bf84b746156f")</f>
        <v>f3067ba0-d16f-476b-b9db-bf84b746156f</v>
      </c>
      <c r="I196" s="10" t="str">
        <f>IFERROR(__xludf.DUMMYFUNCTION("""COMPUTED_VALUE"""),"f3067ba0-d16f-476b-b9db-bf84b746156f")</f>
        <v>f3067ba0-d16f-476b-b9db-bf84b746156f</v>
      </c>
    </row>
    <row r="197">
      <c r="A197" s="10" t="str">
        <f>IFERROR(__xludf.DUMMYFUNCTION("""COMPUTED_VALUE"""),"PITCH ground round 17")</f>
        <v>PITCH ground round 17</v>
      </c>
      <c r="B197" s="10" t="str">
        <f>IFERROR(__xludf.DUMMYFUNCTION("""COMPUTED_VALUE"""),"")</f>
        <v/>
      </c>
      <c r="C197" s="10" t="str">
        <f>IFERROR(__xludf.DUMMYFUNCTION("""COMPUTED_VALUE"""),"")</f>
        <v/>
      </c>
      <c r="D197" s="10" t="str">
        <f>IFERROR(__xludf.DUMMYFUNCTION("""COMPUTED_VALUE"""),"Zach Coelius,  Michael Szalontay,  Yamilette Cano,  Henri Baker,  Patricia Alves,  Tal Ben-Simon,  Erika Vincent,  Christoph Hantschk,  Alexander Zaytsev,  Alberto Noronha and  Leah Cohen and Rosse Gates")</f>
        <v>Zach Coelius,  Michael Szalontay,  Yamilette Cano,  Henri Baker,  Patricia Alves,  Tal Ben-Simon,  Erika Vincent,  Christoph Hantschk,  Alexander Zaytsev,  Alberto Noronha and  Leah Cohen and Rosse Gates</v>
      </c>
      <c r="E197" s="10" t="str">
        <f>IFERROR(__xludf.DUMMYFUNCTION("""COMPUTED_VALUE"""),"Zach Coelius, Michael Szalontay, Yamilette Cano, Henri Baker, Patricia Alves, Tal Ben-Simon, Erika Vincent, Christoph Hantschk, Alexander Zaytsev, Alberto Noronha, Leah Cohen and Rosse Gates")</f>
        <v>Zach Coelius, Michael Szalontay, Yamilette Cano, Henri Baker, Patricia Alves, Tal Ben-Simon, Erika Vincent, Christoph Hantschk, Alexander Zaytsev, Alberto Noronha, Leah Cohen and Rosse Gates</v>
      </c>
      <c r="F197" s="10" t="str">
        <f>IFERROR(__xludf.DUMMYFUNCTION("""COMPUTED_VALUE"""),"")</f>
        <v/>
      </c>
      <c r="G197" s="10" t="str">
        <f>IFERROR(__xludf.DUMMYFUNCTION("""COMPUTED_VALUE"""),"")</f>
        <v/>
      </c>
      <c r="H197" s="10" t="str">
        <f>IFERROR(__xludf.DUMMYFUNCTION("""COMPUTED_VALUE"""),"2db93563-4078-59e0-a3f8-e995b6cacd50")</f>
        <v>2db93563-4078-59e0-a3f8-e995b6cacd50</v>
      </c>
      <c r="I197" s="10" t="str">
        <f>IFERROR(__xludf.DUMMYFUNCTION("""COMPUTED_VALUE"""),"2db93563-4078-59e0-a3f8-e995b6cacd50")</f>
        <v>2db93563-4078-59e0-a3f8-e995b6cacd50</v>
      </c>
    </row>
    <row r="198">
      <c r="A198" s="10" t="str">
        <f>IFERROR(__xludf.DUMMYFUNCTION("""COMPUTED_VALUE"""),"Featured venue: Messe Pizzaria")</f>
        <v>Featured venue: Messe Pizzaria</v>
      </c>
      <c r="B198" s="10" t="str">
        <f>IFERROR(__xludf.DUMMYFUNCTION("""COMPUTED_VALUE"""),"Want a slice of the action? There's few things as satifying as fresh pizza straight out of the oven, and this is the spot to get it. Enjoy these homemade pizzas in the restaurant or under the Lisbon sky in the outside area. 
Night Summit deals:
Pizza "&amp;"+ free drink (beer, water, or juice)")</f>
        <v>Want a slice of the action? There's few things as satifying as fresh pizza straight out of the oven, and this is the spot to get it. Enjoy these homemade pizzas in the restaurant or under the Lisbon sky in the outside area. 
Night Summit deals:
Pizza + free drink (beer, water, or juice)</v>
      </c>
      <c r="C198" s="10" t="str">
        <f>IFERROR(__xludf.DUMMYFUNCTION("""COMPUTED_VALUE"""),"Messe Pizzaria")</f>
        <v>Messe Pizzaria</v>
      </c>
      <c r="D198" s="10" t="str">
        <f>IFERROR(__xludf.DUMMYFUNCTION("""COMPUTED_VALUE"""),"")</f>
        <v/>
      </c>
      <c r="E198" s="10" t="str">
        <f>IFERROR(__xludf.DUMMYFUNCTION("""COMPUTED_VALUE"""),"")</f>
        <v/>
      </c>
      <c r="F198" s="10" t="str">
        <f>IFERROR(__xludf.DUMMYFUNCTION("""COMPUTED_VALUE"""),"2019/11/06 20:00:00")</f>
        <v>2019/11/06 20:00:00</v>
      </c>
      <c r="G198" s="10" t="str">
        <f>IFERROR(__xludf.DUMMYFUNCTION("""COMPUTED_VALUE"""),"2019/11/07 02:00:00")</f>
        <v>2019/11/07 02:00:00</v>
      </c>
      <c r="H198" s="10" t="str">
        <f>IFERROR(__xludf.DUMMYFUNCTION("""COMPUTED_VALUE"""),"fd05e381-4301-40e1-9560-ae4220e3118a")</f>
        <v>fd05e381-4301-40e1-9560-ae4220e3118a</v>
      </c>
      <c r="I198" s="10" t="str">
        <f>IFERROR(__xludf.DUMMYFUNCTION("""COMPUTED_VALUE"""),"fd05e381-4301-40e1-9560-ae4220e3118a")</f>
        <v>fd05e381-4301-40e1-9560-ae4220e3118a</v>
      </c>
    </row>
    <row r="199">
      <c r="A199" s="10" t="str">
        <f>IFERROR(__xludf.DUMMYFUNCTION("""COMPUTED_VALUE"""),"Big data = big gains?")</f>
        <v>Big data = big gains?</v>
      </c>
      <c r="B199" s="10" t="str">
        <f>IFERROR(__xludf.DUMMYFUNCTION("""COMPUTED_VALUE"""),"Our panellists will discuss how big data and analytics solutions can help businesses to make their services more efficient.")</f>
        <v>Our panellists will discuss how big data and analytics solutions can help businesses to make their services more efficient.</v>
      </c>
      <c r="C199" s="24" t="str">
        <f>IFERROR(__xludf.DUMMYFUNCTION("""COMPUTED_VALUE"""),"binate.io")</f>
        <v>binate.io</v>
      </c>
      <c r="D199" s="10" t="str">
        <f>IFERROR(__xludf.DUMMYFUNCTION("""COMPUTED_VALUE"""),"Ilan Twig, Winnie Lee, Karthic Bala, Lori Fink and Rani Molla")</f>
        <v>Ilan Twig, Winnie Lee, Karthic Bala, Lori Fink and Rani Molla</v>
      </c>
      <c r="E199" s="10" t="str">
        <f>IFERROR(__xludf.DUMMYFUNCTION("""COMPUTED_VALUE"""),"Ilan Twig,Winnie Lee,Karthic Bala,Lori Fink,Rani Molla")</f>
        <v>Ilan Twig,Winnie Lee,Karthic Bala,Lori Fink,Rani Molla</v>
      </c>
      <c r="F199" s="10" t="str">
        <f>IFERROR(__xludf.DUMMYFUNCTION("""COMPUTED_VALUE"""),"2019/11/06 11:40:00")</f>
        <v>2019/11/06 11:40:00</v>
      </c>
      <c r="G199" s="10" t="str">
        <f>IFERROR(__xludf.DUMMYFUNCTION("""COMPUTED_VALUE"""),"2019/11/06 12:05:00")</f>
        <v>2019/11/06 12:05:00</v>
      </c>
      <c r="H199" s="10" t="str">
        <f>IFERROR(__xludf.DUMMYFUNCTION("""COMPUTED_VALUE"""),"94cb956d-fb44-48da-be1a-c1d81057c018")</f>
        <v>94cb956d-fb44-48da-be1a-c1d81057c018</v>
      </c>
      <c r="I199" s="10" t="str">
        <f>IFERROR(__xludf.DUMMYFUNCTION("""COMPUTED_VALUE"""),"94cb956d-fb44-48da-be1a-c1d81057c018")</f>
        <v>94cb956d-fb44-48da-be1a-c1d81057c018</v>
      </c>
    </row>
    <row r="200">
      <c r="A200" s="10" t="str">
        <f>IFERROR(__xludf.DUMMYFUNCTION("""COMPUTED_VALUE"""),"Startup Showcase")</f>
        <v>Startup Showcase</v>
      </c>
      <c r="B200" s="10"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
")</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
</v>
      </c>
      <c r="C200" s="10" t="str">
        <f>IFERROR(__xludf.DUMMYFUNCTION("""COMPUTED_VALUE"""),"Startup Showcase 1")</f>
        <v>Startup Showcase 1</v>
      </c>
      <c r="D200" s="10" t="str">
        <f>IFERROR(__xludf.DUMMYFUNCTION("""COMPUTED_VALUE"""),"Frances Schwiep, Anton Merlin, Vitaly Zdanevich, Manon Langnel, Sophie Smallwood, Alina Vandenberghe, Damiano D'Amici, Hélder Loio, Romain Parel, Markellos Diorinos,  Alex Pilguy, Nicolas Dubouloz, James Rees, Ben Beh, Eduardo Brás, Meriem Chafiqi, Henriq"&amp;"ue Araujo, Marco Paolini, Chris Amato, Leah Pilguy, Rita Januário, Faiza Choudhury, Omar Adnan, Simon Courtois, Anas El Arras, vincent trusgnach, Bertrand Muth, Ross McGee, Mark Bate, Martin Plouy, Pedro Reis, Jami Saiful, Paul Roberts, Ahmed Elghareeb, B"&amp;"ilal Ali Kamri, George Laliashvili, James Smith, Jack Taylor, Polly Howden, Ricky Angel, Matthieu de la Fourniere, Vitaliy Sichkar, Vitaliy Zdanevich, Fabiano Izzo, Lydia Morazzani, Rob Fernandes, Dave Smallwood, Andy Goldfinch, Soumya Shubhra Ghosh and N"&amp;"aomi Lim")</f>
        <v>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Soumya Shubhra Ghosh and Naomi Lim</v>
      </c>
      <c r="E200" s="10" t="str">
        <f>IFERROR(__xludf.DUMMYFUNCTION("""COMPUTED_VALUE"""),"Frances Schwiep,Anton Merlin,Vitaly Zdanevich,Manon Langnel,Sophie Smallwood,Alina Vandenberghe,Damiano D'Amici,Hélder Loio,Romain Parel,Markellos Diorinos, Alex Pilguy,Nicolas Dubouloz,James Rees,Ben Beh,Eduardo Brás,Meriem Chafiqi,Henrique Araujo,Marco "&amp;"Paolini,Chris Amato,Leah Pilguy,Rita Januário,Faiza Choudhury,Omar Adnan,Simon Courtois,Anas El Arras,vincent trusgnach,Bertrand Muth,Ross McGee,Mark Bate,Martin Plouy,Pedro Reis,Jami Saiful,Paul Roberts,Ahmed Elghareeb,Bilal Ali Kamri,George Laliashvili,"&amp;"James Smith,Jack Taylor,Polly Howden,Ricky Angel,Matthieu de la Fourniere,Vitaliy Sichkar,Vitaliy Zdanevich,Fabiano Izzo,Lydia Morazzani,Rob Fernandes,Dave Smallwood,Andy Goldfinch,Soumya Shubhra Ghosh,Naomi Lim")</f>
        <v>Frances Schwiep,Anton Merlin,Vitaly Zdanevich,Manon Langnel,Sophie Smallwood,Alina Vandenberghe,Damiano D'Amici,Hélder Loio,Romain Parel,Markellos Diorinos, Alex Pilguy,Nicolas Dubouloz,James Rees,Ben Beh,Eduardo Brás,Meriem Chafiqi,Henrique Araujo,Marco Paolini,Chris Amato,Leah Pilguy,Rita Januário,Faiza Choudhury,Omar Adnan,Simon Courtois,Anas El Arras,vincent trusgnach,Bertrand Muth,Ross McGee,Mark Bate,Martin Plouy,Pedro Reis,Jami Saiful,Paul Roberts,Ahmed Elghareeb,Bilal Ali Kamri,George Laliashvili,James Smith,Jack Taylor,Polly Howden,Ricky Angel,Matthieu de la Fourniere,Vitaliy Sichkar,Vitaliy Zdanevich,Fabiano Izzo,Lydia Morazzani,Rob Fernandes,Dave Smallwood,Andy Goldfinch,Soumya Shubhra Ghosh,Naomi Lim</v>
      </c>
      <c r="F200" s="10" t="str">
        <f>IFERROR(__xludf.DUMMYFUNCTION("""COMPUTED_VALUE"""),"2019/11/06 15:15:00")</f>
        <v>2019/11/06 15:15:00</v>
      </c>
      <c r="G200" s="10" t="str">
        <f>IFERROR(__xludf.DUMMYFUNCTION("""COMPUTED_VALUE"""),"2019/11/06 16:15:00")</f>
        <v>2019/11/06 16:15:00</v>
      </c>
      <c r="H200" s="10" t="str">
        <f>IFERROR(__xludf.DUMMYFUNCTION("""COMPUTED_VALUE"""),"3b5ee924-88e6-4ef0-bfb3-441ac0b91db8")</f>
        <v>3b5ee924-88e6-4ef0-bfb3-441ac0b91db8</v>
      </c>
      <c r="I200" s="10" t="str">
        <f>IFERROR(__xludf.DUMMYFUNCTION("""COMPUTED_VALUE"""),"3b5ee924-88e6-4ef0-bfb3-441ac0b91db8")</f>
        <v>3b5ee924-88e6-4ef0-bfb3-441ac0b91db8</v>
      </c>
    </row>
    <row r="201">
      <c r="A201" s="10" t="str">
        <f>IFERROR(__xludf.DUMMYFUNCTION("""COMPUTED_VALUE"""),"Keep on creating")</f>
        <v>Keep on creating</v>
      </c>
      <c r="B201" s="10" t="str">
        <f>IFERROR(__xludf.DUMMYFUNCTION("""COMPUTED_VALUE"""),"Ronaldinho joins us with an inspiring message for everybody at Web Summit.")</f>
        <v>Ronaldinho joins us with an inspiring message for everybody at Web Summit.</v>
      </c>
      <c r="C201" s="10" t="str">
        <f>IFERROR(__xludf.DUMMYFUNCTION("""COMPUTED_VALUE"""),"Centre Stage")</f>
        <v>Centre Stage</v>
      </c>
      <c r="D201" s="10" t="str">
        <f>IFERROR(__xludf.DUMMYFUNCTION("""COMPUTED_VALUE"""),"  and Viktor Huszar")</f>
        <v>  and Viktor Huszar</v>
      </c>
      <c r="E201" s="10" t="str">
        <f>IFERROR(__xludf.DUMMYFUNCTION("""COMPUTED_VALUE""")," ,Viktor Huszar")</f>
        <v> ,Viktor Huszar</v>
      </c>
      <c r="F201" s="10" t="str">
        <f>IFERROR(__xludf.DUMMYFUNCTION("""COMPUTED_VALUE"""),"2019/11/05 15:50:00")</f>
        <v>2019/11/05 15:50:00</v>
      </c>
      <c r="G201" s="10" t="str">
        <f>IFERROR(__xludf.DUMMYFUNCTION("""COMPUTED_VALUE"""),"2019/11/05 16:00:00")</f>
        <v>2019/11/05 16:00:00</v>
      </c>
      <c r="H201" s="10" t="str">
        <f>IFERROR(__xludf.DUMMYFUNCTION("""COMPUTED_VALUE"""),"c16e1b67-6054-472e-a051-c5b94870d36a")</f>
        <v>c16e1b67-6054-472e-a051-c5b94870d36a</v>
      </c>
      <c r="I201" s="10" t="str">
        <f>IFERROR(__xludf.DUMMYFUNCTION("""COMPUTED_VALUE"""),"c16e1b67-6054-472e-a051-c5b94870d36a")</f>
        <v>c16e1b67-6054-472e-a051-c5b94870d36a</v>
      </c>
    </row>
    <row r="202">
      <c r="A202" s="10" t="str">
        <f>IFERROR(__xludf.DUMMYFUNCTION("""COMPUTED_VALUE"""),"Lisbon and the world")</f>
        <v>Lisbon and the world</v>
      </c>
      <c r="B202" s="10" t="str">
        <f>IFERROR(__xludf.DUMMYFUNCTION("""COMPUTED_VALUE"""),"John Graham-Cumming, the CTO of Cloudflare in his interview with Mariana Barbosa, the Editor of ECO, talks about opening the office in Lisbon and the future of the SaaS industry.")</f>
        <v>John Graham-Cumming, the CTO of Cloudflare in his interview with Mariana Barbosa, the Editor of ECO, talks about opening the office in Lisbon and the future of the SaaS industry.</v>
      </c>
      <c r="C202" s="10" t="str">
        <f>IFERROR(__xludf.DUMMYFUNCTION("""COMPUTED_VALUE"""),"SaaS Monster")</f>
        <v>SaaS Monster</v>
      </c>
      <c r="D202" s="10" t="str">
        <f>IFERROR(__xludf.DUMMYFUNCTION("""COMPUTED_VALUE"""),"John Graham-Cumming and Mariana Barbosa")</f>
        <v>John Graham-Cumming and Mariana Barbosa</v>
      </c>
      <c r="E202" s="10" t="str">
        <f>IFERROR(__xludf.DUMMYFUNCTION("""COMPUTED_VALUE"""),"John Graham-Cumming,Mariana Barbosa")</f>
        <v>John Graham-Cumming,Mariana Barbosa</v>
      </c>
      <c r="F202" s="10" t="str">
        <f>IFERROR(__xludf.DUMMYFUNCTION("""COMPUTED_VALUE"""),"2019/11/05 15:05:00")</f>
        <v>2019/11/05 15:05:00</v>
      </c>
      <c r="G202" s="10" t="str">
        <f>IFERROR(__xludf.DUMMYFUNCTION("""COMPUTED_VALUE"""),"2019/11/05 15:25:00")</f>
        <v>2019/11/05 15:25:00</v>
      </c>
      <c r="H202" s="10" t="str">
        <f>IFERROR(__xludf.DUMMYFUNCTION("""COMPUTED_VALUE"""),"6496ba34-14e0-4480-ad1f-5c2d82992dc1")</f>
        <v>6496ba34-14e0-4480-ad1f-5c2d82992dc1</v>
      </c>
      <c r="I202" s="10" t="str">
        <f>IFERROR(__xludf.DUMMYFUNCTION("""COMPUTED_VALUE"""),"6496ba34-14e0-4480-ad1f-5c2d82992dc1")</f>
        <v>6496ba34-14e0-4480-ad1f-5c2d82992dc1</v>
      </c>
    </row>
    <row r="203">
      <c r="A203" s="10" t="str">
        <f>IFERROR(__xludf.DUMMYFUNCTION("""COMPUTED_VALUE"""),"Top new laptop releases")</f>
        <v>Top new laptop releases</v>
      </c>
      <c r="B203" s="10" t="str">
        <f>IFERROR(__xludf.DUMMYFUNCTION("""COMPUTED_VALUE"""),"Are you looking to replace your old laptop with a new one; one that can work for home, for work or for gaming? Our panel will analyse new entries to the market to help you decide. ")</f>
        <v>Are you looking to replace your old laptop with a new one; one that can work for home, for work or for gaming? Our panel will analyse new entries to the market to help you decide. </v>
      </c>
      <c r="C203" s="10" t="str">
        <f>IFERROR(__xludf.DUMMYFUNCTION("""COMPUTED_VALUE"""),"UnBoxed")</f>
        <v>UnBoxed</v>
      </c>
      <c r="D203" s="10" t="str">
        <f>IFERROR(__xludf.DUMMYFUNCTION("""COMPUTED_VALUE"""),"Eli Etherton, Tom Honeyands, Jacklyn Dallas and Jess Kelly")</f>
        <v>Eli Etherton, Tom Honeyands, Jacklyn Dallas and Jess Kelly</v>
      </c>
      <c r="E203" s="10" t="str">
        <f>IFERROR(__xludf.DUMMYFUNCTION("""COMPUTED_VALUE"""),"Eli Etherton,Tom Honeyands,Jacklyn Dallas,Jess Kelly")</f>
        <v>Eli Etherton,Tom Honeyands,Jacklyn Dallas,Jess Kelly</v>
      </c>
      <c r="F203" s="10" t="str">
        <f>IFERROR(__xludf.DUMMYFUNCTION("""COMPUTED_VALUE"""),"2019/11/05 14:30:00")</f>
        <v>2019/11/05 14:30:00</v>
      </c>
      <c r="G203" s="10" t="str">
        <f>IFERROR(__xludf.DUMMYFUNCTION("""COMPUTED_VALUE"""),"2019/11/05 15:00:00")</f>
        <v>2019/11/05 15:00:00</v>
      </c>
      <c r="H203" s="10" t="str">
        <f>IFERROR(__xludf.DUMMYFUNCTION("""COMPUTED_VALUE"""),"d021f579-3162-45c0-b54e-34272155149c")</f>
        <v>d021f579-3162-45c0-b54e-34272155149c</v>
      </c>
      <c r="I203" s="10" t="str">
        <f>IFERROR(__xludf.DUMMYFUNCTION("""COMPUTED_VALUE"""),"d021f579-3162-45c0-b54e-34272155149c")</f>
        <v>d021f579-3162-45c0-b54e-34272155149c</v>
      </c>
    </row>
    <row r="204">
      <c r="A204" s="10" t="str">
        <f>IFERROR(__xludf.DUMMYFUNCTION("""COMPUTED_VALUE"""),"Supporting entrepreneurs in new markets")</f>
        <v>Supporting entrepreneurs in new markets</v>
      </c>
      <c r="B204" s="10" t="str">
        <f>IFERROR(__xludf.DUMMYFUNCTION("""COMPUTED_VALUE"""),"Balancing value and profit: Learn how VCs support tech companies in developing countries that have the ability to succeed and change the world for the better.")</f>
        <v>Balancing value and profit: Learn how VCs support tech companies in developing countries that have the ability to succeed and change the world for the better.</v>
      </c>
      <c r="C204" s="10" t="str">
        <f>IFERROR(__xludf.DUMMYFUNCTION("""COMPUTED_VALUE"""),"Venture stage")</f>
        <v>Venture stage</v>
      </c>
      <c r="D204" s="10" t="str">
        <f>IFERROR(__xludf.DUMMYFUNCTION("""COMPUTED_VALUE"""),"Maya Horgan Famodu, Michael Schlein, Pedro Santos Vieira and Alara Basul")</f>
        <v>Maya Horgan Famodu, Michael Schlein, Pedro Santos Vieira and Alara Basul</v>
      </c>
      <c r="E204" s="10" t="str">
        <f>IFERROR(__xludf.DUMMYFUNCTION("""COMPUTED_VALUE"""),"Maya Horgan Famodu,Michael Schlein,Pedro Santos Vieira,Alara Basul")</f>
        <v>Maya Horgan Famodu,Michael Schlein,Pedro Santos Vieira,Alara Basul</v>
      </c>
      <c r="F204" s="10" t="str">
        <f>IFERROR(__xludf.DUMMYFUNCTION("""COMPUTED_VALUE"""),"2019/11/05 14:45:00")</f>
        <v>2019/11/05 14:45:00</v>
      </c>
      <c r="G204" s="10" t="str">
        <f>IFERROR(__xludf.DUMMYFUNCTION("""COMPUTED_VALUE"""),"2019/11/05 15:05:00")</f>
        <v>2019/11/05 15:05:00</v>
      </c>
      <c r="H204" s="10" t="str">
        <f>IFERROR(__xludf.DUMMYFUNCTION("""COMPUTED_VALUE"""),"03db29c5-bb66-4c68-ba88-726280dd5d62")</f>
        <v>03db29c5-bb66-4c68-ba88-726280dd5d62</v>
      </c>
      <c r="I204" s="10" t="str">
        <f>IFERROR(__xludf.DUMMYFUNCTION("""COMPUTED_VALUE"""),"03db29c5-bb66-4c68-ba88-726280dd5d62")</f>
        <v>03db29c5-bb66-4c68-ba88-726280dd5d62</v>
      </c>
    </row>
    <row r="205">
      <c r="A205" s="10" t="str">
        <f>IFERROR(__xludf.DUMMYFUNCTION("""COMPUTED_VALUE"""),"Startup Showcase")</f>
        <v>Startup Showcase</v>
      </c>
      <c r="B205" s="10"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v>
      </c>
      <c r="C205" s="10" t="str">
        <f>IFERROR(__xludf.DUMMYFUNCTION("""COMPUTED_VALUE"""),"Startup Showcase 2")</f>
        <v>Startup Showcase 2</v>
      </c>
      <c r="D205" s="10" t="str">
        <f>IFERROR(__xludf.DUMMYFUNCTION("""COMPUTED_VALUE"""),"IGOR OVCHARENKO, Ekaterina Spiegel, Charles De Gastines, Alexandr Nedostupov, Raivo Malter, Sara Marques, Martin Berggren, Tanel Orro, Sunil Bhardwaj, Gaby Treiband, Fernanda Cortellini, Matteo Rossi, Rashed AlTammar, John Cavebring, Diego Dal Cero, Filip"&amp;"p Shubin, Stefania Sulis, Salvador Lukas Serrano Stieglitz, Evald-Hannes Kree, Tainan Lamas, Kirill Tripolski, Laurent Bruchez, Kirill Gorynya, Dmytro Moskalenko, Sarah Almachar, Ebrahim Alrashed, Thomas Sevège, Maxim Yehorov, Pablo Pfister, OLGA STAROSOT"&amp;"SKA, Kastriot Fazliu, Toomas Tirman, Tricia Buenvenida, Tariq El-Asad, Khaled Al Rashed, Fellipe Tenorio, Paola Rojas, Jacquelin Becheau La Fonta, Alexander Conceicao, Amyn Chagan, Francois Dumont, Renato Pavan, Max Bubuioc, Adam Boulel, James Coop, Arber"&amp;" Fazliu, Ferran Martinez, Florian Zermatten, Axel Arvidsson and Mattia Rossi")</f>
        <v>IGOR OVCHARENKO, Ekaterina Spiegel, Charles De Gastines, Alexandr Nedostupov, Raivo Malter, Sara Marques, Martin Berggren, Tanel Orro, Sunil Bhardwaj, Gaby Treiband, Fernanda Cortellini, Matteo Rossi, Rashed AlTammar, John Cavebring, Diego Dal Cero, Filipp Shubin, Stefania Sulis, Salvador Lukas Serrano Stieglitz, Evald-Hannes Kree, Tainan Lamas, Kirill Tripolski, Laurent Bruchez, Kirill Gorynya, Dmytro Moskalenko, Sarah Almachar, Ebrahim Alrashed, Thomas Sevège, Maxim Yehorov, Pablo Pfister, OLGA STAROSOTSKA, Kastriot Fazliu, Toomas Tirman, Tricia Buenvenida, Tariq El-Asad, Khaled Al Rashed, Fellipe Tenorio, Paola Rojas, Jacquelin Becheau La Fonta, Alexander Conceicao, Amyn Chagan, Francois Dumont, Renato Pavan, Max Bubuioc, Adam Boulel, James Coop, Arber Fazliu, Ferran Martinez, Florian Zermatten, Axel Arvidsson and Mattia Rossi</v>
      </c>
      <c r="E205" s="10" t="str">
        <f>IFERROR(__xludf.DUMMYFUNCTION("""COMPUTED_VALUE"""),"IGOR OVCHARENKO,Ekaterina Spiegel,Charles De Gastines,Alexandr Nedostupov,Raivo Malter,Sara Marques,Martin Berggren,Tanel Orro,Sunil Bhardwaj,Gaby Treiband,Fernanda Cortellini,Matteo Rossi,Rashed AlTammar,John Cavebring,Diego Dal Cero,Filipp Shubin,Stefan"&amp;"ia Sulis,Salvador Lukas Serrano Stieglitz,Evald-Hannes Kree,Tainan Lamas,Kirill Tripolski,Laurent Bruchez,Kirill Gorynya,Dmytro Moskalenko,Sarah Almachar,Ebrahim Alrashed,Thomas Sevège,Maxim Yehorov,Pablo Pfister,OLGA STAROSOTSKA,Kastriot Fazliu,Toomas Ti"&amp;"rman,Tricia Buenvenida,Tariq El-Asad,Khaled Al Rashed,Fellipe Tenorio,Paola Rojas,Jacquelin Becheau La Fonta,Alexander Conceicao,Amyn Chagan,Francois Dumont,Renato Pavan,Max Bubuioc,Adam Boulel,James Coop,Arber Fazliu,Ferran Martinez,Florian Zermatten,Axe"&amp;"l Arvidsson,Mattia Rossi")</f>
        <v>IGOR OVCHARENKO,Ekaterina Spiegel,Charles De Gastines,Alexandr Nedostupov,Raivo Malter,Sara Marques,Martin Berggren,Tanel Orro,Sunil Bhardwaj,Gaby Treiband,Fernanda Cortellini,Matteo Rossi,Rashed AlTammar,John Cavebring,Diego Dal Cero,Filipp Shubin,Stefania Sulis,Salvador Lukas Serrano Stieglitz,Evald-Hannes Kree,Tainan Lamas,Kirill Tripolski,Laurent Bruchez,Kirill Gorynya,Dmytro Moskalenko,Sarah Almachar,Ebrahim Alrashed,Thomas Sevège,Maxim Yehorov,Pablo Pfister,OLGA STAROSOTSKA,Kastriot Fazliu,Toomas Tirman,Tricia Buenvenida,Tariq El-Asad,Khaled Al Rashed,Fellipe Tenorio,Paola Rojas,Jacquelin Becheau La Fonta,Alexander Conceicao,Amyn Chagan,Francois Dumont,Renato Pavan,Max Bubuioc,Adam Boulel,James Coop,Arber Fazliu,Ferran Martinez,Florian Zermatten,Axel Arvidsson,Mattia Rossi</v>
      </c>
      <c r="F205" s="10" t="str">
        <f>IFERROR(__xludf.DUMMYFUNCTION("""COMPUTED_VALUE"""),"2019/11/06 15:15:00")</f>
        <v>2019/11/06 15:15:00</v>
      </c>
      <c r="G205" s="10" t="str">
        <f>IFERROR(__xludf.DUMMYFUNCTION("""COMPUTED_VALUE"""),"2019/11/06 16:15:00")</f>
        <v>2019/11/06 16:15:00</v>
      </c>
      <c r="H205" s="10" t="str">
        <f>IFERROR(__xludf.DUMMYFUNCTION("""COMPUTED_VALUE"""),"3fbacf59-99da-4000-b741-4f01eab1d253")</f>
        <v>3fbacf59-99da-4000-b741-4f01eab1d253</v>
      </c>
      <c r="I205" s="10" t="str">
        <f>IFERROR(__xludf.DUMMYFUNCTION("""COMPUTED_VALUE"""),"3fbacf59-99da-4000-b741-4f01eab1d253")</f>
        <v>3fbacf59-99da-4000-b741-4f01eab1d253</v>
      </c>
    </row>
    <row r="206">
      <c r="A206" s="10" t="str">
        <f>IFERROR(__xludf.DUMMYFUNCTION("""COMPUTED_VALUE"""),"Beyond the hype: Why everything you hear about technology is wrong")</f>
        <v>Beyond the hype: Why everything you hear about technology is wrong</v>
      </c>
      <c r="B206" s="10" t="str">
        <f>IFERROR(__xludf.DUMMYFUNCTION("""COMPUTED_VALUE"""),"In the IT world, we tend to get pretty excited by the latest thing — think Agile, AI, blockchain. But when it comes down to it, technology alone won’t save your business. Success is about focusing on outcomes and matching them with the right technology. ")</f>
        <v>In the IT world, we tend to get pretty excited by the latest thing — think Agile, AI, blockchain. But when it comes down to it, technology alone won’t save your business. Success is about focusing on outcomes and matching them with the right technology. </v>
      </c>
      <c r="C206" s="10" t="str">
        <f>IFERROR(__xludf.DUMMYFUNCTION("""COMPUTED_VALUE"""),"Auto/Tech &amp; TalkRobot")</f>
        <v>Auto/Tech &amp; TalkRobot</v>
      </c>
      <c r="D206" s="10" t="str">
        <f>IFERROR(__xludf.DUMMYFUNCTION("""COMPUTED_VALUE"""),"Arthur Hu")</f>
        <v>Arthur Hu</v>
      </c>
      <c r="E206" s="10" t="str">
        <f>IFERROR(__xludf.DUMMYFUNCTION("""COMPUTED_VALUE"""),"Arthur Hu")</f>
        <v>Arthur Hu</v>
      </c>
      <c r="F206" s="10" t="str">
        <f>IFERROR(__xludf.DUMMYFUNCTION("""COMPUTED_VALUE"""),"2019/11/07 15:10:00")</f>
        <v>2019/11/07 15:10:00</v>
      </c>
      <c r="G206" s="10" t="str">
        <f>IFERROR(__xludf.DUMMYFUNCTION("""COMPUTED_VALUE"""),"2019/11/07 15:30:00")</f>
        <v>2019/11/07 15:30:00</v>
      </c>
      <c r="H206" s="10" t="str">
        <f>IFERROR(__xludf.DUMMYFUNCTION("""COMPUTED_VALUE"""),"d3ae6007-4ef3-40d9-9ce1-d9f59c9e330d")</f>
        <v>d3ae6007-4ef3-40d9-9ce1-d9f59c9e330d</v>
      </c>
      <c r="I206" s="10" t="str">
        <f>IFERROR(__xludf.DUMMYFUNCTION("""COMPUTED_VALUE"""),"d3ae6007-4ef3-40d9-9ce1-d9f59c9e330d")</f>
        <v>d3ae6007-4ef3-40d9-9ce1-d9f59c9e330d</v>
      </c>
    </row>
    <row r="207">
      <c r="A207" s="10" t="str">
        <f>IFERROR(__xludf.DUMMYFUNCTION("""COMPUTED_VALUE"""),"New releases for the smart home")</f>
        <v>New releases for the smart home</v>
      </c>
      <c r="B207" s="10" t="str">
        <f>IFERROR(__xludf.DUMMYFUNCTION("""COMPUTED_VALUE"""),"What are the most advanced devices for your home?  Our panel of reviewers offer a glimpse into the future of the smart home with a range of new releases.")</f>
        <v>What are the most advanced devices for your home?  Our panel of reviewers offer a glimpse into the future of the smart home with a range of new releases.</v>
      </c>
      <c r="C207" s="10" t="str">
        <f>IFERROR(__xludf.DUMMYFUNCTION("""COMPUTED_VALUE"""),"UnBoxed")</f>
        <v>UnBoxed</v>
      </c>
      <c r="D207" s="10" t="str">
        <f>IFERROR(__xludf.DUMMYFUNCTION("""COMPUTED_VALUE"""),"Dominic Preston, Keaton Keller, Katie Collins and Lindsey Turrentine")</f>
        <v>Dominic Preston, Keaton Keller, Katie Collins and Lindsey Turrentine</v>
      </c>
      <c r="E207" s="10" t="str">
        <f>IFERROR(__xludf.DUMMYFUNCTION("""COMPUTED_VALUE"""),"Dominic Preston,Keaton Keller,Katie Collins,Lindsey Turrentine")</f>
        <v>Dominic Preston,Keaton Keller,Katie Collins,Lindsey Turrentine</v>
      </c>
      <c r="F207" s="10" t="str">
        <f>IFERROR(__xludf.DUMMYFUNCTION("""COMPUTED_VALUE"""),"2019/11/05 11:15:00")</f>
        <v>2019/11/05 11:15:00</v>
      </c>
      <c r="G207" s="10" t="str">
        <f>IFERROR(__xludf.DUMMYFUNCTION("""COMPUTED_VALUE"""),"2019/11/05 11:45:00")</f>
        <v>2019/11/05 11:45:00</v>
      </c>
      <c r="H207" s="10" t="str">
        <f>IFERROR(__xludf.DUMMYFUNCTION("""COMPUTED_VALUE"""),"af1046ce-9f13-4374-b494-6ae031dcefdd")</f>
        <v>af1046ce-9f13-4374-b494-6ae031dcefdd</v>
      </c>
      <c r="I207" s="10" t="str">
        <f>IFERROR(__xludf.DUMMYFUNCTION("""COMPUTED_VALUE"""),"af1046ce-9f13-4374-b494-6ae031dcefdd")</f>
        <v>af1046ce-9f13-4374-b494-6ae031dcefdd</v>
      </c>
    </row>
    <row r="208">
      <c r="A208" s="10" t="str">
        <f>IFERROR(__xludf.DUMMYFUNCTION("""COMPUTED_VALUE"""),"Opening remarks")</f>
        <v>Opening remarks</v>
      </c>
      <c r="B208" s="10" t="str">
        <f>IFERROR(__xludf.DUMMYFUNCTION("""COMPUTED_VALUE"""),"")</f>
        <v/>
      </c>
      <c r="C208" s="10" t="str">
        <f>IFERROR(__xludf.DUMMYFUNCTION("""COMPUTED_VALUE"""),"MoneyConf")</f>
        <v>MoneyConf</v>
      </c>
      <c r="D208" s="10" t="str">
        <f>IFERROR(__xludf.DUMMYFUNCTION("""COMPUTED_VALUE"""),"Roberto Hergueta")</f>
        <v>Roberto Hergueta</v>
      </c>
      <c r="E208" s="10" t="str">
        <f>IFERROR(__xludf.DUMMYFUNCTION("""COMPUTED_VALUE"""),"Roberto Hergueta")</f>
        <v>Roberto Hergueta</v>
      </c>
      <c r="F208" s="10" t="str">
        <f>IFERROR(__xludf.DUMMYFUNCTION("""COMPUTED_VALUE"""),"2019/11/07 13:50:00")</f>
        <v>2019/11/07 13:50:00</v>
      </c>
      <c r="G208" s="10" t="str">
        <f>IFERROR(__xludf.DUMMYFUNCTION("""COMPUTED_VALUE"""),"2019/11/07 14:05:00")</f>
        <v>2019/11/07 14:05:00</v>
      </c>
      <c r="H208" s="10" t="str">
        <f>IFERROR(__xludf.DUMMYFUNCTION("""COMPUTED_VALUE"""),"f0e2aaa8-e00f-4fa5-9471-e2c91aa78438")</f>
        <v>f0e2aaa8-e00f-4fa5-9471-e2c91aa78438</v>
      </c>
      <c r="I208" s="10" t="str">
        <f>IFERROR(__xludf.DUMMYFUNCTION("""COMPUTED_VALUE"""),"f0e2aaa8-e00f-4fa5-9471-e2c91aa78438")</f>
        <v>f0e2aaa8-e00f-4fa5-9471-e2c91aa78438</v>
      </c>
    </row>
    <row r="209">
      <c r="A209" s="10" t="str">
        <f>IFERROR(__xludf.DUMMYFUNCTION("""COMPUTED_VALUE"""),"Is there a future for work?")</f>
        <v>Is there a future for work?</v>
      </c>
      <c r="B209" s="10" t="str">
        <f>IFERROR(__xludf.DUMMYFUNCTION("""COMPUTED_VALUE"""),"The way we work is being transformed by technology. From how we find work to the nature of the work we are doing - technology has reshaped the fundamentals of the economy. In this session we bring together three experts to discuss the changes technology i"&amp;"s bringing to our work day. ")</f>
        <v>The way we work is being transformed by technology. From how we find work to the nature of the work we are doing - technology has reshaped the fundamentals of the economy. In this session we bring together three experts to discuss the changes technology is bringing to our work day. </v>
      </c>
      <c r="C209" s="10" t="str">
        <f>IFERROR(__xludf.DUMMYFUNCTION("""COMPUTED_VALUE"""),"Future Societies")</f>
        <v>Future Societies</v>
      </c>
      <c r="D209" s="10" t="str">
        <f>IFERROR(__xludf.DUMMYFUNCTION("""COMPUTED_VALUE"""),"Daniel Yanisse, Oisin Hanrahan, Chelsea Rustrum and Kimberly Weisul")</f>
        <v>Daniel Yanisse, Oisin Hanrahan, Chelsea Rustrum and Kimberly Weisul</v>
      </c>
      <c r="E209" s="10" t="str">
        <f>IFERROR(__xludf.DUMMYFUNCTION("""COMPUTED_VALUE"""),"Daniel Yanisse,Oisin Hanrahan,Chelsea Rustrum,Kimberly Weisul")</f>
        <v>Daniel Yanisse,Oisin Hanrahan,Chelsea Rustrum,Kimberly Weisul</v>
      </c>
      <c r="F209" s="10" t="str">
        <f>IFERROR(__xludf.DUMMYFUNCTION("""COMPUTED_VALUE"""),"2019/11/07 11:30:00")</f>
        <v>2019/11/07 11:30:00</v>
      </c>
      <c r="G209" s="10" t="str">
        <f>IFERROR(__xludf.DUMMYFUNCTION("""COMPUTED_VALUE"""),"2019/11/07 11:50:00")</f>
        <v>2019/11/07 11:50:00</v>
      </c>
      <c r="H209" s="10" t="str">
        <f>IFERROR(__xludf.DUMMYFUNCTION("""COMPUTED_VALUE"""),"a40cfdb9-6260-40a4-95a4-3adbe11f124b")</f>
        <v>a40cfdb9-6260-40a4-95a4-3adbe11f124b</v>
      </c>
      <c r="I209" s="10" t="str">
        <f>IFERROR(__xludf.DUMMYFUNCTION("""COMPUTED_VALUE"""),"a40cfdb9-6260-40a4-95a4-3adbe11f124b")</f>
        <v>a40cfdb9-6260-40a4-95a4-3adbe11f124b</v>
      </c>
    </row>
    <row r="210">
      <c r="A210" s="10" t="str">
        <f>IFERROR(__xludf.DUMMYFUNCTION("""COMPUTED_VALUE"""),"Featured venue: El Chanta")</f>
        <v>Featured venue: El Chanta</v>
      </c>
      <c r="B210" s="10" t="str">
        <f>IFERROR(__xludf.DUMMYFUNCTION("""COMPUTED_VALUE"""),"")</f>
        <v/>
      </c>
      <c r="C210" s="10" t="str">
        <f>IFERROR(__xludf.DUMMYFUNCTION("""COMPUTED_VALUE"""),"El Chanta")</f>
        <v>El Chanta</v>
      </c>
      <c r="D210" s="10" t="str">
        <f>IFERROR(__xludf.DUMMYFUNCTION("""COMPUTED_VALUE"""),"")</f>
        <v/>
      </c>
      <c r="E210" s="10" t="str">
        <f>IFERROR(__xludf.DUMMYFUNCTION("""COMPUTED_VALUE"""),"")</f>
        <v/>
      </c>
      <c r="F210" s="10" t="str">
        <f>IFERROR(__xludf.DUMMYFUNCTION("""COMPUTED_VALUE"""),"2019/11/06 20:00:00")</f>
        <v>2019/11/06 20:00:00</v>
      </c>
      <c r="G210" s="10" t="str">
        <f>IFERROR(__xludf.DUMMYFUNCTION("""COMPUTED_VALUE"""),"2019/11/07 02:00:00")</f>
        <v>2019/11/07 02:00:00</v>
      </c>
      <c r="H210" s="10" t="str">
        <f>IFERROR(__xludf.DUMMYFUNCTION("""COMPUTED_VALUE"""),"0dc32336-762b-4886-95dd-98547421e0f9")</f>
        <v>0dc32336-762b-4886-95dd-98547421e0f9</v>
      </c>
      <c r="I210" s="10" t="str">
        <f>IFERROR(__xludf.DUMMYFUNCTION("""COMPUTED_VALUE"""),"0dc32336-762b-4886-95dd-98547421e0f9")</f>
        <v>0dc32336-762b-4886-95dd-98547421e0f9</v>
      </c>
    </row>
    <row r="211">
      <c r="A211" s="10" t="str">
        <f>IFERROR(__xludf.DUMMYFUNCTION("""COMPUTED_VALUE"""),"What to do with your good idea")</f>
        <v>What to do with your good idea</v>
      </c>
      <c r="B211" s="10" t="str">
        <f>IFERROR(__xludf.DUMMYFUNCTION("""COMPUTED_VALUE"""),"How do you turn an idea into reality? Who should you ask for help? The people you choose to work with can become your competitive advantage. When you have an idea, what people should you surround yourself with to make it a success?")</f>
        <v>How do you turn an idea into reality? Who should you ask for help? The people you choose to work with can become your competitive advantage. When you have an idea, what people should you surround yourself with to make it a success?</v>
      </c>
      <c r="C211" s="10" t="str">
        <f>IFERROR(__xludf.DUMMYFUNCTION("""COMPUTED_VALUE"""),"Venture stage")</f>
        <v>Venture stage</v>
      </c>
      <c r="D211" s="10" t="str">
        <f>IFERROR(__xludf.DUMMYFUNCTION("""COMPUTED_VALUE"""),"Elizabeth Weil, Saalim Chowdhury, Cyril Ebersweiler, Chris Adelsbach and Jared Lindzon")</f>
        <v>Elizabeth Weil, Saalim Chowdhury, Cyril Ebersweiler, Chris Adelsbach and Jared Lindzon</v>
      </c>
      <c r="E211" s="10" t="str">
        <f>IFERROR(__xludf.DUMMYFUNCTION("""COMPUTED_VALUE"""),"Elizabeth Weil,Saalim Chowdhury,Cyril Ebersweiler,Chris Adelsbach,Jared Lindzon")</f>
        <v>Elizabeth Weil,Saalim Chowdhury,Cyril Ebersweiler,Chris Adelsbach,Jared Lindzon</v>
      </c>
      <c r="F211" s="10" t="str">
        <f>IFERROR(__xludf.DUMMYFUNCTION("""COMPUTED_VALUE"""),"2019/11/05 12:20:00")</f>
        <v>2019/11/05 12:20:00</v>
      </c>
      <c r="G211" s="10" t="str">
        <f>IFERROR(__xludf.DUMMYFUNCTION("""COMPUTED_VALUE"""),"2019/11/05 12:45:00")</f>
        <v>2019/11/05 12:45:00</v>
      </c>
      <c r="H211" s="10" t="str">
        <f>IFERROR(__xludf.DUMMYFUNCTION("""COMPUTED_VALUE"""),"c3314cfc-14bb-4f3c-9510-182be25f4f35")</f>
        <v>c3314cfc-14bb-4f3c-9510-182be25f4f35</v>
      </c>
      <c r="I211" s="10" t="str">
        <f>IFERROR(__xludf.DUMMYFUNCTION("""COMPUTED_VALUE"""),"c3314cfc-14bb-4f3c-9510-182be25f4f35")</f>
        <v>c3314cfc-14bb-4f3c-9510-182be25f4f35</v>
      </c>
    </row>
    <row r="212">
      <c r="A212" s="10" t="str">
        <f>IFERROR(__xludf.DUMMYFUNCTION("""COMPUTED_VALUE"""),"EIC: Funding breakthrough innovation from the idea to the market, hosted by European Commission")</f>
        <v>EIC: Funding breakthrough innovation from the idea to the market, hosted by European Commission</v>
      </c>
      <c r="B212" s="10" t="str">
        <f>IFERROR(__xludf.DUMMYFUNCTION("""COMPUTED_VALUE"""),"This workshop will serve to present the novelties brought by the European Innovation Council (EIC) pilot in terms of support to innovators and startups in the field of 'deep tech'. 
The session will aim at providing an overview of the most notable inno"&amp;"vation funding tools under the EIC, namely, the EIC Pathfinder and the EIC Accelerator.")</f>
        <v>This workshop will serve to present the novelties brought by the European Innovation Council (EIC) pilot in terms of support to innovators and startups in the field of 'deep tech'. 
The session will aim at providing an overview of the most notable innovation funding tools under the EIC, namely, the EIC Pathfinder and the EIC Accelerator.</v>
      </c>
      <c r="C212" s="10" t="str">
        <f>IFERROR(__xludf.DUMMYFUNCTION("""COMPUTED_VALUE"""),"Workshop 2")</f>
        <v>Workshop 2</v>
      </c>
      <c r="D212" s="10" t="str">
        <f>IFERROR(__xludf.DUMMYFUNCTION("""COMPUTED_VALUE"""),"Aoife Mangan")</f>
        <v>Aoife Mangan</v>
      </c>
      <c r="E212" s="10" t="str">
        <f>IFERROR(__xludf.DUMMYFUNCTION("""COMPUTED_VALUE"""),"Aoife Mangan")</f>
        <v>Aoife Mangan</v>
      </c>
      <c r="F212" s="10" t="str">
        <f>IFERROR(__xludf.DUMMYFUNCTION("""COMPUTED_VALUE"""),"2019/11/05 16:00:00")</f>
        <v>2019/11/05 16:00:00</v>
      </c>
      <c r="G212" s="10" t="str">
        <f>IFERROR(__xludf.DUMMYFUNCTION("""COMPUTED_VALUE"""),"2019/11/05 16:45:00")</f>
        <v>2019/11/05 16:45:00</v>
      </c>
      <c r="H212" s="10" t="str">
        <f>IFERROR(__xludf.DUMMYFUNCTION("""COMPUTED_VALUE"""),"35fde51a-1401-42dc-a42f-e41c990536d7")</f>
        <v>35fde51a-1401-42dc-a42f-e41c990536d7</v>
      </c>
      <c r="I212" s="10" t="str">
        <f>IFERROR(__xludf.DUMMYFUNCTION("""COMPUTED_VALUE"""),"35fde51a-1401-42dc-a42f-e41c990536d7")</f>
        <v>35fde51a-1401-42dc-a42f-e41c990536d7</v>
      </c>
    </row>
    <row r="213">
      <c r="A213" s="10" t="str">
        <f>IFERROR(__xludf.DUMMYFUNCTION("""COMPUTED_VALUE"""),"Reinventing your brand in a digital era ")</f>
        <v>Reinventing your brand in a digital era </v>
      </c>
      <c r="B213" s="10" t="str">
        <f>IFERROR(__xludf.DUMMYFUNCTION("""COMPUTED_VALUE"""),"Some of the most popular companies in the world sell products that have been popular for a long time. But how do these traditional brands adapt to a modern marketplace?")</f>
        <v>Some of the most popular companies in the world sell products that have been popular for a long time. But how do these traditional brands adapt to a modern marketplace?</v>
      </c>
      <c r="C213" s="10" t="str">
        <f>IFERROR(__xludf.DUMMYFUNCTION("""COMPUTED_VALUE"""),"Centre Stage")</f>
        <v>Centre Stage</v>
      </c>
      <c r="D213" s="10" t="str">
        <f>IFERROR(__xludf.DUMMYFUNCTION("""COMPUTED_VALUE"""),"Barbara Martin Coppola, Kristin Lemkau and Cheng Lei")</f>
        <v>Barbara Martin Coppola, Kristin Lemkau and Cheng Lei</v>
      </c>
      <c r="E213" s="10" t="str">
        <f>IFERROR(__xludf.DUMMYFUNCTION("""COMPUTED_VALUE"""),"Barbara Martin Coppola,Kristin Lemkau,Cheng Lei")</f>
        <v>Barbara Martin Coppola,Kristin Lemkau,Cheng Lei</v>
      </c>
      <c r="F213" s="10" t="str">
        <f>IFERROR(__xludf.DUMMYFUNCTION("""COMPUTED_VALUE"""),"2019/11/05 10:25:00")</f>
        <v>2019/11/05 10:25:00</v>
      </c>
      <c r="G213" s="10" t="str">
        <f>IFERROR(__xludf.DUMMYFUNCTION("""COMPUTED_VALUE"""),"2019/11/05 10:45:00")</f>
        <v>2019/11/05 10:45:00</v>
      </c>
      <c r="H213" s="10" t="str">
        <f>IFERROR(__xludf.DUMMYFUNCTION("""COMPUTED_VALUE"""),"95e83ee7-1575-4b04-90f3-35e69d85efa8")</f>
        <v>95e83ee7-1575-4b04-90f3-35e69d85efa8</v>
      </c>
      <c r="I213" s="10" t="str">
        <f>IFERROR(__xludf.DUMMYFUNCTION("""COMPUTED_VALUE"""),"95e83ee7-1575-4b04-90f3-35e69d85efa8")</f>
        <v>95e83ee7-1575-4b04-90f3-35e69d85efa8</v>
      </c>
    </row>
    <row r="214">
      <c r="A214" s="10" t="str">
        <f>IFERROR(__xludf.DUMMYFUNCTION("""COMPUTED_VALUE"""),"Competition: It's complicated ")</f>
        <v>Competition: It's complicated </v>
      </c>
      <c r="B214" s="10" t="str">
        <f>IFERROR(__xludf.DUMMYFUNCTION("""COMPUTED_VALUE"""),"The CEO of the company behind top games MobileStrike and Game of War explores how she keeps the company, herself, and her team, ahead of the game in the cutthroat market of mobile gaming.")</f>
        <v>The CEO of the company behind top games MobileStrike and Game of War explores how she keeps the company, herself, and her team, ahead of the game in the cutthroat market of mobile gaming.</v>
      </c>
      <c r="C214" s="10" t="str">
        <f>IFERROR(__xludf.DUMMYFUNCTION("""COMPUTED_VALUE"""),"Startup University")</f>
        <v>Startup University</v>
      </c>
      <c r="D214" s="10" t="str">
        <f>IFERROR(__xludf.DUMMYFUNCTION("""COMPUTED_VALUE"""),"Kristen Garcia Dumont")</f>
        <v>Kristen Garcia Dumont</v>
      </c>
      <c r="E214" s="10" t="str">
        <f>IFERROR(__xludf.DUMMYFUNCTION("""COMPUTED_VALUE"""),"Kristen Garcia Dumont")</f>
        <v>Kristen Garcia Dumont</v>
      </c>
      <c r="F214" s="10" t="str">
        <f>IFERROR(__xludf.DUMMYFUNCTION("""COMPUTED_VALUE"""),"2019/11/05 10:50:00")</f>
        <v>2019/11/05 10:50:00</v>
      </c>
      <c r="G214" s="10" t="str">
        <f>IFERROR(__xludf.DUMMYFUNCTION("""COMPUTED_VALUE"""),"2019/11/05 11:10:00")</f>
        <v>2019/11/05 11:10:00</v>
      </c>
      <c r="H214" s="10" t="str">
        <f>IFERROR(__xludf.DUMMYFUNCTION("""COMPUTED_VALUE"""),"938bc87e-f800-43dd-9587-397cd9aa7392")</f>
        <v>938bc87e-f800-43dd-9587-397cd9aa7392</v>
      </c>
      <c r="I214" s="10" t="str">
        <f>IFERROR(__xludf.DUMMYFUNCTION("""COMPUTED_VALUE"""),"938bc87e-f800-43dd-9587-397cd9aa7392")</f>
        <v>938bc87e-f800-43dd-9587-397cd9aa7392</v>
      </c>
    </row>
    <row r="215">
      <c r="A215" s="10" t="str">
        <f>IFERROR(__xludf.DUMMYFUNCTION("""COMPUTED_VALUE"""),"AI and decision intelligence")</f>
        <v>AI and decision intelligence</v>
      </c>
      <c r="B215" s="10" t="str">
        <f>IFERROR(__xludf.DUMMYFUNCTION("""COMPUTED_VALUE"""),"In this Keynote, Google's Chief Decision Scientist will discuss where next for decision intelligence.")</f>
        <v>In this Keynote, Google's Chief Decision Scientist will discuss where next for decision intelligence.</v>
      </c>
      <c r="C215" s="10" t="str">
        <f>IFERROR(__xludf.DUMMYFUNCTION("""COMPUTED_VALUE"""),"Auto/Tech &amp; TalkRobot")</f>
        <v>Auto/Tech &amp; TalkRobot</v>
      </c>
      <c r="D215" s="10" t="str">
        <f>IFERROR(__xludf.DUMMYFUNCTION("""COMPUTED_VALUE"""),"Cassie Kozyrkov")</f>
        <v>Cassie Kozyrkov</v>
      </c>
      <c r="E215" s="10" t="str">
        <f>IFERROR(__xludf.DUMMYFUNCTION("""COMPUTED_VALUE"""),"Cassie Kozyrkov")</f>
        <v>Cassie Kozyrkov</v>
      </c>
      <c r="F215" s="10" t="str">
        <f>IFERROR(__xludf.DUMMYFUNCTION("""COMPUTED_VALUE"""),"2019/11/05 12:00:00")</f>
        <v>2019/11/05 12:00:00</v>
      </c>
      <c r="G215" s="10" t="str">
        <f>IFERROR(__xludf.DUMMYFUNCTION("""COMPUTED_VALUE"""),"2019/11/05 12:20:00")</f>
        <v>2019/11/05 12:20:00</v>
      </c>
      <c r="H215" s="10" t="str">
        <f>IFERROR(__xludf.DUMMYFUNCTION("""COMPUTED_VALUE"""),"2c378424-194e-4a32-b56e-a1e8f521fe0f")</f>
        <v>2c378424-194e-4a32-b56e-a1e8f521fe0f</v>
      </c>
      <c r="I215" s="10" t="str">
        <f>IFERROR(__xludf.DUMMYFUNCTION("""COMPUTED_VALUE"""),"2c378424-194e-4a32-b56e-a1e8f521fe0f")</f>
        <v>2c378424-194e-4a32-b56e-a1e8f521fe0f</v>
      </c>
    </row>
    <row r="216">
      <c r="A216" s="10" t="str">
        <f>IFERROR(__xludf.DUMMYFUNCTION("""COMPUTED_VALUE"""),"Welcome to Planet Jarre")</f>
        <v>Welcome to Planet Jarre</v>
      </c>
      <c r="B216" s="10" t="str">
        <f>IFERROR(__xludf.DUMMYFUNCTION("""COMPUTED_VALUE"""),"Jean-Michel Jarre is a French composer, performer, record producer and electronic music pioneer. He has sold an estimated 80 million albums worldwide. In this wide ranging fireside we look at his career to-date and get his thoughts on how new technology s"&amp;"uch as AI and VR can benefit artists creatively and bring digital communities together.")</f>
        <v>Jean-Michel Jarre is a French composer, performer, record producer and electronic music pioneer. He has sold an estimated 80 million albums worldwide. In this wide ranging fireside we look at his career to-date and get his thoughts on how new technology such as AI and VR can benefit artists creatively and bring digital communities together.</v>
      </c>
      <c r="C216" s="10" t="str">
        <f>IFERROR(__xludf.DUMMYFUNCTION("""COMPUTED_VALUE"""),"MusicNotes")</f>
        <v>MusicNotes</v>
      </c>
      <c r="D216" s="10" t="str">
        <f>IFERROR(__xludf.DUMMYFUNCTION("""COMPUTED_VALUE"""),"Jean-Michel Jarre and Rob Schwartz")</f>
        <v>Jean-Michel Jarre and Rob Schwartz</v>
      </c>
      <c r="E216" s="10" t="str">
        <f>IFERROR(__xludf.DUMMYFUNCTION("""COMPUTED_VALUE"""),"Jean-Michel Jarre,Rob Schwartz")</f>
        <v>Jean-Michel Jarre,Rob Schwartz</v>
      </c>
      <c r="F216" s="10" t="str">
        <f>IFERROR(__xludf.DUMMYFUNCTION("""COMPUTED_VALUE"""),"2019/11/07 14:00:00")</f>
        <v>2019/11/07 14:00:00</v>
      </c>
      <c r="G216" s="10" t="str">
        <f>IFERROR(__xludf.DUMMYFUNCTION("""COMPUTED_VALUE"""),"2019/11/07 14:20:00")</f>
        <v>2019/11/07 14:20:00</v>
      </c>
      <c r="H216" s="10" t="str">
        <f>IFERROR(__xludf.DUMMYFUNCTION("""COMPUTED_VALUE"""),"24a288aa-6c13-497f-b100-4267601509c2")</f>
        <v>24a288aa-6c13-497f-b100-4267601509c2</v>
      </c>
      <c r="I216" s="10" t="str">
        <f>IFERROR(__xludf.DUMMYFUNCTION("""COMPUTED_VALUE"""),"24a288aa-6c13-497f-b100-4267601509c2")</f>
        <v>24a288aa-6c13-497f-b100-4267601509c2</v>
      </c>
    </row>
    <row r="217">
      <c r="A217" s="10" t="str">
        <f>IFERROR(__xludf.DUMMYFUNCTION("""COMPUTED_VALUE"""),"Debunking the unbanked: Bringing payments to the masses")</f>
        <v>Debunking the unbanked: Bringing payments to the masses</v>
      </c>
      <c r="B217" s="10" t="str">
        <f>IFERROR(__xludf.DUMMYFUNCTION("""COMPUTED_VALUE"""),"The concept of unbanked people is commonly referenced, especially within emerging markets. But is it papering over the cracks of a deeper problem? This session will explore how to best provide financial services to people in emerging economies, going beyo"&amp;"nd mere banking.")</f>
        <v>The concept of unbanked people is commonly referenced, especially within emerging markets. But is it papering over the cracks of a deeper problem? This session will explore how to best provide financial services to people in emerging economies, going beyond mere banking.</v>
      </c>
      <c r="C217" s="10" t="str">
        <f>IFERROR(__xludf.DUMMYFUNCTION("""COMPUTED_VALUE"""),"Future Societies")</f>
        <v>Future Societies</v>
      </c>
      <c r="D217" s="10" t="str">
        <f>IFERROR(__xludf.DUMMYFUNCTION("""COMPUTED_VALUE"""),"Mark Roden, Tunde Kehinde, Christopher Leacock and Joon Ian Wong")</f>
        <v>Mark Roden, Tunde Kehinde, Christopher Leacock and Joon Ian Wong</v>
      </c>
      <c r="E217" s="10" t="str">
        <f>IFERROR(__xludf.DUMMYFUNCTION("""COMPUTED_VALUE"""),"Mark Roden,Tunde Kehinde,Christopher Leacock,Joon Ian Wong")</f>
        <v>Mark Roden,Tunde Kehinde,Christopher Leacock,Joon Ian Wong</v>
      </c>
      <c r="F217" s="10" t="str">
        <f>IFERROR(__xludf.DUMMYFUNCTION("""COMPUTED_VALUE"""),"2019/11/05 13:35:00")</f>
        <v>2019/11/05 13:35:00</v>
      </c>
      <c r="G217" s="10" t="str">
        <f>IFERROR(__xludf.DUMMYFUNCTION("""COMPUTED_VALUE"""),"2019/11/05 14:00:00")</f>
        <v>2019/11/05 14:00:00</v>
      </c>
      <c r="H217" s="10" t="str">
        <f>IFERROR(__xludf.DUMMYFUNCTION("""COMPUTED_VALUE"""),"dcdbf7a5-6d59-413c-9f18-c6313c1a0694")</f>
        <v>dcdbf7a5-6d59-413c-9f18-c6313c1a0694</v>
      </c>
      <c r="I217" s="10" t="str">
        <f>IFERROR(__xludf.DUMMYFUNCTION("""COMPUTED_VALUE"""),"dcdbf7a5-6d59-413c-9f18-c6313c1a0694")</f>
        <v>dcdbf7a5-6d59-413c-9f18-c6313c1a0694</v>
      </c>
    </row>
    <row r="218">
      <c r="A218" s="10" t="str">
        <f>IFERROR(__xludf.DUMMYFUNCTION("""COMPUTED_VALUE"""),"Opening remarks")</f>
        <v>Opening remarks</v>
      </c>
      <c r="B218" s="10" t="str">
        <f>IFERROR(__xludf.DUMMYFUNCTION("""COMPUTED_VALUE"""),"")</f>
        <v/>
      </c>
      <c r="C218" s="10" t="str">
        <f>IFERROR(__xludf.DUMMYFUNCTION("""COMPUTED_VALUE"""),"ContentMakers")</f>
        <v>ContentMakers</v>
      </c>
      <c r="D218" s="10" t="str">
        <f>IFERROR(__xludf.DUMMYFUNCTION("""COMPUTED_VALUE"""),"Jim Prior")</f>
        <v>Jim Prior</v>
      </c>
      <c r="E218" s="10" t="str">
        <f>IFERROR(__xludf.DUMMYFUNCTION("""COMPUTED_VALUE"""),"Jim Prior")</f>
        <v>Jim Prior</v>
      </c>
      <c r="F218" s="10" t="str">
        <f>IFERROR(__xludf.DUMMYFUNCTION("""COMPUTED_VALUE"""),"2019/11/07 11:15:00")</f>
        <v>2019/11/07 11:15:00</v>
      </c>
      <c r="G218" s="10" t="str">
        <f>IFERROR(__xludf.DUMMYFUNCTION("""COMPUTED_VALUE"""),"2019/11/07 11:30:00")</f>
        <v>2019/11/07 11:30:00</v>
      </c>
      <c r="H218" s="10" t="str">
        <f>IFERROR(__xludf.DUMMYFUNCTION("""COMPUTED_VALUE"""),"0b04d957-85d2-4348-8ffc-a8a8c89b721f")</f>
        <v>0b04d957-85d2-4348-8ffc-a8a8c89b721f</v>
      </c>
      <c r="I218" s="10" t="str">
        <f>IFERROR(__xludf.DUMMYFUNCTION("""COMPUTED_VALUE"""),"0b04d957-85d2-4348-8ffc-a8a8c89b721f")</f>
        <v>0b04d957-85d2-4348-8ffc-a8a8c89b721f</v>
      </c>
    </row>
    <row r="219">
      <c r="A219" s="10" t="str">
        <f>IFERROR(__xludf.DUMMYFUNCTION("""COMPUTED_VALUE"""),"Predicting tomorrow's megatrends for a better today")</f>
        <v>Predicting tomorrow's megatrends for a better today</v>
      </c>
      <c r="B219" s="10" t="str">
        <f>IFERROR(__xludf.DUMMYFUNCTION("""COMPUTED_VALUE"""),"Today's world is experiencing a record volume of change. It forces us to consider how we think about the future, where to invest, and ultimately how to stay ahead. How we manage all of this change requires a deep understanding of the global forces that wi"&amp;"ll shape our human experiences and our business decisions long into the future. Join this session to find out more.")</f>
        <v>Today's world is experiencing a record volume of change. It forces us to consider how we think about the future, where to invest, and ultimately how to stay ahead. How we manage all of this change requires a deep understanding of the global forces that will shape our human experiences and our business decisions long into the future. Join this session to find out more.</v>
      </c>
      <c r="C219" s="10" t="str">
        <f>IFERROR(__xludf.DUMMYFUNCTION("""COMPUTED_VALUE"""),"SaaS Monster")</f>
        <v>SaaS Monster</v>
      </c>
      <c r="D219" s="10" t="str">
        <f>IFERROR(__xludf.DUMMYFUNCTION("""COMPUTED_VALUE"""),"Shane Wall and Rob Pegoraro")</f>
        <v>Shane Wall and Rob Pegoraro</v>
      </c>
      <c r="E219" s="10" t="str">
        <f>IFERROR(__xludf.DUMMYFUNCTION("""COMPUTED_VALUE"""),"Shane Wall,Rob Pegoraro")</f>
        <v>Shane Wall,Rob Pegoraro</v>
      </c>
      <c r="F219" s="10" t="str">
        <f>IFERROR(__xludf.DUMMYFUNCTION("""COMPUTED_VALUE"""),"2019/11/06 11:45:00")</f>
        <v>2019/11/06 11:45:00</v>
      </c>
      <c r="G219" s="10" t="str">
        <f>IFERROR(__xludf.DUMMYFUNCTION("""COMPUTED_VALUE"""),"2019/11/06 12:05:00")</f>
        <v>2019/11/06 12:05:00</v>
      </c>
      <c r="H219" s="10" t="str">
        <f>IFERROR(__xludf.DUMMYFUNCTION("""COMPUTED_VALUE"""),"1cd4494f-0692-4dc3-a33b-8f1a29633bf0")</f>
        <v>1cd4494f-0692-4dc3-a33b-8f1a29633bf0</v>
      </c>
      <c r="I219" s="10" t="str">
        <f>IFERROR(__xludf.DUMMYFUNCTION("""COMPUTED_VALUE"""),"1cd4494f-0692-4dc3-a33b-8f1a29633bf0")</f>
        <v>1cd4494f-0692-4dc3-a33b-8f1a29633bf0</v>
      </c>
    </row>
    <row r="220">
      <c r="A220" s="10" t="str">
        <f>IFERROR(__xludf.DUMMYFUNCTION("""COMPUTED_VALUE"""),"Breakout startups")</f>
        <v>Breakout startups</v>
      </c>
      <c r="B220" s="10" t="str">
        <f>IFERROR(__xludf.DUMMYFUNCTION("""COMPUTED_VALUE"""),"")</f>
        <v/>
      </c>
      <c r="C220" s="10" t="str">
        <f>IFERROR(__xludf.DUMMYFUNCTION("""COMPUTED_VALUE"""),"Centre Stage")</f>
        <v>Centre Stage</v>
      </c>
      <c r="D220" s="10" t="str">
        <f>IFERROR(__xludf.DUMMYFUNCTION("""COMPUTED_VALUE"""),"Maria Raga, Susan Kuo, Jean-Stéphane Arcis, André Penha, Lisa Alderson, Dominic Williams, Leah Remfry-Peploe and Nikki Michelsen")</f>
        <v>Maria Raga, Susan Kuo, Jean-Stéphane Arcis, André Penha, Lisa Alderson, Dominic Williams, Leah Remfry-Peploe and Nikki Michelsen</v>
      </c>
      <c r="E220" s="10" t="str">
        <f>IFERROR(__xludf.DUMMYFUNCTION("""COMPUTED_VALUE"""),"Maria Raga,Susan Kuo,Jean-Stéphane Arcis,André Penha,Lisa Alderson,Dominic Williams,Leah Remfry-Peploe,Nikki Michelsen")</f>
        <v>Maria Raga,Susan Kuo,Jean-Stéphane Arcis,André Penha,Lisa Alderson,Dominic Williams,Leah Remfry-Peploe,Nikki Michelsen</v>
      </c>
      <c r="F220" s="10" t="str">
        <f>IFERROR(__xludf.DUMMYFUNCTION("""COMPUTED_VALUE"""),"2019/11/07 13:10:00")</f>
        <v>2019/11/07 13:10:00</v>
      </c>
      <c r="G220" s="10" t="str">
        <f>IFERROR(__xludf.DUMMYFUNCTION("""COMPUTED_VALUE"""),"2019/11/07 13:45:00")</f>
        <v>2019/11/07 13:45:00</v>
      </c>
      <c r="H220" s="10" t="str">
        <f>IFERROR(__xludf.DUMMYFUNCTION("""COMPUTED_VALUE"""),"d076ec0e-074f-4d55-a1b4-2a3e80f0465f")</f>
        <v>d076ec0e-074f-4d55-a1b4-2a3e80f0465f</v>
      </c>
      <c r="I220" s="10" t="str">
        <f>IFERROR(__xludf.DUMMYFUNCTION("""COMPUTED_VALUE"""),"d076ec0e-074f-4d55-a1b4-2a3e80f0465f")</f>
        <v>d076ec0e-074f-4d55-a1b4-2a3e80f0465f</v>
      </c>
    </row>
    <row r="221">
      <c r="A221" s="10" t="str">
        <f>IFERROR(__xludf.DUMMYFUNCTION("""COMPUTED_VALUE"""),"Night Summit bar &amp; lounge")</f>
        <v>Night Summit bar &amp; lounge</v>
      </c>
      <c r="B221" s="10" t="str">
        <f>IFERROR(__xludf.DUMMYFUNCTION("""COMPUTED_VALUE"""),"Welcome to the first night of Night Summit! We've installed extra bars to comfortably host the party for our attendees, right after Opening Night. Head down to the waterfront for gorgeous views and a bit of fun with your fellow attendees. It can get a lit"&amp;"tle chilly in the evening, so bring something warm to wear in case. ")</f>
        <v>Welcome to the first night of Night Summit! We've installed extra bars to comfortably host the party for our attendees, right after Opening Night. Head down to the waterfront for gorgeous views and a bit of fun with your fellow attendees. It can get a little chilly in the evening, so bring something warm to wear in case. </v>
      </c>
      <c r="C221" s="10" t="str">
        <f>IFERROR(__xludf.DUMMYFUNCTION("""COMPUTED_VALUE"""),"Waterfront")</f>
        <v>Waterfront</v>
      </c>
      <c r="D221" s="10" t="str">
        <f>IFERROR(__xludf.DUMMYFUNCTION("""COMPUTED_VALUE"""),"")</f>
        <v/>
      </c>
      <c r="E221" s="10" t="str">
        <f>IFERROR(__xludf.DUMMYFUNCTION("""COMPUTED_VALUE"""),"")</f>
        <v/>
      </c>
      <c r="F221" s="10" t="str">
        <f>IFERROR(__xludf.DUMMYFUNCTION("""COMPUTED_VALUE"""),"2019/11/04 20:00:00")</f>
        <v>2019/11/04 20:00:00</v>
      </c>
      <c r="G221" s="10" t="str">
        <f>IFERROR(__xludf.DUMMYFUNCTION("""COMPUTED_VALUE"""),"2019/11/04 23:00:00")</f>
        <v>2019/11/04 23:00:00</v>
      </c>
      <c r="H221" s="10" t="str">
        <f>IFERROR(__xludf.DUMMYFUNCTION("""COMPUTED_VALUE"""),"05c78822-e0c5-4b23-bc0b-6b3f9972ab1b")</f>
        <v>05c78822-e0c5-4b23-bc0b-6b3f9972ab1b</v>
      </c>
      <c r="I221" s="10" t="str">
        <f>IFERROR(__xludf.DUMMYFUNCTION("""COMPUTED_VALUE"""),"05c78822-e0c5-4b23-bc0b-6b3f9972ab1b")</f>
        <v>05c78822-e0c5-4b23-bc0b-6b3f9972ab1b</v>
      </c>
    </row>
    <row r="222">
      <c r="A222" s="10" t="str">
        <f>IFERROR(__xludf.DUMMYFUNCTION("""COMPUTED_VALUE"""),"Brand safety and responsible media")</f>
        <v>Brand safety and responsible media</v>
      </c>
      <c r="B222" s="10" t="str">
        <f>IFERROR(__xludf.DUMMYFUNCTION("""COMPUTED_VALUE"""),"You might roll your eyes when you hear people talk about 'purpose'. But do you know what your brand stands for? Let’s find out if there’s a solution to this pressing problem for brands today.")</f>
        <v>You might roll your eyes when you hear people talk about 'purpose'. But do you know what your brand stands for? Let’s find out if there’s a solution to this pressing problem for brands today.</v>
      </c>
      <c r="C222" s="10" t="str">
        <f>IFERROR(__xludf.DUMMYFUNCTION("""COMPUTED_VALUE"""),"PandaConf")</f>
        <v>PandaConf</v>
      </c>
      <c r="D222" s="10" t="str">
        <f>IFERROR(__xludf.DUMMYFUNCTION("""COMPUTED_VALUE"""),"Raja Rajamannar")</f>
        <v>Raja Rajamannar</v>
      </c>
      <c r="E222" s="10" t="str">
        <f>IFERROR(__xludf.DUMMYFUNCTION("""COMPUTED_VALUE"""),"Raja Rajamannar")</f>
        <v>Raja Rajamannar</v>
      </c>
      <c r="F222" s="10" t="str">
        <f>IFERROR(__xludf.DUMMYFUNCTION("""COMPUTED_VALUE"""),"2019/11/06 14:00:00")</f>
        <v>2019/11/06 14:00:00</v>
      </c>
      <c r="G222" s="10" t="str">
        <f>IFERROR(__xludf.DUMMYFUNCTION("""COMPUTED_VALUE"""),"2019/11/06 14:20:00")</f>
        <v>2019/11/06 14:20:00</v>
      </c>
      <c r="H222" s="10" t="str">
        <f>IFERROR(__xludf.DUMMYFUNCTION("""COMPUTED_VALUE"""),"258a4d18-1e24-4cc3-b510-ceba05f8eea6")</f>
        <v>258a4d18-1e24-4cc3-b510-ceba05f8eea6</v>
      </c>
      <c r="I222" s="10" t="str">
        <f>IFERROR(__xludf.DUMMYFUNCTION("""COMPUTED_VALUE"""),"258a4d18-1e24-4cc3-b510-ceba05f8eea6")</f>
        <v>258a4d18-1e24-4cc3-b510-ceba05f8eea6</v>
      </c>
    </row>
    <row r="223">
      <c r="A223" s="10" t="str">
        <f>IFERROR(__xludf.DUMMYFUNCTION("""COMPUTED_VALUE"""),"Embracing the discomfort zone ")</f>
        <v>Embracing the discomfort zone </v>
      </c>
      <c r="B223" s="10" t="str">
        <f>IFERROR(__xludf.DUMMYFUNCTION("""COMPUTED_VALUE"""),"Even the largest, most established companies can no longer live within their comfort zone. The 140+year old media group behind Grazia, KISS FM, Cosmopolitan, Bravo and Closer presents the challenges, and how Bauer is future-proofing its company.
")</f>
        <v>Even the largest, most established companies can no longer live within their comfort zone. The 140+year old media group behind Grazia, KISS FM, Cosmopolitan, Bravo and Closer presents the challenges, and how Bauer is future-proofing its company.
</v>
      </c>
      <c r="C223" s="10" t="str">
        <f>IFERROR(__xludf.DUMMYFUNCTION("""COMPUTED_VALUE"""),"Corporate Innovation Summit")</f>
        <v>Corporate Innovation Summit</v>
      </c>
      <c r="D223" s="10" t="str">
        <f>IFERROR(__xludf.DUMMYFUNCTION("""COMPUTED_VALUE"""),"Veit Dengler and Sara Fischer")</f>
        <v>Veit Dengler and Sara Fischer</v>
      </c>
      <c r="E223" s="10" t="str">
        <f>IFERROR(__xludf.DUMMYFUNCTION("""COMPUTED_VALUE"""),"Veit Dengler,Sara Fischer")</f>
        <v>Veit Dengler,Sara Fischer</v>
      </c>
      <c r="F223" s="10" t="str">
        <f>IFERROR(__xludf.DUMMYFUNCTION("""COMPUTED_VALUE"""),"2019/11/07 11:20:00")</f>
        <v>2019/11/07 11:20:00</v>
      </c>
      <c r="G223" s="10" t="str">
        <f>IFERROR(__xludf.DUMMYFUNCTION("""COMPUTED_VALUE"""),"2019/11/07 11:40:00")</f>
        <v>2019/11/07 11:40:00</v>
      </c>
      <c r="H223" s="10" t="str">
        <f>IFERROR(__xludf.DUMMYFUNCTION("""COMPUTED_VALUE"""),"c12355eb-7a0b-40cc-acaa-05ba0553f310")</f>
        <v>c12355eb-7a0b-40cc-acaa-05ba0553f310</v>
      </c>
      <c r="I223" s="10" t="str">
        <f>IFERROR(__xludf.DUMMYFUNCTION("""COMPUTED_VALUE"""),"c12355eb-7a0b-40cc-acaa-05ba0553f310")</f>
        <v>c12355eb-7a0b-40cc-acaa-05ba0553f310</v>
      </c>
    </row>
    <row r="224">
      <c r="A224" s="10" t="str">
        <f>IFERROR(__xludf.DUMMYFUNCTION("""COMPUTED_VALUE"""),"Setting company values ")</f>
        <v>Setting company values </v>
      </c>
      <c r="B224" s="10" t="str">
        <f>IFERROR(__xludf.DUMMYFUNCTION("""COMPUTED_VALUE"""),"How do you hold true to your company's core values and not just pay them lip service?")</f>
        <v>How do you hold true to your company's core values and not just pay them lip service?</v>
      </c>
      <c r="C224" s="10" t="str">
        <f>IFERROR(__xludf.DUMMYFUNCTION("""COMPUTED_VALUE"""),"Centre Stage")</f>
        <v>Centre Stage</v>
      </c>
      <c r="D224" s="10" t="str">
        <f>IFERROR(__xludf.DUMMYFUNCTION("""COMPUTED_VALUE"""),"Gillian Tans, Simon Segars, Adaire Fox-Martin and Mark Scott")</f>
        <v>Gillian Tans, Simon Segars, Adaire Fox-Martin and Mark Scott</v>
      </c>
      <c r="E224" s="10" t="str">
        <f>IFERROR(__xludf.DUMMYFUNCTION("""COMPUTED_VALUE"""),"Gillian Tans,Simon Segars,Adaire Fox-Martin,Mark Scott")</f>
        <v>Gillian Tans,Simon Segars,Adaire Fox-Martin,Mark Scott</v>
      </c>
      <c r="F224" s="10" t="str">
        <f>IFERROR(__xludf.DUMMYFUNCTION("""COMPUTED_VALUE"""),"2019/11/05 16:00:00")</f>
        <v>2019/11/05 16:00:00</v>
      </c>
      <c r="G224" s="10" t="str">
        <f>IFERROR(__xludf.DUMMYFUNCTION("""COMPUTED_VALUE"""),"2019/11/05 16:25:00")</f>
        <v>2019/11/05 16:25:00</v>
      </c>
      <c r="H224" s="10" t="str">
        <f>IFERROR(__xludf.DUMMYFUNCTION("""COMPUTED_VALUE"""),"cfebc897-dc7c-427b-85d6-090b3fa5e287")</f>
        <v>cfebc897-dc7c-427b-85d6-090b3fa5e287</v>
      </c>
      <c r="I224" s="10" t="str">
        <f>IFERROR(__xludf.DUMMYFUNCTION("""COMPUTED_VALUE"""),"cfebc897-dc7c-427b-85d6-090b3fa5e287")</f>
        <v>cfebc897-dc7c-427b-85d6-090b3fa5e287</v>
      </c>
    </row>
    <row r="225">
      <c r="A225" s="10" t="str">
        <f>IFERROR(__xludf.DUMMYFUNCTION("""COMPUTED_VALUE"""),"The evolution of virtual beings")</f>
        <v>The evolution of virtual beings</v>
      </c>
      <c r="B225" s="10" t="str">
        <f>IFERROR(__xludf.DUMMYFUNCTION("""COMPUTED_VALUE"""),"With AR and VR, we now have the ability to create and inhabit multiple lives - the physical, and the one(s) we live virtually. How will we change as social beings? Eugene Chung of Penrose Studios shares how the next evolution of AR/VR and other emerging t"&amp;"ech will impact the way we interact as humans.")</f>
        <v>With AR and VR, we now have the ability to create and inhabit multiple lives - the physical, and the one(s) we live virtually. How will we change as social beings? Eugene Chung of Penrose Studios shares how the next evolution of AR/VR and other emerging tech will impact the way we interact as humans.</v>
      </c>
      <c r="C225" s="10" t="str">
        <f>IFERROR(__xludf.DUMMYFUNCTION("""COMPUTED_VALUE"""),"Centre Stage")</f>
        <v>Centre Stage</v>
      </c>
      <c r="D225" s="10" t="str">
        <f>IFERROR(__xludf.DUMMYFUNCTION("""COMPUTED_VALUE"""),"Eugene Chung")</f>
        <v>Eugene Chung</v>
      </c>
      <c r="E225" s="10" t="str">
        <f>IFERROR(__xludf.DUMMYFUNCTION("""COMPUTED_VALUE"""),"Eugene Chung")</f>
        <v>Eugene Chung</v>
      </c>
      <c r="F225" s="10" t="str">
        <f>IFERROR(__xludf.DUMMYFUNCTION("""COMPUTED_VALUE"""),"2019/11/06 12:20:00")</f>
        <v>2019/11/06 12:20:00</v>
      </c>
      <c r="G225" s="10" t="str">
        <f>IFERROR(__xludf.DUMMYFUNCTION("""COMPUTED_VALUE"""),"2019/11/06 12:35:00")</f>
        <v>2019/11/06 12:35:00</v>
      </c>
      <c r="H225" s="10" t="str">
        <f>IFERROR(__xludf.DUMMYFUNCTION("""COMPUTED_VALUE"""),"25b269c9-e062-488b-ae06-3f58151379ca")</f>
        <v>25b269c9-e062-488b-ae06-3f58151379ca</v>
      </c>
      <c r="I225" s="10" t="str">
        <f>IFERROR(__xludf.DUMMYFUNCTION("""COMPUTED_VALUE"""),"25b269c9-e062-488b-ae06-3f58151379ca")</f>
        <v>25b269c9-e062-488b-ae06-3f58151379ca</v>
      </c>
    </row>
    <row r="226">
      <c r="A226" s="10" t="str">
        <f>IFERROR(__xludf.DUMMYFUNCTION("""COMPUTED_VALUE"""),"Starting a revolution: the next wave of tech giants")</f>
        <v>Starting a revolution: the next wave of tech giants</v>
      </c>
      <c r="B226" s="10" t="str">
        <f>IFERROR(__xludf.DUMMYFUNCTION("""COMPUTED_VALUE"""),"Who are the up and coming tech companies that are making VCs, tech media, and customers stand up and take notice?")</f>
        <v>Who are the up and coming tech companies that are making VCs, tech media, and customers stand up and take notice?</v>
      </c>
      <c r="C226" s="10" t="str">
        <f>IFERROR(__xludf.DUMMYFUNCTION("""COMPUTED_VALUE"""),"Centre Stage")</f>
        <v>Centre Stage</v>
      </c>
      <c r="D226" s="10" t="str">
        <f>IFERROR(__xludf.DUMMYFUNCTION("""COMPUTED_VALUE"""),"Josh Luber, Mada Seghete, Henrique Dubugras and Jonathan Weber")</f>
        <v>Josh Luber, Mada Seghete, Henrique Dubugras and Jonathan Weber</v>
      </c>
      <c r="E226" s="10" t="str">
        <f>IFERROR(__xludf.DUMMYFUNCTION("""COMPUTED_VALUE"""),"Josh Luber,Mada Seghete,Henrique Dubugras,Jonathan Weber")</f>
        <v>Josh Luber,Mada Seghete,Henrique Dubugras,Jonathan Weber</v>
      </c>
      <c r="F226" s="10" t="str">
        <f>IFERROR(__xludf.DUMMYFUNCTION("""COMPUTED_VALUE"""),"2019/11/07 14:45:00")</f>
        <v>2019/11/07 14:45:00</v>
      </c>
      <c r="G226" s="10" t="str">
        <f>IFERROR(__xludf.DUMMYFUNCTION("""COMPUTED_VALUE"""),"2019/11/07 15:10:00")</f>
        <v>2019/11/07 15:10:00</v>
      </c>
      <c r="H226" s="10" t="str">
        <f>IFERROR(__xludf.DUMMYFUNCTION("""COMPUTED_VALUE"""),"c6bee28f-45ea-4fd5-bb11-632d19bbb357")</f>
        <v>c6bee28f-45ea-4fd5-bb11-632d19bbb357</v>
      </c>
      <c r="I226" s="10" t="str">
        <f>IFERROR(__xludf.DUMMYFUNCTION("""COMPUTED_VALUE"""),"c6bee28f-45ea-4fd5-bb11-632d19bbb357")</f>
        <v>c6bee28f-45ea-4fd5-bb11-632d19bbb357</v>
      </c>
    </row>
    <row r="227">
      <c r="A227" s="10" t="str">
        <f>IFERROR(__xludf.DUMMYFUNCTION("""COMPUTED_VALUE"""),"The future of privacy-by-default")</f>
        <v>The future of privacy-by-default</v>
      </c>
      <c r="B227" s="10" t="str">
        <f>IFERROR(__xludf.DUMMYFUNCTION("""COMPUTED_VALUE"""),"Brendan Eich, the creator of JavaScipt and the CEO of Brave, will share how you can start controlling how much of your online activities are tracked and recorded.")</f>
        <v>Brendan Eich, the creator of JavaScipt and the CEO of Brave, will share how you can start controlling how much of your online activities are tracked and recorded.</v>
      </c>
      <c r="C227" s="10" t="str">
        <f>IFERROR(__xludf.DUMMYFUNCTION("""COMPUTED_VALUE"""),"FullSTK")</f>
        <v>FullSTK</v>
      </c>
      <c r="D227" s="10" t="str">
        <f>IFERROR(__xludf.DUMMYFUNCTION("""COMPUTED_VALUE"""),"Brendan Eich")</f>
        <v>Brendan Eich</v>
      </c>
      <c r="E227" s="10" t="str">
        <f>IFERROR(__xludf.DUMMYFUNCTION("""COMPUTED_VALUE"""),"Brendan Eich")</f>
        <v>Brendan Eich</v>
      </c>
      <c r="F227" s="10" t="str">
        <f>IFERROR(__xludf.DUMMYFUNCTION("""COMPUTED_VALUE"""),"2019/11/07 11:35:00")</f>
        <v>2019/11/07 11:35:00</v>
      </c>
      <c r="G227" s="10" t="str">
        <f>IFERROR(__xludf.DUMMYFUNCTION("""COMPUTED_VALUE"""),"2019/11/07 11:55:00")</f>
        <v>2019/11/07 11:55:00</v>
      </c>
      <c r="H227" s="10" t="str">
        <f>IFERROR(__xludf.DUMMYFUNCTION("""COMPUTED_VALUE"""),"571f2c12-2d3a-4cb9-bb18-40eb0151c52e")</f>
        <v>571f2c12-2d3a-4cb9-bb18-40eb0151c52e</v>
      </c>
      <c r="I227" s="10" t="str">
        <f>IFERROR(__xludf.DUMMYFUNCTION("""COMPUTED_VALUE"""),"571f2c12-2d3a-4cb9-bb18-40eb0151c52e")</f>
        <v>571f2c12-2d3a-4cb9-bb18-40eb0151c52e</v>
      </c>
    </row>
    <row r="228">
      <c r="A228" s="10" t="str">
        <f>IFERROR(__xludf.DUMMYFUNCTION("""COMPUTED_VALUE"""),"Lunch break")</f>
        <v>Lunch break</v>
      </c>
      <c r="B228" s="10" t="str">
        <f>IFERROR(__xludf.DUMMYFUNCTION("""COMPUTED_VALUE"""),"")</f>
        <v/>
      </c>
      <c r="C228" s="10" t="str">
        <f>IFERROR(__xludf.DUMMYFUNCTION("""COMPUTED_VALUE"""),"PandaConf")</f>
        <v>PandaConf</v>
      </c>
      <c r="D228" s="10" t="str">
        <f>IFERROR(__xludf.DUMMYFUNCTION("""COMPUTED_VALUE"""),"")</f>
        <v/>
      </c>
      <c r="E228" s="10" t="str">
        <f>IFERROR(__xludf.DUMMYFUNCTION("""COMPUTED_VALUE"""),"")</f>
        <v/>
      </c>
      <c r="F228" s="10" t="str">
        <f>IFERROR(__xludf.DUMMYFUNCTION("""COMPUTED_VALUE"""),"2019/11/05 12:55:00")</f>
        <v>2019/11/05 12:55:00</v>
      </c>
      <c r="G228" s="10" t="str">
        <f>IFERROR(__xludf.DUMMYFUNCTION("""COMPUTED_VALUE"""),"2019/11/05 13:40:00")</f>
        <v>2019/11/05 13:40:00</v>
      </c>
      <c r="H228" s="10" t="str">
        <f>IFERROR(__xludf.DUMMYFUNCTION("""COMPUTED_VALUE"""),"160966cb-f4ed-40a4-9530-bbdcdc4ca4ea")</f>
        <v>160966cb-f4ed-40a4-9530-bbdcdc4ca4ea</v>
      </c>
      <c r="I228" s="10" t="str">
        <f>IFERROR(__xludf.DUMMYFUNCTION("""COMPUTED_VALUE"""),"160966cb-f4ed-40a4-9530-bbdcdc4ca4ea")</f>
        <v>160966cb-f4ed-40a4-9530-bbdcdc4ca4ea</v>
      </c>
    </row>
    <row r="229">
      <c r="A229" s="10" t="str">
        <f>IFERROR(__xludf.DUMMYFUNCTION("""COMPUTED_VALUE"""),"Is Silicon Valley pivoting to profits?")</f>
        <v>Is Silicon Valley pivoting to profits?</v>
      </c>
      <c r="B229" s="10" t="str">
        <f>IFERROR(__xludf.DUMMYFUNCTION("""COMPUTED_VALUE"""),"In the wake of the WeWork story, and as more and more commentators question valuations, are we witnessing a paradigm shift in Silicon Valley?")</f>
        <v>In the wake of the WeWork story, and as more and more commentators question valuations, are we witnessing a paradigm shift in Silicon Valley?</v>
      </c>
      <c r="C229" s="10" t="str">
        <f>IFERROR(__xludf.DUMMYFUNCTION("""COMPUTED_VALUE"""),"Centre Stage")</f>
        <v>Centre Stage</v>
      </c>
      <c r="D229" s="10" t="str">
        <f>IFERROR(__xludf.DUMMYFUNCTION("""COMPUTED_VALUE"""),"Ravi Viswanathan, Rytis Vitkauskas and Emil Protalinski")</f>
        <v>Ravi Viswanathan, Rytis Vitkauskas and Emil Protalinski</v>
      </c>
      <c r="E229" s="10" t="str">
        <f>IFERROR(__xludf.DUMMYFUNCTION("""COMPUTED_VALUE"""),"Ravi Viswanathan,Rytis Vitkauskas,Emil Protalinski")</f>
        <v>Ravi Viswanathan,Rytis Vitkauskas,Emil Protalinski</v>
      </c>
      <c r="F229" s="10" t="str">
        <f>IFERROR(__xludf.DUMMYFUNCTION("""COMPUTED_VALUE"""),"2019/11/07 11:30:00")</f>
        <v>2019/11/07 11:30:00</v>
      </c>
      <c r="G229" s="10" t="str">
        <f>IFERROR(__xludf.DUMMYFUNCTION("""COMPUTED_VALUE"""),"2019/11/07 11:50:00")</f>
        <v>2019/11/07 11:50:00</v>
      </c>
      <c r="H229" s="10" t="str">
        <f>IFERROR(__xludf.DUMMYFUNCTION("""COMPUTED_VALUE"""),"d32b6e13-ca37-46b7-9986-53f27b57dbaf")</f>
        <v>d32b6e13-ca37-46b7-9986-53f27b57dbaf</v>
      </c>
      <c r="I229" s="10" t="str">
        <f>IFERROR(__xludf.DUMMYFUNCTION("""COMPUTED_VALUE"""),"d32b6e13-ca37-46b7-9986-53f27b57dbaf")</f>
        <v>d32b6e13-ca37-46b7-9986-53f27b57dbaf</v>
      </c>
    </row>
    <row r="230">
      <c r="A230" s="10" t="str">
        <f>IFERROR(__xludf.DUMMYFUNCTION("""COMPUTED_VALUE"""),"Go-to-market fit")</f>
        <v>Go-to-market fit</v>
      </c>
      <c r="B230" s="10" t="str">
        <f>IFERROR(__xludf.DUMMYFUNCTION("""COMPUTED_VALUE"""),"Product-market fit is key, and finding it is tough, but you can't stop there - finding go-to-market fit is just as important in building a great business.")</f>
        <v>Product-market fit is key, and finding it is tough, but you can't stop there - finding go-to-market fit is just as important in building a great business.</v>
      </c>
      <c r="C230" s="10" t="str">
        <f>IFERROR(__xludf.DUMMYFUNCTION("""COMPUTED_VALUE"""),"Growth Summit")</f>
        <v>Growth Summit</v>
      </c>
      <c r="D230" s="10" t="str">
        <f>IFERROR(__xludf.DUMMYFUNCTION("""COMPUTED_VALUE"""),"David Kelso")</f>
        <v>David Kelso</v>
      </c>
      <c r="E230" s="10" t="str">
        <f>IFERROR(__xludf.DUMMYFUNCTION("""COMPUTED_VALUE"""),"David Kelso")</f>
        <v>David Kelso</v>
      </c>
      <c r="F230" s="10" t="str">
        <f>IFERROR(__xludf.DUMMYFUNCTION("""COMPUTED_VALUE"""),"2019/11/07 11:18:00")</f>
        <v>2019/11/07 11:18:00</v>
      </c>
      <c r="G230" s="10" t="str">
        <f>IFERROR(__xludf.DUMMYFUNCTION("""COMPUTED_VALUE"""),"2019/11/07 11:22:00")</f>
        <v>2019/11/07 11:22:00</v>
      </c>
      <c r="H230" s="10" t="str">
        <f>IFERROR(__xludf.DUMMYFUNCTION("""COMPUTED_VALUE"""),"2a8b0561-959e-4c2a-b391-aed2af7df1ef")</f>
        <v>2a8b0561-959e-4c2a-b391-aed2af7df1ef</v>
      </c>
      <c r="I230" s="10" t="str">
        <f>IFERROR(__xludf.DUMMYFUNCTION("""COMPUTED_VALUE"""),"2a8b0561-959e-4c2a-b391-aed2af7df1ef")</f>
        <v>2a8b0561-959e-4c2a-b391-aed2af7df1ef</v>
      </c>
    </row>
    <row r="231">
      <c r="A231" s="10" t="str">
        <f>IFERROR(__xludf.DUMMYFUNCTION("""COMPUTED_VALUE"""),"Lunch break")</f>
        <v>Lunch break</v>
      </c>
      <c r="B231" s="10" t="str">
        <f>IFERROR(__xludf.DUMMYFUNCTION("""COMPUTED_VALUE"""),"")</f>
        <v/>
      </c>
      <c r="C231" s="10" t="str">
        <f>IFERROR(__xludf.DUMMYFUNCTION("""COMPUTED_VALUE"""),"Centre Stage")</f>
        <v>Centre Stage</v>
      </c>
      <c r="D231" s="10" t="str">
        <f>IFERROR(__xludf.DUMMYFUNCTION("""COMPUTED_VALUE"""),"")</f>
        <v/>
      </c>
      <c r="E231" s="10" t="str">
        <f>IFERROR(__xludf.DUMMYFUNCTION("""COMPUTED_VALUE"""),"")</f>
        <v/>
      </c>
      <c r="F231" s="10" t="str">
        <f>IFERROR(__xludf.DUMMYFUNCTION("""COMPUTED_VALUE"""),"2019/11/07 13:00:00")</f>
        <v>2019/11/07 13:00:00</v>
      </c>
      <c r="G231" s="10" t="str">
        <f>IFERROR(__xludf.DUMMYFUNCTION("""COMPUTED_VALUE"""),"2019/11/07 13:10:00")</f>
        <v>2019/11/07 13:10:00</v>
      </c>
      <c r="H231" s="10" t="str">
        <f>IFERROR(__xludf.DUMMYFUNCTION("""COMPUTED_VALUE"""),"c53f5459-eb20-4aa1-b959-82adbbbf8c22")</f>
        <v>c53f5459-eb20-4aa1-b959-82adbbbf8c22</v>
      </c>
      <c r="I231" s="10" t="str">
        <f>IFERROR(__xludf.DUMMYFUNCTION("""COMPUTED_VALUE"""),"c53f5459-eb20-4aa1-b959-82adbbbf8c22")</f>
        <v>c53f5459-eb20-4aa1-b959-82adbbbf8c22</v>
      </c>
    </row>
    <row r="232">
      <c r="A232" s="10" t="str">
        <f>IFERROR(__xludf.DUMMYFUNCTION("""COMPUTED_VALUE"""),"Breakout startups")</f>
        <v>Breakout startups</v>
      </c>
      <c r="B232" s="10" t="str">
        <f>IFERROR(__xludf.DUMMYFUNCTION("""COMPUTED_VALUE"""),"Are these the companies everyone will be talking about in 2020? Dozens of the world’s leading investors think so. Every lunchtime on Centre Stage you’ll get an introduction to some of the world’s most exciting growth stage startups.  Each of the startups "&amp;"have been hand-selected by some of the world’s most successful investors. You’re in for a treat.")</f>
        <v>Are these the companies everyone will be talking about in 2020? Dozens of the world’s leading investors think so. Every lunchtime on Centre Stage you’ll get an introduction to some of the world’s most exciting growth stage startups.  Each of the startups have been hand-selected by some of the world’s most successful investors. You’re in for a treat.</v>
      </c>
      <c r="C232" s="10" t="str">
        <f>IFERROR(__xludf.DUMMYFUNCTION("""COMPUTED_VALUE"""),"Centre Stage")</f>
        <v>Centre Stage</v>
      </c>
      <c r="D232" s="10" t="str">
        <f>IFERROR(__xludf.DUMMYFUNCTION("""COMPUTED_VALUE"""),"John Wolanin, Lingjia Tang, Kate Rosenbluth, Aba Schubert, Alex Barrotti, Firmin Zocchetto and Laura Urquizu")</f>
        <v>John Wolanin, Lingjia Tang, Kate Rosenbluth, Aba Schubert, Alex Barrotti, Firmin Zocchetto and Laura Urquizu</v>
      </c>
      <c r="E232" s="10" t="str">
        <f>IFERROR(__xludf.DUMMYFUNCTION("""COMPUTED_VALUE"""),"John Wolanin,Lingjia Tang,Kate Rosenbluth,Aba Schubert,Alex Barrotti,Firmin Zocchetto,Laura Urquizu")</f>
        <v>John Wolanin,Lingjia Tang,Kate Rosenbluth,Aba Schubert,Alex Barrotti,Firmin Zocchetto,Laura Urquizu</v>
      </c>
      <c r="F232" s="10" t="str">
        <f>IFERROR(__xludf.DUMMYFUNCTION("""COMPUTED_VALUE"""),"2019/11/05 13:15:00")</f>
        <v>2019/11/05 13:15:00</v>
      </c>
      <c r="G232" s="10" t="str">
        <f>IFERROR(__xludf.DUMMYFUNCTION("""COMPUTED_VALUE"""),"2019/11/05 13:50:00")</f>
        <v>2019/11/05 13:50:00</v>
      </c>
      <c r="H232" s="10" t="str">
        <f>IFERROR(__xludf.DUMMYFUNCTION("""COMPUTED_VALUE"""),"90a12fa3-4f2c-4e14-a26f-5a9dcf6b1c6c")</f>
        <v>90a12fa3-4f2c-4e14-a26f-5a9dcf6b1c6c</v>
      </c>
      <c r="I232" s="10" t="str">
        <f>IFERROR(__xludf.DUMMYFUNCTION("""COMPUTED_VALUE"""),"90a12fa3-4f2c-4e14-a26f-5a9dcf6b1c6c")</f>
        <v>90a12fa3-4f2c-4e14-a26f-5a9dcf6b1c6c</v>
      </c>
    </row>
    <row r="233">
      <c r="A233" s="10" t="str">
        <f>IFERROR(__xludf.DUMMYFUNCTION("""COMPUTED_VALUE"""),"Ideas are easy, business is hard")</f>
        <v>Ideas are easy, business is hard</v>
      </c>
      <c r="B233" s="10" t="str">
        <f>IFERROR(__xludf.DUMMYFUNCTION("""COMPUTED_VALUE"""),"Our panel of prominent investors talk VC trends, triumphs and turbulence in the year to come. ")</f>
        <v>Our panel of prominent investors talk VC trends, triumphs and turbulence in the year to come. </v>
      </c>
      <c r="C233" s="10" t="str">
        <f>IFERROR(__xludf.DUMMYFUNCTION("""COMPUTED_VALUE"""),"Startup University")</f>
        <v>Startup University</v>
      </c>
      <c r="D233" s="10" t="str">
        <f>IFERROR(__xludf.DUMMYFUNCTION("""COMPUTED_VALUE"""),"Christina Bechhold Russ, Fabrice Grinda and Caleb Silver")</f>
        <v>Christina Bechhold Russ, Fabrice Grinda and Caleb Silver</v>
      </c>
      <c r="E233" s="10" t="str">
        <f>IFERROR(__xludf.DUMMYFUNCTION("""COMPUTED_VALUE"""),"Christina Bechhold Russ,Fabrice Grinda,Caleb Silver")</f>
        <v>Christina Bechhold Russ,Fabrice Grinda,Caleb Silver</v>
      </c>
      <c r="F233" s="10" t="str">
        <f>IFERROR(__xludf.DUMMYFUNCTION("""COMPUTED_VALUE"""),"2019/11/06 11:50:00")</f>
        <v>2019/11/06 11:50:00</v>
      </c>
      <c r="G233" s="10" t="str">
        <f>IFERROR(__xludf.DUMMYFUNCTION("""COMPUTED_VALUE"""),"2019/11/06 12:10:00")</f>
        <v>2019/11/06 12:10:00</v>
      </c>
      <c r="H233" s="10" t="str">
        <f>IFERROR(__xludf.DUMMYFUNCTION("""COMPUTED_VALUE"""),"2a03bf28-c209-4ad9-a39f-c77cdbc2a81b")</f>
        <v>2a03bf28-c209-4ad9-a39f-c77cdbc2a81b</v>
      </c>
      <c r="I233" s="10" t="str">
        <f>IFERROR(__xludf.DUMMYFUNCTION("""COMPUTED_VALUE"""),"2a03bf28-c209-4ad9-a39f-c77cdbc2a81b")</f>
        <v>2a03bf28-c209-4ad9-a39f-c77cdbc2a81b</v>
      </c>
    </row>
    <row r="234">
      <c r="A234" s="10" t="str">
        <f>IFERROR(__xludf.DUMMYFUNCTION("""COMPUTED_VALUE"""),"Startup Showcase")</f>
        <v>Startup Showcase</v>
      </c>
      <c r="B234" s="10" t="str">
        <f>IFERROR(__xludf.DUMMYFUNCTION("""COMPUTED_VALUE"""),"On this brand new stage, expect quickfire presentations where startups will showcase their solutions to the future's biggest challenges. This hour focuses on health, covering topics like medtech, fitness apps, and mental health training.
")</f>
        <v>On this brand new stage, expect quickfire presentations where startups will showcase their solutions to the future's biggest challenges. This hour focuses on health, covering topics like medtech, fitness apps, and mental health training.
</v>
      </c>
      <c r="C234" s="10" t="str">
        <f>IFERROR(__xludf.DUMMYFUNCTION("""COMPUTED_VALUE"""),"Startup Showcase 3")</f>
        <v>Startup Showcase 3</v>
      </c>
      <c r="D234" s="10" t="str">
        <f>IFERROR(__xludf.DUMMYFUNCTION("""COMPUTED_VALUE"""),"Steven Gundry, Mohamed Khashaba, YongKee Lim, Damien Gorlier, Feldberg Natalia, Chelsy Swackhamer, Etienne Petermann, Apar Jain, Kwon Taehyeon, Lys Mehou-Loko, Agata Baran, Mohamed Abdallah, Amin Hossein, Daeho Lee, Davood Fanaei Sheikholeslami, Hermann '"&amp;"Hesh' Schreiter, Amelie Grohnert, Mohammed Ahmad, Chang Hun (Douglass) Lee, Tatiana Khodanovich, Johan Boholm, Viktoriia Sharapova, Carlos Ferreira, Hassan Yasin, Michael Maurer-Pühringer, Valeria Mingova, Jueun Ha, Sergey Vassilyev, Soonae Lee, Mohammad "&amp;"Mohammad Amini, Bola Bardet, Mihai Draghici, DongHoon Lee, Lawrence Smith, Graham Mak, Dennis Poon, Esmaeil Kondori, Markus Pelnar, Victoria Shabunina, Ahmed Abdelaty, DAWOON Han, Luca Buscioni, Diana Mereu, Ali Alvi, Marcin Kotewicz, Jakub Jamontt, Arman"&amp;"do Statti, Ana Cristina Grohnert, Joanna Yein Song and Richard Schütze")</f>
        <v>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v>
      </c>
      <c r="E234" s="10" t="str">
        <f>IFERROR(__xludf.DUMMYFUNCTION("""COMPUTED_VALUE"""),"Steven Gundry,Mohamed Khashaba,YongKee Lim,Damien Gorlier,Feldberg Natalia,Chelsy Swackhamer,Etienne Petermann,Apar Jain,Kwon Taehyeon,Lys Mehou-Loko,Agata Baran,Mohamed Abdallah,Amin Hossein,Daeho Lee,Davood Fanaei Sheikholeslami,Hermann 'Hesh' Schreiter"&amp;",Amelie Grohnert,Mohammed Ahmad,Chang Hun (Douglass) Lee,Tatiana Khodanovich,Johan Boholm,Viktoriia Sharapova,Carlos Ferreira,Hassan Yasin,Michael Maurer-Pühringer,Valeria Mingova,Jueun Ha,Sergey Vassilyev,Soonae Lee,Mohammad Mohammad Amini,Bola Bardet,Mi"&amp;"hai Draghici,DongHoon Lee,Lawrence Smith,Graham Mak,Dennis Poon,Esmaeil Kondori,Markus Pelnar,Victoria Shabunina,Ahmed Abdelaty,DAWOON Han,Luca Buscioni,Diana Mereu,Ali Alvi,Marcin Kotewicz,Jakub Jamontt,Armando Statti,Ana Cristina Grohnert,Joanna Yein So"&amp;"ng,Richard Schütze")</f>
        <v>Steven Gundry,Mohamed Khashaba,YongKee Lim,Damien Gorlier,Feldberg Natalia,Chelsy Swackhamer,Etienne Petermann,Apar Jain,Kwon Taehyeon,Lys Mehou-Loko,Agata Baran,Mohamed Abdallah,Amin Hossein,Daeho Lee,Davood Fanaei Sheikholeslami,Hermann 'Hesh' Schreiter,Amelie Grohnert,Mohammed Ahmad,Chang Hun (Douglass) Lee,Tatiana Khodanovich,Johan Boholm,Viktoriia Sharapova,Carlos Ferreira,Hassan Yasin,Michael Maurer-Pühringer,Valeria Mingova,Jueun Ha,Sergey Vassilyev,Soonae Lee,Mohammad Mohammad Amini,Bola Bardet,Mihai Draghici,DongHoon Lee,Lawrence Smith,Graham Mak,Dennis Poon,Esmaeil Kondori,Markus Pelnar,Victoria Shabunina,Ahmed Abdelaty,DAWOON Han,Luca Buscioni,Diana Mereu,Ali Alvi,Marcin Kotewicz,Jakub Jamontt,Armando Statti,Ana Cristina Grohnert,Joanna Yein Song,Richard Schütze</v>
      </c>
      <c r="F234" s="10" t="str">
        <f>IFERROR(__xludf.DUMMYFUNCTION("""COMPUTED_VALUE"""),"2019/11/07 16:15:00")</f>
        <v>2019/11/07 16:15:00</v>
      </c>
      <c r="G234" s="10" t="str">
        <f>IFERROR(__xludf.DUMMYFUNCTION("""COMPUTED_VALUE"""),"2019/11/07 17:15:00")</f>
        <v>2019/11/07 17:15:00</v>
      </c>
      <c r="H234" s="10" t="str">
        <f>IFERROR(__xludf.DUMMYFUNCTION("""COMPUTED_VALUE"""),"03fed8cd-7815-433d-acd9-c05a9f0a2b74")</f>
        <v>03fed8cd-7815-433d-acd9-c05a9f0a2b74</v>
      </c>
      <c r="I234" s="10" t="str">
        <f>IFERROR(__xludf.DUMMYFUNCTION("""COMPUTED_VALUE"""),"03fed8cd-7815-433d-acd9-c05a9f0a2b74")</f>
        <v>03fed8cd-7815-433d-acd9-c05a9f0a2b74</v>
      </c>
    </row>
    <row r="235">
      <c r="A235" s="10" t="str">
        <f>IFERROR(__xludf.DUMMYFUNCTION("""COMPUTED_VALUE"""),"Lunch break")</f>
        <v>Lunch break</v>
      </c>
      <c r="B235" s="10" t="str">
        <f>IFERROR(__xludf.DUMMYFUNCTION("""COMPUTED_VALUE"""),"")</f>
        <v/>
      </c>
      <c r="C235" s="10" t="str">
        <f>IFERROR(__xludf.DUMMYFUNCTION("""COMPUTED_VALUE"""),"FullSTK")</f>
        <v>FullSTK</v>
      </c>
      <c r="D235" s="10" t="str">
        <f>IFERROR(__xludf.DUMMYFUNCTION("""COMPUTED_VALUE"""),"")</f>
        <v/>
      </c>
      <c r="E235" s="10" t="str">
        <f>IFERROR(__xludf.DUMMYFUNCTION("""COMPUTED_VALUE"""),"")</f>
        <v/>
      </c>
      <c r="F235" s="10" t="str">
        <f>IFERROR(__xludf.DUMMYFUNCTION("""COMPUTED_VALUE"""),"2019/11/07 13:35:00")</f>
        <v>2019/11/07 13:35:00</v>
      </c>
      <c r="G235" s="10" t="str">
        <f>IFERROR(__xludf.DUMMYFUNCTION("""COMPUTED_VALUE"""),"2019/11/07 14:10:00")</f>
        <v>2019/11/07 14:10:00</v>
      </c>
      <c r="H235" s="10" t="str">
        <f>IFERROR(__xludf.DUMMYFUNCTION("""COMPUTED_VALUE"""),"d426f130-7278-4386-b397-d10322a138b8")</f>
        <v>d426f130-7278-4386-b397-d10322a138b8</v>
      </c>
      <c r="I235" s="10" t="str">
        <f>IFERROR(__xludf.DUMMYFUNCTION("""COMPUTED_VALUE"""),"d426f130-7278-4386-b397-d10322a138b8")</f>
        <v>d426f130-7278-4386-b397-d10322a138b8</v>
      </c>
    </row>
    <row r="236">
      <c r="A236" s="10" t="str">
        <f>IFERROR(__xludf.DUMMYFUNCTION("""COMPUTED_VALUE"""),"A digital innovation challenge for Europe’s startups and SMEs, hosted by European Commission")</f>
        <v>A digital innovation challenge for Europe’s startups and SMEs, hosted by European Commission</v>
      </c>
      <c r="B236" s="10" t="str">
        <f>IFERROR(__xludf.DUMMYFUNCTION("""COMPUTED_VALUE"""),"The European Commission invites you to imagine new services based on smart solutions provided by the European Commission.
You can gain visibility at European level and work on your ideas together with experts from the European Commission.
The winners "&amp;"can win up to € 50,000. Interested? Get ready to think bigger, grow your business and contribute to a brighter future for Europe. Join us at the workshop!")</f>
        <v>The European Commission invites you to imagine new services based on smart solutions provided by the European Commission.
You can gain visibility at European level and work on your ideas together with experts from the European Commission.
The winners can win up to € 50,000. Interested? Get ready to think bigger, grow your business and contribute to a brighter future for Europe. Join us at the workshop!</v>
      </c>
      <c r="C236" s="10" t="str">
        <f>IFERROR(__xludf.DUMMYFUNCTION("""COMPUTED_VALUE"""),"Workshop 2")</f>
        <v>Workshop 2</v>
      </c>
      <c r="D236" s="10" t="str">
        <f>IFERROR(__xludf.DUMMYFUNCTION("""COMPUTED_VALUE"""),"Emanuele Baldacci, Saky Kourtidis and Eleonora Zoboli")</f>
        <v>Emanuele Baldacci, Saky Kourtidis and Eleonora Zoboli</v>
      </c>
      <c r="E236" s="10" t="str">
        <f>IFERROR(__xludf.DUMMYFUNCTION("""COMPUTED_VALUE"""),"Emanuele Baldacci,Saky Kourtidis,Eleonora Zoboli")</f>
        <v>Emanuele Baldacci,Saky Kourtidis,Eleonora Zoboli</v>
      </c>
      <c r="F236" s="10" t="str">
        <f>IFERROR(__xludf.DUMMYFUNCTION("""COMPUTED_VALUE"""),"2019/11/07 10:00:00")</f>
        <v>2019/11/07 10:00:00</v>
      </c>
      <c r="G236" s="10" t="str">
        <f>IFERROR(__xludf.DUMMYFUNCTION("""COMPUTED_VALUE"""),"2019/11/07 10:45:00")</f>
        <v>2019/11/07 10:45:00</v>
      </c>
      <c r="H236" s="10" t="str">
        <f>IFERROR(__xludf.DUMMYFUNCTION("""COMPUTED_VALUE"""),"271a4a44-a2e1-47f2-b85b-32b9c7f4f748")</f>
        <v>271a4a44-a2e1-47f2-b85b-32b9c7f4f748</v>
      </c>
      <c r="I236" s="10" t="str">
        <f>IFERROR(__xludf.DUMMYFUNCTION("""COMPUTED_VALUE"""),"271a4a44-a2e1-47f2-b85b-32b9c7f4f748")</f>
        <v>271a4a44-a2e1-47f2-b85b-32b9c7f4f748</v>
      </c>
    </row>
    <row r="237">
      <c r="A237" s="10" t="str">
        <f>IFERROR(__xludf.DUMMYFUNCTION("""COMPUTED_VALUE"""),"Do androids dream of electric sheep?")</f>
        <v>Do androids dream of electric sheep?</v>
      </c>
      <c r="B237" s="10" t="str">
        <f>IFERROR(__xludf.DUMMYFUNCTION("""COMPUTED_VALUE"""),"You've seen them speak. You've even seen them debate at our events. Now it's time to look at a robot inspired by the work of Philip K. Dick.")</f>
        <v>You've seen them speak. You've even seen them debate at our events. Now it's time to look at a robot inspired by the work of Philip K. Dick.</v>
      </c>
      <c r="C237" s="10" t="str">
        <f>IFERROR(__xludf.DUMMYFUNCTION("""COMPUTED_VALUE"""),"Auto/Tech &amp; TalkRobot")</f>
        <v>Auto/Tech &amp; TalkRobot</v>
      </c>
      <c r="D237" s="10" t="str">
        <f>IFERROR(__xludf.DUMMYFUNCTION("""COMPUTED_VALUE"""),"Ben Goertzel")</f>
        <v>Ben Goertzel</v>
      </c>
      <c r="E237" s="10" t="str">
        <f>IFERROR(__xludf.DUMMYFUNCTION("""COMPUTED_VALUE"""),"Ben Goertzel")</f>
        <v>Ben Goertzel</v>
      </c>
      <c r="F237" s="10" t="str">
        <f>IFERROR(__xludf.DUMMYFUNCTION("""COMPUTED_VALUE"""),"2019/11/06 12:55:00")</f>
        <v>2019/11/06 12:55:00</v>
      </c>
      <c r="G237" s="10" t="str">
        <f>IFERROR(__xludf.DUMMYFUNCTION("""COMPUTED_VALUE"""),"2019/11/06 13:15:00")</f>
        <v>2019/11/06 13:15:00</v>
      </c>
      <c r="H237" s="10" t="str">
        <f>IFERROR(__xludf.DUMMYFUNCTION("""COMPUTED_VALUE"""),"e36cd054-3b0b-4eab-b359-039a2a7694c3")</f>
        <v>e36cd054-3b0b-4eab-b359-039a2a7694c3</v>
      </c>
      <c r="I237" s="10" t="str">
        <f>IFERROR(__xludf.DUMMYFUNCTION("""COMPUTED_VALUE"""),"e36cd054-3b0b-4eab-b359-039a2a7694c3")</f>
        <v>e36cd054-3b0b-4eab-b359-039a2a7694c3</v>
      </c>
    </row>
    <row r="238">
      <c r="A238" s="10" t="str">
        <f>IFERROR(__xludf.DUMMYFUNCTION("""COMPUTED_VALUE"""),"Opening remarks")</f>
        <v>Opening remarks</v>
      </c>
      <c r="B238" s="10" t="str">
        <f>IFERROR(__xludf.DUMMYFUNCTION("""COMPUTED_VALUE"""),"")</f>
        <v/>
      </c>
      <c r="C238" s="10" t="str">
        <f>IFERROR(__xludf.DUMMYFUNCTION("""COMPUTED_VALUE"""),"SaaS Monster")</f>
        <v>SaaS Monster</v>
      </c>
      <c r="D238" s="10" t="str">
        <f>IFERROR(__xludf.DUMMYFUNCTION("""COMPUTED_VALUE"""),"Mandy Gilbert")</f>
        <v>Mandy Gilbert</v>
      </c>
      <c r="E238" s="10" t="str">
        <f>IFERROR(__xludf.DUMMYFUNCTION("""COMPUTED_VALUE"""),"Mandy Gilbert")</f>
        <v>Mandy Gilbert</v>
      </c>
      <c r="F238" s="10" t="str">
        <f>IFERROR(__xludf.DUMMYFUNCTION("""COMPUTED_VALUE"""),"2019/11/06 13:30:00")</f>
        <v>2019/11/06 13:30:00</v>
      </c>
      <c r="G238" s="10" t="str">
        <f>IFERROR(__xludf.DUMMYFUNCTION("""COMPUTED_VALUE"""),"2019/11/06 13:40:00")</f>
        <v>2019/11/06 13:40:00</v>
      </c>
      <c r="H238" s="10" t="str">
        <f>IFERROR(__xludf.DUMMYFUNCTION("""COMPUTED_VALUE"""),"1d5b0336-6b60-4a9e-8b29-ed010c0e5746")</f>
        <v>1d5b0336-6b60-4a9e-8b29-ed010c0e5746</v>
      </c>
      <c r="I238" s="10" t="str">
        <f>IFERROR(__xludf.DUMMYFUNCTION("""COMPUTED_VALUE"""),"1d5b0336-6b60-4a9e-8b29-ed010c0e5746")</f>
        <v>1d5b0336-6b60-4a9e-8b29-ed010c0e5746</v>
      </c>
    </row>
    <row r="239">
      <c r="A239" s="10" t="str">
        <f>IFERROR(__xludf.DUMMYFUNCTION("""COMPUTED_VALUE"""),"Featured venue: Bar Único")</f>
        <v>Featured venue: Bar Único</v>
      </c>
      <c r="B239" s="10" t="str">
        <f>IFERROR(__xludf.DUMMYFUNCTION("""COMPUTED_VALUE"""),"Hey startups! We know you guys love craft beer so what sort of party would this be without a bar dedicated to them? With a carefully curated selection on tap, this is the place to go if you love a craft beer. 
Night Summit deals: 
€1.50 imperial (20cl"&amp;")")</f>
        <v>Hey startups! We know you guys love craft beer so what sort of party would this be without a bar dedicated to them? With a carefully curated selection on tap, this is the place to go if you love a craft beer. 
Night Summit deals: 
€1.50 imperial (20cl)</v>
      </c>
      <c r="C239" s="10" t="str">
        <f>IFERROR(__xludf.DUMMYFUNCTION("""COMPUTED_VALUE"""),"Bar Único")</f>
        <v>Bar Único</v>
      </c>
      <c r="D239" s="10" t="str">
        <f>IFERROR(__xludf.DUMMYFUNCTION("""COMPUTED_VALUE"""),"")</f>
        <v/>
      </c>
      <c r="E239" s="10" t="str">
        <f>IFERROR(__xludf.DUMMYFUNCTION("""COMPUTED_VALUE"""),"")</f>
        <v/>
      </c>
      <c r="F239" s="10" t="str">
        <f>IFERROR(__xludf.DUMMYFUNCTION("""COMPUTED_VALUE"""),"2019/11/06 20:00:00")</f>
        <v>2019/11/06 20:00:00</v>
      </c>
      <c r="G239" s="10" t="str">
        <f>IFERROR(__xludf.DUMMYFUNCTION("""COMPUTED_VALUE"""),"2019/11/07 02:00:00")</f>
        <v>2019/11/07 02:00:00</v>
      </c>
      <c r="H239" s="10" t="str">
        <f>IFERROR(__xludf.DUMMYFUNCTION("""COMPUTED_VALUE"""),"8d5489be-e73c-4386-8e25-9bca53bf72c7")</f>
        <v>8d5489be-e73c-4386-8e25-9bca53bf72c7</v>
      </c>
      <c r="I239" s="10" t="str">
        <f>IFERROR(__xludf.DUMMYFUNCTION("""COMPUTED_VALUE"""),"8d5489be-e73c-4386-8e25-9bca53bf72c7")</f>
        <v>8d5489be-e73c-4386-8e25-9bca53bf72c7</v>
      </c>
    </row>
    <row r="240">
      <c r="A240" s="10" t="str">
        <f>IFERROR(__xludf.DUMMYFUNCTION("""COMPUTED_VALUE"""),"The whole human thing. Can marketing save our species?")</f>
        <v>The whole human thing. Can marketing save our species?</v>
      </c>
      <c r="B240" s="10" t="str">
        <f>IFERROR(__xludf.DUMMYFUNCTION("""COMPUTED_VALUE"""),"Is our professional quest for all things hyper-effective and relentlessly efficient threatening humanity or sustaining it? Can we seek the holy grail of innovation without jeopardising the people whose lives we touch?  How can marketers keep us human?")</f>
        <v>Is our professional quest for all things hyper-effective and relentlessly efficient threatening humanity or sustaining it? Can we seek the holy grail of innovation without jeopardising the people whose lives we touch?  How can marketers keep us human?</v>
      </c>
      <c r="C240" s="10" t="str">
        <f>IFERROR(__xludf.DUMMYFUNCTION("""COMPUTED_VALUE"""),"Future Societies")</f>
        <v>Future Societies</v>
      </c>
      <c r="D240" s="10" t="str">
        <f>IFERROR(__xludf.DUMMYFUNCTION("""COMPUTED_VALUE"""),"Gail Heimann")</f>
        <v>Gail Heimann</v>
      </c>
      <c r="E240" s="10" t="str">
        <f>IFERROR(__xludf.DUMMYFUNCTION("""COMPUTED_VALUE"""),"Gail Heimann")</f>
        <v>Gail Heimann</v>
      </c>
      <c r="F240" s="10" t="str">
        <f>IFERROR(__xludf.DUMMYFUNCTION("""COMPUTED_VALUE"""),"2019/11/05 13:15:00")</f>
        <v>2019/11/05 13:15:00</v>
      </c>
      <c r="G240" s="10" t="str">
        <f>IFERROR(__xludf.DUMMYFUNCTION("""COMPUTED_VALUE"""),"2019/11/05 13:35:00")</f>
        <v>2019/11/05 13:35:00</v>
      </c>
      <c r="H240" s="10" t="str">
        <f>IFERROR(__xludf.DUMMYFUNCTION("""COMPUTED_VALUE"""),"c7953718-e8c4-441a-9d36-2d73b31d527e")</f>
        <v>c7953718-e8c4-441a-9d36-2d73b31d527e</v>
      </c>
      <c r="I240" s="10" t="str">
        <f>IFERROR(__xludf.DUMMYFUNCTION("""COMPUTED_VALUE"""),"c7953718-e8c4-441a-9d36-2d73b31d527e")</f>
        <v>c7953718-e8c4-441a-9d36-2d73b31d527e</v>
      </c>
    </row>
    <row r="241">
      <c r="A241" s="10" t="str">
        <f>IFERROR(__xludf.DUMMYFUNCTION("""COMPUTED_VALUE"""),"The cognitive enterprise")</f>
        <v>The cognitive enterprise</v>
      </c>
      <c r="B241" s="10" t="str">
        <f>IFERROR(__xludf.DUMMYFUNCTION("""COMPUTED_VALUE"""),"IBM SVP of Global Business Services Mark Foster explains the next big shift in business architectures - becoming a cognitive enterprise. By combining proprietary data, unique tech platforms and specialist expertise, financial services institutions continu"&amp;"ally reinvent themselves for competitive advantage.
")</f>
        <v>IBM SVP of Global Business Services Mark Foster explains the next big shift in business architectures - becoming a cognitive enterprise. By combining proprietary data, unique tech platforms and specialist expertise, financial services institutions continually reinvent themselves for competitive advantage.
</v>
      </c>
      <c r="C241" s="10" t="str">
        <f>IFERROR(__xludf.DUMMYFUNCTION("""COMPUTED_VALUE"""),"Corporate Innovation Summit")</f>
        <v>Corporate Innovation Summit</v>
      </c>
      <c r="D241" s="10" t="str">
        <f>IFERROR(__xludf.DUMMYFUNCTION("""COMPUTED_VALUE"""),"Mark Foster and Paul Michelman")</f>
        <v>Mark Foster and Paul Michelman</v>
      </c>
      <c r="E241" s="10" t="str">
        <f>IFERROR(__xludf.DUMMYFUNCTION("""COMPUTED_VALUE"""),"Mark Foster,Paul Michelman")</f>
        <v>Mark Foster,Paul Michelman</v>
      </c>
      <c r="F241" s="10" t="str">
        <f>IFERROR(__xludf.DUMMYFUNCTION("""COMPUTED_VALUE"""),"2019/11/05 10:55:00")</f>
        <v>2019/11/05 10:55:00</v>
      </c>
      <c r="G241" s="10" t="str">
        <f>IFERROR(__xludf.DUMMYFUNCTION("""COMPUTED_VALUE"""),"2019/11/05 11:15:00")</f>
        <v>2019/11/05 11:15:00</v>
      </c>
      <c r="H241" s="10" t="str">
        <f>IFERROR(__xludf.DUMMYFUNCTION("""COMPUTED_VALUE"""),"4deaa9c0-697f-41cf-80d1-ff36597371ff")</f>
        <v>4deaa9c0-697f-41cf-80d1-ff36597371ff</v>
      </c>
      <c r="I241" s="10" t="str">
        <f>IFERROR(__xludf.DUMMYFUNCTION("""COMPUTED_VALUE"""),"4deaa9c0-697f-41cf-80d1-ff36597371ff")</f>
        <v>4deaa9c0-697f-41cf-80d1-ff36597371ff</v>
      </c>
    </row>
    <row r="242">
      <c r="A242" s="10" t="str">
        <f>IFERROR(__xludf.DUMMYFUNCTION("""COMPUTED_VALUE"""),"Featured venue: Boqueirão")</f>
        <v>Featured venue: Boqueirão</v>
      </c>
      <c r="B242" s="10" t="str">
        <f>IFERROR(__xludf.DUMMYFUNCTION("""COMPUTED_VALUE"""),"This bar specialises in Brazilian vibes, together with a big charcoal grill, outdoor area, and live music. On the menu? The best of street food from Brazil of course! Choose from chicken, pork, or beef on your charcoal grilled kebabs. Top tip? Don't miss "&amp;"out on the caipirinhas, the cheese bread, and the brigadeiros. See you there!
Night Summit deals:
Food recommendation: Brazilian grill")</f>
        <v>This bar specialises in Brazilian vibes, together with a big charcoal grill, outdoor area, and live music. On the menu? The best of street food from Brazil of course! Choose from chicken, pork, or beef on your charcoal grilled kebabs. Top tip? Don't miss out on the caipirinhas, the cheese bread, and the brigadeiros. See you there!
Night Summit deals:
Food recommendation: Brazilian grill</v>
      </c>
      <c r="C242" s="10" t="str">
        <f>IFERROR(__xludf.DUMMYFUNCTION("""COMPUTED_VALUE"""),"Boqueirão")</f>
        <v>Boqueirão</v>
      </c>
      <c r="D242" s="10" t="str">
        <f>IFERROR(__xludf.DUMMYFUNCTION("""COMPUTED_VALUE"""),"")</f>
        <v/>
      </c>
      <c r="E242" s="10" t="str">
        <f>IFERROR(__xludf.DUMMYFUNCTION("""COMPUTED_VALUE"""),"")</f>
        <v/>
      </c>
      <c r="F242" s="10" t="str">
        <f>IFERROR(__xludf.DUMMYFUNCTION("""COMPUTED_VALUE"""),"2019/11/06 20:00:00")</f>
        <v>2019/11/06 20:00:00</v>
      </c>
      <c r="G242" s="10" t="str">
        <f>IFERROR(__xludf.DUMMYFUNCTION("""COMPUTED_VALUE"""),"2019/11/07 02:00:00")</f>
        <v>2019/11/07 02:00:00</v>
      </c>
      <c r="H242" s="10" t="str">
        <f>IFERROR(__xludf.DUMMYFUNCTION("""COMPUTED_VALUE"""),"f0cdd332-7585-4c70-a69a-da903b7c04f1")</f>
        <v>f0cdd332-7585-4c70-a69a-da903b7c04f1</v>
      </c>
      <c r="I242" s="10" t="str">
        <f>IFERROR(__xludf.DUMMYFUNCTION("""COMPUTED_VALUE"""),"f0cdd332-7585-4c70-a69a-da903b7c04f1")</f>
        <v>f0cdd332-7585-4c70-a69a-da903b7c04f1</v>
      </c>
    </row>
    <row r="243">
      <c r="A243" s="10" t="str">
        <f>IFERROR(__xludf.DUMMYFUNCTION("""COMPUTED_VALUE"""),"Supercharge product development with cloud best practices")</f>
        <v>Supercharge product development with cloud best practices</v>
      </c>
      <c r="B243" s="10" t="str">
        <f>IFERROR(__xludf.DUMMYFUNCTION("""COMPUTED_VALUE"""),"Continuous Integration (CI), Continuous Delivery (CD), and Infrastructure as Code (IaC) help developers automate the software release process. The faster you can release new features and fix bugs, the quicker you can innovate and respond to customer needs"&amp;". AWS provides developer tools that help you automate the end-to-end lifecycle of your application. In this session, we will discuss a method for automating the deployment of cloud applications, using services such as AWS CodePipeline and AWS CodeBuild, a"&amp;"nd techniques such as canary deployments and automatic rollbacks.")</f>
        <v>Continuous Integration (CI), Continuous Delivery (CD), and Infrastructure as Code (IaC) help developers automate the software release process. The faster you can release new features and fix bugs, the quicker you can innovate and respond to customer needs. AWS provides developer tools that help you automate the end-to-end lifecycle of your application. In this session, we will discuss a method for automating the deployment of cloud applications, using services such as AWS CodePipeline and AWS CodeBuild, and techniques such as canary deployments and automatic rollbacks.</v>
      </c>
      <c r="C243" s="10" t="str">
        <f>IFERROR(__xludf.DUMMYFUNCTION("""COMPUTED_VALUE"""),"AWS Developer Workshops")</f>
        <v>AWS Developer Workshops</v>
      </c>
      <c r="D243" s="10" t="str">
        <f>IFERROR(__xludf.DUMMYFUNCTION("""COMPUTED_VALUE"""),"")</f>
        <v/>
      </c>
      <c r="E243" s="10" t="str">
        <f>IFERROR(__xludf.DUMMYFUNCTION("""COMPUTED_VALUE"""),"")</f>
        <v/>
      </c>
      <c r="F243" s="10" t="str">
        <f>IFERROR(__xludf.DUMMYFUNCTION("""COMPUTED_VALUE"""),"2019/11/05 13:00:00")</f>
        <v>2019/11/05 13:00:00</v>
      </c>
      <c r="G243" s="10" t="str">
        <f>IFERROR(__xludf.DUMMYFUNCTION("""COMPUTED_VALUE"""),"2019/11/05 13:50:00")</f>
        <v>2019/11/05 13:50:00</v>
      </c>
      <c r="H243" s="10" t="str">
        <f>IFERROR(__xludf.DUMMYFUNCTION("""COMPUTED_VALUE"""),"780e95d2-b08c-4a26-ab36-3f539a24d5b7")</f>
        <v>780e95d2-b08c-4a26-ab36-3f539a24d5b7</v>
      </c>
      <c r="I243" s="10" t="str">
        <f>IFERROR(__xludf.DUMMYFUNCTION("""COMPUTED_VALUE"""),"780e95d2-b08c-4a26-ab36-3f539a24d5b7")</f>
        <v>780e95d2-b08c-4a26-ab36-3f539a24d5b7</v>
      </c>
    </row>
    <row r="244">
      <c r="A244" s="10" t="str">
        <f>IFERROR(__xludf.DUMMYFUNCTION("""COMPUTED_VALUE"""),"Going digital: It's childsplay")</f>
        <v>Going digital: It's childsplay</v>
      </c>
      <c r="B244" s="10" t="str">
        <f>IFERROR(__xludf.DUMMYFUNCTION("""COMPUTED_VALUE"""),"The way children play has been transformed in the last twenty years. With the rise of video games and the integration of technology into more traditional toys, digital play gives kids and teens a way they can create, learn and socialize. As a result, ensu"&amp;"ring that children are able to play safely is much different than in the past. This panel will discuss the changing nature of play, and how to ensure that digital play is safe, fosters creativity, and prepares kids for the future.")</f>
        <v>The way children play has been transformed in the last twenty years. With the rise of video games and the integration of technology into more traditional toys, digital play gives kids and teens a way they can create, learn and socialize. As a result, ensuring that children are able to play safely is much different than in the past. This panel will discuss the changing nature of play, and how to ensure that digital play is safe, fosters creativity, and prepares kids for the future.</v>
      </c>
      <c r="C244" s="10" t="str">
        <f>IFERROR(__xludf.DUMMYFUNCTION("""COMPUTED_VALUE"""),"Future Societies")</f>
        <v>Future Societies</v>
      </c>
      <c r="D244" s="10" t="str">
        <f>IFERROR(__xludf.DUMMYFUNCTION("""COMPUTED_VALUE"""),"Craig Donato and Katie Collins")</f>
        <v>Craig Donato and Katie Collins</v>
      </c>
      <c r="E244" s="10" t="str">
        <f>IFERROR(__xludf.DUMMYFUNCTION("""COMPUTED_VALUE"""),"Craig Donato,Katie Collins")</f>
        <v>Craig Donato,Katie Collins</v>
      </c>
      <c r="F244" s="10" t="str">
        <f>IFERROR(__xludf.DUMMYFUNCTION("""COMPUTED_VALUE"""),"2019/11/06 12:30:00")</f>
        <v>2019/11/06 12:30:00</v>
      </c>
      <c r="G244" s="10" t="str">
        <f>IFERROR(__xludf.DUMMYFUNCTION("""COMPUTED_VALUE"""),"2019/11/06 12:50:00")</f>
        <v>2019/11/06 12:50:00</v>
      </c>
      <c r="H244" s="10" t="str">
        <f>IFERROR(__xludf.DUMMYFUNCTION("""COMPUTED_VALUE"""),"2cae1dae-caed-44cd-90b7-9f38a5c4087b")</f>
        <v>2cae1dae-caed-44cd-90b7-9f38a5c4087b</v>
      </c>
      <c r="I244" s="10" t="str">
        <f>IFERROR(__xludf.DUMMYFUNCTION("""COMPUTED_VALUE"""),"2cae1dae-caed-44cd-90b7-9f38a5c4087b")</f>
        <v>2cae1dae-caed-44cd-90b7-9f38a5c4087b</v>
      </c>
    </row>
    <row r="245">
      <c r="A245" s="10" t="str">
        <f>IFERROR(__xludf.DUMMYFUNCTION("""COMPUTED_VALUE"""),"Is AI really that intelligent?")</f>
        <v>Is AI really that intelligent?</v>
      </c>
      <c r="B245" s="10" t="str">
        <f>IFERROR(__xludf.DUMMYFUNCTION("""COMPUTED_VALUE"""),"We're putting a lot of faith in it- but is AI really that intelligent?")</f>
        <v>We're putting a lot of faith in it- but is AI really that intelligent?</v>
      </c>
      <c r="C245" s="10" t="str">
        <f>IFERROR(__xludf.DUMMYFUNCTION("""COMPUTED_VALUE"""),"Auto/Tech &amp; TalkRobot")</f>
        <v>Auto/Tech &amp; TalkRobot</v>
      </c>
      <c r="D245" s="10" t="str">
        <f>IFERROR(__xludf.DUMMYFUNCTION("""COMPUTED_VALUE"""),"Frida Polli and Javier Zamora")</f>
        <v>Frida Polli and Javier Zamora</v>
      </c>
      <c r="E245" s="10" t="str">
        <f>IFERROR(__xludf.DUMMYFUNCTION("""COMPUTED_VALUE"""),"Frida Polli,Javier Zamora")</f>
        <v>Frida Polli,Javier Zamora</v>
      </c>
      <c r="F245" s="10" t="str">
        <f>IFERROR(__xludf.DUMMYFUNCTION("""COMPUTED_VALUE"""),"2019/11/05 12:40:00")</f>
        <v>2019/11/05 12:40:00</v>
      </c>
      <c r="G245" s="10" t="str">
        <f>IFERROR(__xludf.DUMMYFUNCTION("""COMPUTED_VALUE"""),"2019/11/05 13:00:00")</f>
        <v>2019/11/05 13:00:00</v>
      </c>
      <c r="H245" s="10" t="str">
        <f>IFERROR(__xludf.DUMMYFUNCTION("""COMPUTED_VALUE"""),"6b69d4cb-163a-4f72-a06a-733873508a7e")</f>
        <v>6b69d4cb-163a-4f72-a06a-733873508a7e</v>
      </c>
      <c r="I245" s="10" t="str">
        <f>IFERROR(__xludf.DUMMYFUNCTION("""COMPUTED_VALUE"""),"6b69d4cb-163a-4f72-a06a-733873508a7e")</f>
        <v>6b69d4cb-163a-4f72-a06a-733873508a7e</v>
      </c>
    </row>
    <row r="246">
      <c r="A246" s="10" t="str">
        <f>IFERROR(__xludf.DUMMYFUNCTION("""COMPUTED_VALUE"""),"Protecting the Lion's Share")</f>
        <v>Protecting the Lion's Share</v>
      </c>
      <c r="B246" s="10" t="str">
        <f>IFERROR(__xludf.DUMMYFUNCTION("""COMPUTED_VALUE"""),"Animals star in nearly 20% of all ads. Unfortunately, a full 90% of the most popular animals that appear in advertising are either endangered or on their way there. Mars Inc  has partnered with the UN to try protect our wildlife.")</f>
        <v>Animals star in nearly 20% of all ads. Unfortunately, a full 90% of the most popular animals that appear in advertising are either endangered or on their way there. Mars Inc  has partnered with the UN to try protect our wildlife.</v>
      </c>
      <c r="C246" s="10" t="str">
        <f>IFERROR(__xludf.DUMMYFUNCTION("""COMPUTED_VALUE"""),"PandaConf")</f>
        <v>PandaConf</v>
      </c>
      <c r="D246" s="10" t="str">
        <f>IFERROR(__xludf.DUMMYFUNCTION("""COMPUTED_VALUE"""),"Jane Wakely")</f>
        <v>Jane Wakely</v>
      </c>
      <c r="E246" s="10" t="str">
        <f>IFERROR(__xludf.DUMMYFUNCTION("""COMPUTED_VALUE"""),"Jane Wakely")</f>
        <v>Jane Wakely</v>
      </c>
      <c r="F246" s="10" t="str">
        <f>IFERROR(__xludf.DUMMYFUNCTION("""COMPUTED_VALUE"""),"2019/11/07 15:15:00")</f>
        <v>2019/11/07 15:15:00</v>
      </c>
      <c r="G246" s="10" t="str">
        <f>IFERROR(__xludf.DUMMYFUNCTION("""COMPUTED_VALUE"""),"2019/11/07 15:35:00")</f>
        <v>2019/11/07 15:35:00</v>
      </c>
      <c r="H246" s="10" t="str">
        <f>IFERROR(__xludf.DUMMYFUNCTION("""COMPUTED_VALUE"""),"82b2a066-cc55-4cb3-b513-87046be33307")</f>
        <v>82b2a066-cc55-4cb3-b513-87046be33307</v>
      </c>
      <c r="I246" s="10" t="str">
        <f>IFERROR(__xludf.DUMMYFUNCTION("""COMPUTED_VALUE"""),"82b2a066-cc55-4cb3-b513-87046be33307")</f>
        <v>82b2a066-cc55-4cb3-b513-87046be33307</v>
      </c>
    </row>
    <row r="247">
      <c r="A247" s="10" t="str">
        <f>IFERROR(__xludf.DUMMYFUNCTION("""COMPUTED_VALUE"""),"What's next in fintech? Investors show their hands ")</f>
        <v>What's next in fintech? Investors show their hands </v>
      </c>
      <c r="B247" s="10" t="str">
        <f>IFERROR(__xludf.DUMMYFUNCTION("""COMPUTED_VALUE"""),"Investors have long kept their cards close to their chests when it comes to fintech. However, as unicorns begin to crop up globally, we have gathered three top financial investors to share their insights and predictions.")</f>
        <v>Investors have long kept their cards close to their chests when it comes to fintech. However, as unicorns begin to crop up globally, we have gathered three top financial investors to share their insights and predictions.</v>
      </c>
      <c r="C247" s="10" t="str">
        <f>IFERROR(__xludf.DUMMYFUNCTION("""COMPUTED_VALUE"""),"MoneyConf")</f>
        <v>MoneyConf</v>
      </c>
      <c r="D247" s="10" t="str">
        <f>IFERROR(__xludf.DUMMYFUNCTION("""COMPUTED_VALUE"""),"Andrei Brasoveanu, Tara Reeves, Jeff Pulver and Matthieu Favas")</f>
        <v>Andrei Brasoveanu, Tara Reeves, Jeff Pulver and Matthieu Favas</v>
      </c>
      <c r="E247" s="10" t="str">
        <f>IFERROR(__xludf.DUMMYFUNCTION("""COMPUTED_VALUE"""),"Andrei Brasoveanu,Tara Reeves,Jeff Pulver,Matthieu Favas")</f>
        <v>Andrei Brasoveanu,Tara Reeves,Jeff Pulver,Matthieu Favas</v>
      </c>
      <c r="F247" s="10" t="str">
        <f>IFERROR(__xludf.DUMMYFUNCTION("""COMPUTED_VALUE"""),"2019/11/07 14:05:00")</f>
        <v>2019/11/07 14:05:00</v>
      </c>
      <c r="G247" s="10" t="str">
        <f>IFERROR(__xludf.DUMMYFUNCTION("""COMPUTED_VALUE"""),"2019/11/07 14:25:00")</f>
        <v>2019/11/07 14:25:00</v>
      </c>
      <c r="H247" s="10" t="str">
        <f>IFERROR(__xludf.DUMMYFUNCTION("""COMPUTED_VALUE"""),"6bb3207e-e613-431b-87d1-d0fb283173be")</f>
        <v>6bb3207e-e613-431b-87d1-d0fb283173be</v>
      </c>
      <c r="I247" s="10" t="str">
        <f>IFERROR(__xludf.DUMMYFUNCTION("""COMPUTED_VALUE"""),"6bb3207e-e613-431b-87d1-d0fb283173be")</f>
        <v>6bb3207e-e613-431b-87d1-d0fb283173be</v>
      </c>
    </row>
    <row r="248">
      <c r="A248" s="10" t="str">
        <f>IFERROR(__xludf.DUMMYFUNCTION("""COMPUTED_VALUE"""),"Catching feelings: The strength of experience")</f>
        <v>Catching feelings: The strength of experience</v>
      </c>
      <c r="B248" s="10" t="str">
        <f>IFERROR(__xludf.DUMMYFUNCTION("""COMPUTED_VALUE"""),"In today’s experience economy, consumers are demanding unique and meaningful interaction from the brands they do business with. Let's hear how brands can create once-in-a-lifetime customer journeys by gaining a deep understanding of employee, brand, and p"&amp;"roduct experiences. We’ll learn to create experiences that drive growth by combining the power of technology with human emotion.")</f>
        <v>In today’s experience economy, consumers are demanding unique and meaningful interaction from the brands they do business with. Let's hear how brands can create once-in-a-lifetime customer journeys by gaining a deep understanding of employee, brand, and product experiences. We’ll learn to create experiences that drive growth by combining the power of technology with human emotion.</v>
      </c>
      <c r="C248" s="10" t="str">
        <f>IFERROR(__xludf.DUMMYFUNCTION("""COMPUTED_VALUE"""),"PandaConf")</f>
        <v>PandaConf</v>
      </c>
      <c r="D248" s="10" t="str">
        <f>IFERROR(__xludf.DUMMYFUNCTION("""COMPUTED_VALUE"""),"Alicia Tillman")</f>
        <v>Alicia Tillman</v>
      </c>
      <c r="E248" s="10" t="str">
        <f>IFERROR(__xludf.DUMMYFUNCTION("""COMPUTED_VALUE"""),"Alicia Tillman")</f>
        <v>Alicia Tillman</v>
      </c>
      <c r="F248" s="10" t="str">
        <f>IFERROR(__xludf.DUMMYFUNCTION("""COMPUTED_VALUE"""),"2019/11/06 14:45:00")</f>
        <v>2019/11/06 14:45:00</v>
      </c>
      <c r="G248" s="10" t="str">
        <f>IFERROR(__xludf.DUMMYFUNCTION("""COMPUTED_VALUE"""),"2019/11/06 15:05:00")</f>
        <v>2019/11/06 15:05:00</v>
      </c>
      <c r="H248" s="10" t="str">
        <f>IFERROR(__xludf.DUMMYFUNCTION("""COMPUTED_VALUE"""),"dabafdcc-86cd-479f-96fb-0cd2da1b9ac1")</f>
        <v>dabafdcc-86cd-479f-96fb-0cd2da1b9ac1</v>
      </c>
      <c r="I248" s="10" t="str">
        <f>IFERROR(__xludf.DUMMYFUNCTION("""COMPUTED_VALUE"""),"dabafdcc-86cd-479f-96fb-0cd2da1b9ac1")</f>
        <v>dabafdcc-86cd-479f-96fb-0cd2da1b9ac1</v>
      </c>
    </row>
    <row r="249">
      <c r="A249" s="10" t="str">
        <f>IFERROR(__xludf.DUMMYFUNCTION("""COMPUTED_VALUE"""),"Opening remarks")</f>
        <v>Opening remarks</v>
      </c>
      <c r="B249" s="10" t="str">
        <f>IFERROR(__xludf.DUMMYFUNCTION("""COMPUTED_VALUE"""),"")</f>
        <v/>
      </c>
      <c r="C249" s="10" t="str">
        <f>IFERROR(__xludf.DUMMYFUNCTION("""COMPUTED_VALUE"""),"ContentMakers")</f>
        <v>ContentMakers</v>
      </c>
      <c r="D249" s="10" t="str">
        <f>IFERROR(__xludf.DUMMYFUNCTION("""COMPUTED_VALUE"""),"Natalie Monbiot")</f>
        <v>Natalie Monbiot</v>
      </c>
      <c r="E249" s="10" t="str">
        <f>IFERROR(__xludf.DUMMYFUNCTION("""COMPUTED_VALUE"""),"Natalie Monbiot")</f>
        <v>Natalie Monbiot</v>
      </c>
      <c r="F249" s="10" t="str">
        <f>IFERROR(__xludf.DUMMYFUNCTION("""COMPUTED_VALUE"""),"2019/11/06 11:00:00")</f>
        <v>2019/11/06 11:00:00</v>
      </c>
      <c r="G249" s="10" t="str">
        <f>IFERROR(__xludf.DUMMYFUNCTION("""COMPUTED_VALUE"""),"2019/11/06 11:10:00")</f>
        <v>2019/11/06 11:10:00</v>
      </c>
      <c r="H249" s="10" t="str">
        <f>IFERROR(__xludf.DUMMYFUNCTION("""COMPUTED_VALUE"""),"6a3d15a8-1309-4b0d-9603-829f65347946")</f>
        <v>6a3d15a8-1309-4b0d-9603-829f65347946</v>
      </c>
      <c r="I249" s="10" t="str">
        <f>IFERROR(__xludf.DUMMYFUNCTION("""COMPUTED_VALUE"""),"6a3d15a8-1309-4b0d-9603-829f65347946")</f>
        <v>6a3d15a8-1309-4b0d-9603-829f65347946</v>
      </c>
    </row>
    <row r="250">
      <c r="A250" s="10" t="str">
        <f>IFERROR(__xludf.DUMMYFUNCTION("""COMPUTED_VALUE"""),"Design for product success")</f>
        <v>Design for product success</v>
      </c>
      <c r="B250" s="10" t="str">
        <f>IFERROR(__xludf.DUMMYFUNCTION("""COMPUTED_VALUE"""),"Co-founder and CEO, Pieter shares how the Sketch team built the tool they needed and grew it into the digital design platform that empowers over one million designers — from freelancers to the world’s largest companies.")</f>
        <v>Co-founder and CEO, Pieter shares how the Sketch team built the tool they needed and grew it into the digital design platform that empowers over one million designers — from freelancers to the world’s largest companies.</v>
      </c>
      <c r="C250" s="10" t="str">
        <f>IFERROR(__xludf.DUMMYFUNCTION("""COMPUTED_VALUE"""),"Growth Summit")</f>
        <v>Growth Summit</v>
      </c>
      <c r="D250" s="10" t="str">
        <f>IFERROR(__xludf.DUMMYFUNCTION("""COMPUTED_VALUE"""),"Pieter Omvlee")</f>
        <v>Pieter Omvlee</v>
      </c>
      <c r="E250" s="10" t="str">
        <f>IFERROR(__xludf.DUMMYFUNCTION("""COMPUTED_VALUE"""),"Pieter Omvlee")</f>
        <v>Pieter Omvlee</v>
      </c>
      <c r="F250" s="10" t="str">
        <f>IFERROR(__xludf.DUMMYFUNCTION("""COMPUTED_VALUE"""),"2019/11/05 13:03:00")</f>
        <v>2019/11/05 13:03:00</v>
      </c>
      <c r="G250" s="10" t="str">
        <f>IFERROR(__xludf.DUMMYFUNCTION("""COMPUTED_VALUE"""),"2019/11/05 13:14:00")</f>
        <v>2019/11/05 13:14:00</v>
      </c>
      <c r="H250" s="10" t="str">
        <f>IFERROR(__xludf.DUMMYFUNCTION("""COMPUTED_VALUE"""),"16e7ddc6-b395-4462-851e-bb00c6a085fe")</f>
        <v>16e7ddc6-b395-4462-851e-bb00c6a085fe</v>
      </c>
      <c r="I250" s="10" t="str">
        <f>IFERROR(__xludf.DUMMYFUNCTION("""COMPUTED_VALUE"""),"16e7ddc6-b395-4462-851e-bb00c6a085fe")</f>
        <v>16e7ddc6-b395-4462-851e-bb00c6a085fe</v>
      </c>
    </row>
    <row r="251">
      <c r="A251" s="10" t="str">
        <f>IFERROR(__xludf.DUMMYFUNCTION("""COMPUTED_VALUE"""),"Featured venue: Pink Wine Point")</f>
        <v>Featured venue: Pink Wine Point</v>
      </c>
      <c r="B251" s="10" t="str">
        <f>IFERROR(__xludf.DUMMYFUNCTION("""COMPUTED_VALUE"""),"Portugal is renowned for its delicious flavours, least not in the world of wine and spirits. This is the place to try signature cocktails, limoncello, and they are the only place in Cais do Sodré where you can try top quality Portuguese wine without havin"&amp;"g to buy a whole bottle.
Night Summit deals: 
25% on all wines and sangria")</f>
        <v>Portugal is renowned for its delicious flavours, least not in the world of wine and spirits. This is the place to try signature cocktails, limoncello, and they are the only place in Cais do Sodré where you can try top quality Portuguese wine without having to buy a whole bottle.
Night Summit deals: 
25% on all wines and sangria</v>
      </c>
      <c r="C251" s="10" t="str">
        <f>IFERROR(__xludf.DUMMYFUNCTION("""COMPUTED_VALUE"""),"Pink Wine Point")</f>
        <v>Pink Wine Point</v>
      </c>
      <c r="D251" s="10" t="str">
        <f>IFERROR(__xludf.DUMMYFUNCTION("""COMPUTED_VALUE"""),"")</f>
        <v/>
      </c>
      <c r="E251" s="10" t="str">
        <f>IFERROR(__xludf.DUMMYFUNCTION("""COMPUTED_VALUE"""),"")</f>
        <v/>
      </c>
      <c r="F251" s="10" t="str">
        <f>IFERROR(__xludf.DUMMYFUNCTION("""COMPUTED_VALUE"""),"2019/11/05 20:00:00")</f>
        <v>2019/11/05 20:00:00</v>
      </c>
      <c r="G251" s="10" t="str">
        <f>IFERROR(__xludf.DUMMYFUNCTION("""COMPUTED_VALUE"""),"2019/11/06 00:00:00")</f>
        <v>2019/11/06 00:00:00</v>
      </c>
      <c r="H251" s="10" t="str">
        <f>IFERROR(__xludf.DUMMYFUNCTION("""COMPUTED_VALUE"""),"77f35cca-1ddb-41c6-8eab-a78e62f536f0")</f>
        <v>77f35cca-1ddb-41c6-8eab-a78e62f536f0</v>
      </c>
      <c r="I251" s="10" t="str">
        <f>IFERROR(__xludf.DUMMYFUNCTION("""COMPUTED_VALUE"""),"77f35cca-1ddb-41c6-8eab-a78e62f536f0")</f>
        <v>77f35cca-1ddb-41c6-8eab-a78e62f536f0</v>
      </c>
    </row>
    <row r="252">
      <c r="A252" s="10" t="str">
        <f>IFERROR(__xludf.DUMMYFUNCTION("""COMPUTED_VALUE"""),"The combined impact of blockchain and AI")</f>
        <v>The combined impact of blockchain and AI</v>
      </c>
      <c r="B252" s="10" t="str">
        <f>IFERROR(__xludf.DUMMYFUNCTION("""COMPUTED_VALUE"""),"Discussing the benefits of implementing blockchain and AI in financial services; particularly how and why both technologies are poised to transform the entire industry.")</f>
        <v>Discussing the benefits of implementing blockchain and AI in financial services; particularly how and why both technologies are poised to transform the entire industry.</v>
      </c>
      <c r="C252" s="10" t="str">
        <f>IFERROR(__xludf.DUMMYFUNCTION("""COMPUTED_VALUE"""),"Growth Summit")</f>
        <v>Growth Summit</v>
      </c>
      <c r="D252" s="10" t="str">
        <f>IFERROR(__xludf.DUMMYFUNCTION("""COMPUTED_VALUE"""),"Mark Arthur")</f>
        <v>Mark Arthur</v>
      </c>
      <c r="E252" s="10" t="str">
        <f>IFERROR(__xludf.DUMMYFUNCTION("""COMPUTED_VALUE"""),"Mark Arthur")</f>
        <v>Mark Arthur</v>
      </c>
      <c r="F252" s="10" t="str">
        <f>IFERROR(__xludf.DUMMYFUNCTION("""COMPUTED_VALUE"""),"2019/11/07 10:38:00")</f>
        <v>2019/11/07 10:38:00</v>
      </c>
      <c r="G252" s="10" t="str">
        <f>IFERROR(__xludf.DUMMYFUNCTION("""COMPUTED_VALUE"""),"2019/11/07 10:42:00")</f>
        <v>2019/11/07 10:42:00</v>
      </c>
      <c r="H252" s="10" t="str">
        <f>IFERROR(__xludf.DUMMYFUNCTION("""COMPUTED_VALUE"""),"06bcbbe0-4efd-4675-8228-9969940fffa1")</f>
        <v>06bcbbe0-4efd-4675-8228-9969940fffa1</v>
      </c>
      <c r="I252" s="10" t="str">
        <f>IFERROR(__xludf.DUMMYFUNCTION("""COMPUTED_VALUE"""),"06bcbbe0-4efd-4675-8228-9969940fffa1")</f>
        <v>06bcbbe0-4efd-4675-8228-9969940fffa1</v>
      </c>
    </row>
    <row r="253">
      <c r="A253" s="10" t="str">
        <f>IFERROR(__xludf.DUMMYFUNCTION("""COMPUTED_VALUE"""),"Nutrition and technology secrets for enhancing longevity")</f>
        <v>Nutrition and technology secrets for enhancing longevity</v>
      </c>
      <c r="B253" s="10" t="str">
        <f>IFERROR(__xludf.DUMMYFUNCTION("""COMPUTED_VALUE"""),"Humans have the capability to live healthy to 110. Unlocking the secrets of aging and living Longer is at the essence of what we do at L-Nutra. Given that we are the only company with an issued patent on promoting health and longevity, we wanted to share "&amp;"the pillars of nutrition for longevity.")</f>
        <v>Humans have the capability to live healthy to 110. Unlocking the secrets of aging and living Longer is at the essence of what we do at L-Nutra. Given that we are the only company with an issued patent on promoting health and longevity, we wanted to share the pillars of nutrition for longevity.</v>
      </c>
      <c r="C253" s="10" t="str">
        <f>IFERROR(__xludf.DUMMYFUNCTION("""COMPUTED_VALUE"""),"Growth Summit")</f>
        <v>Growth Summit</v>
      </c>
      <c r="D253" s="10" t="str">
        <f>IFERROR(__xludf.DUMMYFUNCTION("""COMPUTED_VALUE"""),"Joseph Antoun")</f>
        <v>Joseph Antoun</v>
      </c>
      <c r="E253" s="10" t="str">
        <f>IFERROR(__xludf.DUMMYFUNCTION("""COMPUTED_VALUE"""),"Joseph Antoun")</f>
        <v>Joseph Antoun</v>
      </c>
      <c r="F253" s="10" t="str">
        <f>IFERROR(__xludf.DUMMYFUNCTION("""COMPUTED_VALUE"""),"2019/11/05 10:58:00")</f>
        <v>2019/11/05 10:58:00</v>
      </c>
      <c r="G253" s="10" t="str">
        <f>IFERROR(__xludf.DUMMYFUNCTION("""COMPUTED_VALUE"""),"2019/11/05 11:02:00")</f>
        <v>2019/11/05 11:02:00</v>
      </c>
      <c r="H253" s="10" t="str">
        <f>IFERROR(__xludf.DUMMYFUNCTION("""COMPUTED_VALUE"""),"a51c8666-b50f-4020-ad2a-5f83d6a26ef6")</f>
        <v>a51c8666-b50f-4020-ad2a-5f83d6a26ef6</v>
      </c>
      <c r="I253" s="10" t="str">
        <f>IFERROR(__xludf.DUMMYFUNCTION("""COMPUTED_VALUE"""),"a51c8666-b50f-4020-ad2a-5f83d6a26ef6")</f>
        <v>a51c8666-b50f-4020-ad2a-5f83d6a26ef6</v>
      </c>
    </row>
    <row r="254">
      <c r="A254" s="10" t="str">
        <f>IFERROR(__xludf.DUMMYFUNCTION("""COMPUTED_VALUE"""),"Press conference with Carlos Moedas, European Commission &amp; Pedro Siza Viera, Government of Portugal")</f>
        <v>Press conference with Carlos Moedas, European Commission &amp; Pedro Siza Viera, Government of Portugal</v>
      </c>
      <c r="B254" s="10" t="str">
        <f>IFERROR(__xludf.DUMMYFUNCTION("""COMPUTED_VALUE"""),"")</f>
        <v/>
      </c>
      <c r="C254" s="10" t="str">
        <f>IFERROR(__xludf.DUMMYFUNCTION("""COMPUTED_VALUE"""),"")</f>
        <v/>
      </c>
      <c r="D254" s="10" t="str">
        <f>IFERROR(__xludf.DUMMYFUNCTION("""COMPUTED_VALUE"""),"Carlos Moedas and  Pedro Siza Vieira
")</f>
        <v>Carlos Moedas and  Pedro Siza Vieira
</v>
      </c>
      <c r="E254" s="10" t="str">
        <f>IFERROR(__xludf.DUMMYFUNCTION("""COMPUTED_VALUE"""),"Carlos Moedas, Pedro Siza Vieira
")</f>
        <v>Carlos Moedas, Pedro Siza Vieira
</v>
      </c>
      <c r="F254" s="10" t="str">
        <f>IFERROR(__xludf.DUMMYFUNCTION("""COMPUTED_VALUE"""),"")</f>
        <v/>
      </c>
      <c r="G254" s="10" t="str">
        <f>IFERROR(__xludf.DUMMYFUNCTION("""COMPUTED_VALUE"""),"")</f>
        <v/>
      </c>
      <c r="H254" s="10" t="str">
        <f>IFERROR(__xludf.DUMMYFUNCTION("""COMPUTED_VALUE"""),"531fec28-4a60-59ad-9284-5696cce9264a")</f>
        <v>531fec28-4a60-59ad-9284-5696cce9264a</v>
      </c>
      <c r="I254" s="10" t="str">
        <f>IFERROR(__xludf.DUMMYFUNCTION("""COMPUTED_VALUE"""),"531fec28-4a60-59ad-9284-5696cce9264a")</f>
        <v>531fec28-4a60-59ad-9284-5696cce9264a</v>
      </c>
    </row>
    <row r="255">
      <c r="A255" s="10" t="str">
        <f>IFERROR(__xludf.DUMMYFUNCTION("""COMPUTED_VALUE"""),"Navigating the ever-evolving landscape of security and privacy")</f>
        <v>Navigating the ever-evolving landscape of security and privacy</v>
      </c>
      <c r="B255" s="10" t="str">
        <f>IFERROR(__xludf.DUMMYFUNCTION("""COMPUTED_VALUE"""),"Learn how high growth startup Nylas manoeuvered through a series of product security and privacy pivots while their competitors collapsed.")</f>
        <v>Learn how high growth startup Nylas manoeuvered through a series of product security and privacy pivots while their competitors collapsed.</v>
      </c>
      <c r="C255" s="10" t="str">
        <f>IFERROR(__xludf.DUMMYFUNCTION("""COMPUTED_VALUE"""),"Growth Summit")</f>
        <v>Growth Summit</v>
      </c>
      <c r="D255" s="10" t="str">
        <f>IFERROR(__xludf.DUMMYFUNCTION("""COMPUTED_VALUE"""),"Christine Spang")</f>
        <v>Christine Spang</v>
      </c>
      <c r="E255" s="10" t="str">
        <f>IFERROR(__xludf.DUMMYFUNCTION("""COMPUTED_VALUE"""),"Christine Spang")</f>
        <v>Christine Spang</v>
      </c>
      <c r="F255" s="10" t="str">
        <f>IFERROR(__xludf.DUMMYFUNCTION("""COMPUTED_VALUE"""),"2019/11/06 14:53:00")</f>
        <v>2019/11/06 14:53:00</v>
      </c>
      <c r="G255" s="10" t="str">
        <f>IFERROR(__xludf.DUMMYFUNCTION("""COMPUTED_VALUE"""),"2019/11/06 15:04:00")</f>
        <v>2019/11/06 15:04:00</v>
      </c>
      <c r="H255" s="10" t="str">
        <f>IFERROR(__xludf.DUMMYFUNCTION("""COMPUTED_VALUE"""),"76c7561f-3f3f-4df9-9b84-463305abcb4f")</f>
        <v>76c7561f-3f3f-4df9-9b84-463305abcb4f</v>
      </c>
      <c r="I255" s="10" t="str">
        <f>IFERROR(__xludf.DUMMYFUNCTION("""COMPUTED_VALUE"""),"76c7561f-3f3f-4df9-9b84-463305abcb4f")</f>
        <v>76c7561f-3f3f-4df9-9b84-463305abcb4f</v>
      </c>
    </row>
    <row r="256">
      <c r="A256" s="10" t="str">
        <f>IFERROR(__xludf.DUMMYFUNCTION("""COMPUTED_VALUE"""),"Retail therapy: Tech for fast consumption")</f>
        <v>Retail therapy: Tech for fast consumption</v>
      </c>
      <c r="B256" s="10" t="str">
        <f>IFERROR(__xludf.DUMMYFUNCTION("""COMPUTED_VALUE"""),"The fashion retail world changes exceptionally fast, with trends falling in and out of style far more than just seasonally. As retail moves increasingly online and the fight for digital consumers intensifies, what are investors looking for in an e-commerc"&amp;"e platform? ")</f>
        <v>The fashion retail world changes exceptionally fast, with trends falling in and out of style far more than just seasonally. As retail moves increasingly online and the fight for digital consumers intensifies, what are investors looking for in an e-commerce platform? </v>
      </c>
      <c r="C256" s="10" t="str">
        <f>IFERROR(__xludf.DUMMYFUNCTION("""COMPUTED_VALUE"""),"Venture stage")</f>
        <v>Venture stage</v>
      </c>
      <c r="D256" s="10" t="str">
        <f>IFERROR(__xludf.DUMMYFUNCTION("""COMPUTED_VALUE"""),"Carmen Alfonso Rico, Rainer Märkle, Nicola McClafferty and Natalia Drozdiak")</f>
        <v>Carmen Alfonso Rico, Rainer Märkle, Nicola McClafferty and Natalia Drozdiak</v>
      </c>
      <c r="E256" s="10" t="str">
        <f>IFERROR(__xludf.DUMMYFUNCTION("""COMPUTED_VALUE"""),"Carmen Alfonso Rico,Rainer Märkle,Nicola McClafferty,Natalia Drozdiak")</f>
        <v>Carmen Alfonso Rico,Rainer Märkle,Nicola McClafferty,Natalia Drozdiak</v>
      </c>
      <c r="F256" s="10" t="str">
        <f>IFERROR(__xludf.DUMMYFUNCTION("""COMPUTED_VALUE"""),"2019/11/05 10:50:00")</f>
        <v>2019/11/05 10:50:00</v>
      </c>
      <c r="G256" s="10" t="str">
        <f>IFERROR(__xludf.DUMMYFUNCTION("""COMPUTED_VALUE"""),"2019/11/05 11:10:00")</f>
        <v>2019/11/05 11:10:00</v>
      </c>
      <c r="H256" s="10" t="str">
        <f>IFERROR(__xludf.DUMMYFUNCTION("""COMPUTED_VALUE"""),"7921e49e-7c01-41ca-a2e2-33b1448f0ee9")</f>
        <v>7921e49e-7c01-41ca-a2e2-33b1448f0ee9</v>
      </c>
      <c r="I256" s="10" t="str">
        <f>IFERROR(__xludf.DUMMYFUNCTION("""COMPUTED_VALUE"""),"7921e49e-7c01-41ca-a2e2-33b1448f0ee9")</f>
        <v>7921e49e-7c01-41ca-a2e2-33b1448f0ee9</v>
      </c>
    </row>
    <row r="257">
      <c r="A257" s="10" t="str">
        <f>IFERROR(__xludf.DUMMYFUNCTION("""COMPUTED_VALUE"""),"PITCH group round 16")</f>
        <v>PITCH group round 16</v>
      </c>
      <c r="B257" s="10" t="str">
        <f>IFERROR(__xludf.DUMMYFUNCTION("""COMPUTED_VALUE"""),"")</f>
        <v/>
      </c>
      <c r="C257" s="10" t="str">
        <f>IFERROR(__xludf.DUMMYFUNCTION("""COMPUTED_VALUE"""),"PITCH 1")</f>
        <v>PITCH 1</v>
      </c>
      <c r="D257" s="10" t="str">
        <f>IFERROR(__xludf.DUMMYFUNCTION("""COMPUTED_VALUE"""),"Francis Lowry, Malin Holmberg, Anneli Rispens, Miguel Rangel, Mohan Ram, Amer Nasereddin, Ben Moe, Thierry Tacheny, Riccardo Tomassetti, Hubert Guzera, Den Melnykov, MIGUEL REYNOLDS BRANDAO and Niky Achivei")</f>
        <v>Francis Lowry, Malin Holmberg, Anneli Rispens, Miguel Rangel, Mohan Ram, Amer Nasereddin, Ben Moe, Thierry Tacheny, Riccardo Tomassetti, Hubert Guzera, Den Melnykov, MIGUEL REYNOLDS BRANDAO and Niky Achivei</v>
      </c>
      <c r="E257" s="10" t="str">
        <f>IFERROR(__xludf.DUMMYFUNCTION("""COMPUTED_VALUE"""),"Francis Lowry,Malin Holmberg,Anneli Rispens,Miguel Rangel,Mohan Ram,Amer Nasereddin,Ben Moe,Thierry Tacheny,Riccardo Tomassetti,Hubert Guzera,Den Melnykov,MIGUEL REYNOLDS BRANDAO,Niky Achivei")</f>
        <v>Francis Lowry,Malin Holmberg,Anneli Rispens,Miguel Rangel,Mohan Ram,Amer Nasereddin,Ben Moe,Thierry Tacheny,Riccardo Tomassetti,Hubert Guzera,Den Melnykov,MIGUEL REYNOLDS BRANDAO,Niky Achivei</v>
      </c>
      <c r="F257" s="10" t="str">
        <f>IFERROR(__xludf.DUMMYFUNCTION("""COMPUTED_VALUE"""),"2019/11/05 15:00:00")</f>
        <v>2019/11/05 15:00:00</v>
      </c>
      <c r="G257" s="10" t="str">
        <f>IFERROR(__xludf.DUMMYFUNCTION("""COMPUTED_VALUE"""),"2019/11/05 16:00:00")</f>
        <v>2019/11/05 16:00:00</v>
      </c>
      <c r="H257" s="10" t="str">
        <f>IFERROR(__xludf.DUMMYFUNCTION("""COMPUTED_VALUE"""),"e4e7a3d7-c1fc-479c-ac8e-2f88536880e0")</f>
        <v>e4e7a3d7-c1fc-479c-ac8e-2f88536880e0</v>
      </c>
      <c r="I257" s="10" t="str">
        <f>IFERROR(__xludf.DUMMYFUNCTION("""COMPUTED_VALUE"""),"e4e7a3d7-c1fc-479c-ac8e-2f88536880e0")</f>
        <v>e4e7a3d7-c1fc-479c-ac8e-2f88536880e0</v>
      </c>
    </row>
    <row r="258">
      <c r="A258" s="10" t="str">
        <f>IFERROR(__xludf.DUMMYFUNCTION("""COMPUTED_VALUE"""),"Breaking news in a video-first world")</f>
        <v>Breaking news in a video-first world</v>
      </c>
      <c r="B258" s="10" t="str">
        <f>IFERROR(__xludf.DUMMYFUNCTION("""COMPUTED_VALUE"""),"24/7 international video news agency Ruptly was the first outlet with the Julian Assange arrest video - one of 2019’s biggest stories. This talk looks at how video is taking over news dissemination, the need for speed versus the desire for quality, conten"&amp;"t creation, and verification in a digital era. ")</f>
        <v>24/7 international video news agency Ruptly was the first outlet with the Julian Assange arrest video - one of 2019’s biggest stories. This talk looks at how video is taking over news dissemination, the need for speed versus the desire for quality, content creation, and verification in a digital era. </v>
      </c>
      <c r="C258" s="10" t="str">
        <f>IFERROR(__xludf.DUMMYFUNCTION("""COMPUTED_VALUE"""),"ContentMakers")</f>
        <v>ContentMakers</v>
      </c>
      <c r="D258" s="10" t="str">
        <f>IFERROR(__xludf.DUMMYFUNCTION("""COMPUTED_VALUE"""),"Dinara Toktosunova, Juan Branco and Sara Fischer")</f>
        <v>Dinara Toktosunova, Juan Branco and Sara Fischer</v>
      </c>
      <c r="E258" s="10" t="str">
        <f>IFERROR(__xludf.DUMMYFUNCTION("""COMPUTED_VALUE"""),"Dinara Toktosunova,Juan Branco,Sara Fischer")</f>
        <v>Dinara Toktosunova,Juan Branco,Sara Fischer</v>
      </c>
      <c r="F258" s="10" t="str">
        <f>IFERROR(__xludf.DUMMYFUNCTION("""COMPUTED_VALUE"""),"2019/11/06 15:35:00")</f>
        <v>2019/11/06 15:35:00</v>
      </c>
      <c r="G258" s="10" t="str">
        <f>IFERROR(__xludf.DUMMYFUNCTION("""COMPUTED_VALUE"""),"2019/11/06 15:55:00")</f>
        <v>2019/11/06 15:55:00</v>
      </c>
      <c r="H258" s="10" t="str">
        <f>IFERROR(__xludf.DUMMYFUNCTION("""COMPUTED_VALUE"""),"307300a4-2093-45ea-971e-1af85ebc8685")</f>
        <v>307300a4-2093-45ea-971e-1af85ebc8685</v>
      </c>
      <c r="I258" s="10" t="str">
        <f>IFERROR(__xludf.DUMMYFUNCTION("""COMPUTED_VALUE"""),"307300a4-2093-45ea-971e-1af85ebc8685")</f>
        <v>307300a4-2093-45ea-971e-1af85ebc8685</v>
      </c>
    </row>
    <row r="259">
      <c r="A259" s="10" t="str">
        <f>IFERROR(__xludf.DUMMYFUNCTION("""COMPUTED_VALUE"""),"PITCH group round 15")</f>
        <v>PITCH group round 15</v>
      </c>
      <c r="B259" s="10" t="str">
        <f>IFERROR(__xludf.DUMMYFUNCTION("""COMPUTED_VALUE"""),"")</f>
        <v/>
      </c>
      <c r="C259" s="10" t="str">
        <f>IFERROR(__xludf.DUMMYFUNCTION("""COMPUTED_VALUE"""),"PITCH 3")</f>
        <v>PITCH 3</v>
      </c>
      <c r="D259" s="10" t="str">
        <f>IFERROR(__xludf.DUMMYFUNCTION("""COMPUTED_VALUE"""),"Roham Gharegozlou, Marin Cauvas, Freddie Evans, Saba Karim, Eduardo Lemos, Ivan Alaiz, João Lopes, Artur Fjodorov, Marian Glaeser, Alex cordero, Stone Atwine, IVAN SHTANKO and Hirbod Bigvand")</f>
        <v>Roham Gharegozlou, Marin Cauvas, Freddie Evans, Saba Karim, Eduardo Lemos, Ivan Alaiz, João Lopes, Artur Fjodorov, Marian Glaeser, Alex cordero, Stone Atwine, IVAN SHTANKO and Hirbod Bigvand</v>
      </c>
      <c r="E259" s="10" t="str">
        <f>IFERROR(__xludf.DUMMYFUNCTION("""COMPUTED_VALUE"""),"Roham Gharegozlou,Marin Cauvas,Freddie Evans,Saba Karim,Eduardo Lemos,Ivan Alaiz,João Lopes,Artur Fjodorov,Marian Glaeser,Alex cordero,Stone Atwine,IVAN SHTANKO,Hirbod Bigvand")</f>
        <v>Roham Gharegozlou,Marin Cauvas,Freddie Evans,Saba Karim,Eduardo Lemos,Ivan Alaiz,João Lopes,Artur Fjodorov,Marian Glaeser,Alex cordero,Stone Atwine,IVAN SHTANKO,Hirbod Bigvand</v>
      </c>
      <c r="F259" s="10" t="str">
        <f>IFERROR(__xludf.DUMMYFUNCTION("""COMPUTED_VALUE"""),"2019/11/05 14:00:00")</f>
        <v>2019/11/05 14:00:00</v>
      </c>
      <c r="G259" s="10" t="str">
        <f>IFERROR(__xludf.DUMMYFUNCTION("""COMPUTED_VALUE"""),"2019/11/05 15:00:00")</f>
        <v>2019/11/05 15:00:00</v>
      </c>
      <c r="H259" s="10" t="str">
        <f>IFERROR(__xludf.DUMMYFUNCTION("""COMPUTED_VALUE"""),"4dd71908-66e8-42cb-ae27-6d3739ba80aa")</f>
        <v>4dd71908-66e8-42cb-ae27-6d3739ba80aa</v>
      </c>
      <c r="I259" s="10" t="str">
        <f>IFERROR(__xludf.DUMMYFUNCTION("""COMPUTED_VALUE"""),"4dd71908-66e8-42cb-ae27-6d3739ba80aa")</f>
        <v>4dd71908-66e8-42cb-ae27-6d3739ba80aa</v>
      </c>
    </row>
    <row r="260">
      <c r="A260" s="10" t="str">
        <f>IFERROR(__xludf.DUMMYFUNCTION("""COMPUTED_VALUE"""),"What's left to modernise?")</f>
        <v>What's left to modernise?</v>
      </c>
      <c r="B260" s="10" t="str">
        <f>IFERROR(__xludf.DUMMYFUNCTION("""COMPUTED_VALUE"""),"With traditional industries facing unprecedented disruption year-on-year, what else is there left to modernize? What problems need fixing in 2020?")</f>
        <v>With traditional industries facing unprecedented disruption year-on-year, what else is there left to modernize? What problems need fixing in 2020?</v>
      </c>
      <c r="C260" s="10" t="str">
        <f>IFERROR(__xludf.DUMMYFUNCTION("""COMPUTED_VALUE"""),"Venture stage")</f>
        <v>Venture stage</v>
      </c>
      <c r="D260" s="10" t="str">
        <f>IFERROR(__xludf.DUMMYFUNCTION("""COMPUTED_VALUE"""),"Omar El-Ayat, Malin Holmberg, Jean-Patrice Anciaux and Oisin Hanrahan")</f>
        <v>Omar El-Ayat, Malin Holmberg, Jean-Patrice Anciaux and Oisin Hanrahan</v>
      </c>
      <c r="E260" s="10" t="str">
        <f>IFERROR(__xludf.DUMMYFUNCTION("""COMPUTED_VALUE"""),"Omar El-Ayat,Malin Holmberg,Jean-Patrice Anciaux,Oisin Hanrahan")</f>
        <v>Omar El-Ayat,Malin Holmberg,Jean-Patrice Anciaux,Oisin Hanrahan</v>
      </c>
      <c r="F260" s="10" t="str">
        <f>IFERROR(__xludf.DUMMYFUNCTION("""COMPUTED_VALUE"""),"2019/11/07 14:05:00")</f>
        <v>2019/11/07 14:05:00</v>
      </c>
      <c r="G260" s="10" t="str">
        <f>IFERROR(__xludf.DUMMYFUNCTION("""COMPUTED_VALUE"""),"2019/11/07 14:25:00")</f>
        <v>2019/11/07 14:25:00</v>
      </c>
      <c r="H260" s="10" t="str">
        <f>IFERROR(__xludf.DUMMYFUNCTION("""COMPUTED_VALUE"""),"d7f1f39d-20c7-4f27-b93d-81361e7de613")</f>
        <v>d7f1f39d-20c7-4f27-b93d-81361e7de613</v>
      </c>
      <c r="I260" s="10" t="str">
        <f>IFERROR(__xludf.DUMMYFUNCTION("""COMPUTED_VALUE"""),"d7f1f39d-20c7-4f27-b93d-81361e7de613")</f>
        <v>d7f1f39d-20c7-4f27-b93d-81361e7de613</v>
      </c>
    </row>
    <row r="261">
      <c r="A261" s="10" t="str">
        <f>IFERROR(__xludf.DUMMYFUNCTION("""COMPUTED_VALUE"""),"Purpose and innovation: Rethinking how we do business")</f>
        <v>Purpose and innovation: Rethinking how we do business</v>
      </c>
      <c r="B261" s="10" t="str">
        <f>IFERROR(__xludf.DUMMYFUNCTION("""COMPUTED_VALUE"""),"Our time is precious. Success is no longer measured by pure profit alone and traditional marketing won’t cut it. Time to rethink how we do business. ")</f>
        <v>Our time is precious. Success is no longer measured by pure profit alone and traditional marketing won’t cut it. Time to rethink how we do business. </v>
      </c>
      <c r="C261" s="10" t="str">
        <f>IFERROR(__xludf.DUMMYFUNCTION("""COMPUTED_VALUE"""),"PandaConf")</f>
        <v>PandaConf</v>
      </c>
      <c r="D261" s="10" t="str">
        <f>IFERROR(__xludf.DUMMYFUNCTION("""COMPUTED_VALUE"""),"Brian Whipple ")</f>
        <v>Brian Whipple </v>
      </c>
      <c r="E261" s="10" t="str">
        <f>IFERROR(__xludf.DUMMYFUNCTION("""COMPUTED_VALUE"""),"Brian Whipple ")</f>
        <v>Brian Whipple </v>
      </c>
      <c r="F261" s="10" t="str">
        <f>IFERROR(__xludf.DUMMYFUNCTION("""COMPUTED_VALUE"""),"2019/11/07 11:50:00")</f>
        <v>2019/11/07 11:50:00</v>
      </c>
      <c r="G261" s="10" t="str">
        <f>IFERROR(__xludf.DUMMYFUNCTION("""COMPUTED_VALUE"""),"2019/11/07 12:10:00")</f>
        <v>2019/11/07 12:10:00</v>
      </c>
      <c r="H261" s="10" t="str">
        <f>IFERROR(__xludf.DUMMYFUNCTION("""COMPUTED_VALUE"""),"8b83324c-51b5-4784-b324-45a7e94d2a59")</f>
        <v>8b83324c-51b5-4784-b324-45a7e94d2a59</v>
      </c>
      <c r="I261" s="10" t="str">
        <f>IFERROR(__xludf.DUMMYFUNCTION("""COMPUTED_VALUE"""),"8b83324c-51b5-4784-b324-45a7e94d2a59")</f>
        <v>8b83324c-51b5-4784-b324-45a7e94d2a59</v>
      </c>
    </row>
    <row r="262">
      <c r="A262" s="10" t="str">
        <f>IFERROR(__xludf.DUMMYFUNCTION("""COMPUTED_VALUE"""),"Featured venue: Roterdão Club")</f>
        <v>Featured venue: Roterdão Club</v>
      </c>
      <c r="B262" s="10" t="str">
        <f>IFERROR(__xludf.DUMMYFUNCTION("""COMPUTED_VALUE"""),"The originals are always the best. First established in 1988, this is one of the original clubs on Pink Street. Get into the groove with the originals of one of the wildest streets in Lisbon. Despite changing management and decor, it has always kept its n"&amp;"ame, old neon signs, and party vibe. 
Night Summit deals: 
Free welcome drink. Jerupiga €5 mixed drinks of Greenall's gin, Famous Grouse whiskey, Brugal rum, and Moskovskaya vodka")</f>
        <v>The originals are always the best. First established in 1988, this is one of the original clubs on Pink Street. Get into the groove with the originals of one of the wildest streets in Lisbon. Despite changing management and decor, it has always kept its name, old neon signs, and party vibe. 
Night Summit deals: 
Free welcome drink. Jerupiga €5 mixed drinks of Greenall's gin, Famous Grouse whiskey, Brugal rum, and Moskovskaya vodka</v>
      </c>
      <c r="C262" s="10" t="str">
        <f>IFERROR(__xludf.DUMMYFUNCTION("""COMPUTED_VALUE"""),"Roterdão Club")</f>
        <v>Roterdão Club</v>
      </c>
      <c r="D262" s="10" t="str">
        <f>IFERROR(__xludf.DUMMYFUNCTION("""COMPUTED_VALUE"""),"")</f>
        <v/>
      </c>
      <c r="E262" s="10" t="str">
        <f>IFERROR(__xludf.DUMMYFUNCTION("""COMPUTED_VALUE"""),"")</f>
        <v/>
      </c>
      <c r="F262" s="10" t="str">
        <f>IFERROR(__xludf.DUMMYFUNCTION("""COMPUTED_VALUE"""),"2019/11/05 20:00:00")</f>
        <v>2019/11/05 20:00:00</v>
      </c>
      <c r="G262" s="10" t="str">
        <f>IFERROR(__xludf.DUMMYFUNCTION("""COMPUTED_VALUE"""),"2019/11/06 00:00:00")</f>
        <v>2019/11/06 00:00:00</v>
      </c>
      <c r="H262" s="10" t="str">
        <f>IFERROR(__xludf.DUMMYFUNCTION("""COMPUTED_VALUE"""),"4da0932c-a0ac-4e25-b23a-708a0b68b0f5")</f>
        <v>4da0932c-a0ac-4e25-b23a-708a0b68b0f5</v>
      </c>
      <c r="I262" s="10" t="str">
        <f>IFERROR(__xludf.DUMMYFUNCTION("""COMPUTED_VALUE"""),"4da0932c-a0ac-4e25-b23a-708a0b68b0f5")</f>
        <v>4da0932c-a0ac-4e25-b23a-708a0b68b0f5</v>
      </c>
    </row>
    <row r="263">
      <c r="A263" s="10" t="str">
        <f>IFERROR(__xludf.DUMMYFUNCTION("""COMPUTED_VALUE"""),"Designing the ultimate driving experience")</f>
        <v>Designing the ultimate driving experience</v>
      </c>
      <c r="B263" s="10" t="str">
        <f>IFERROR(__xludf.DUMMYFUNCTION("""COMPUTED_VALUE"""),"COO of Swedish car company Koenigsegg, Halldora von Koenigsegg offers an insight into the passion behind the design of their breathtaking supercars. How did the ultimate driving machine adapt to meet the demands of a growing climate crisis and how is this"&amp;" group of ""automotive artisans"" preparing for a world of autonomous driving?")</f>
        <v>COO of Swedish car company Koenigsegg, Halldora von Koenigsegg offers an insight into the passion behind the design of their breathtaking supercars. How did the ultimate driving machine adapt to meet the demands of a growing climate crisis and how is this group of "automotive artisans" preparing for a world of autonomous driving?</v>
      </c>
      <c r="C263" s="10" t="str">
        <f>IFERROR(__xludf.DUMMYFUNCTION("""COMPUTED_VALUE"""),"creatiff")</f>
        <v>creatiff</v>
      </c>
      <c r="D263" s="10" t="str">
        <f>IFERROR(__xludf.DUMMYFUNCTION("""COMPUTED_VALUE"""),"Halldora von Koenigsegg")</f>
        <v>Halldora von Koenigsegg</v>
      </c>
      <c r="E263" s="10" t="str">
        <f>IFERROR(__xludf.DUMMYFUNCTION("""COMPUTED_VALUE"""),"Halldora von Koenigsegg")</f>
        <v>Halldora von Koenigsegg</v>
      </c>
      <c r="F263" s="10" t="str">
        <f>IFERROR(__xludf.DUMMYFUNCTION("""COMPUTED_VALUE"""),"2019/11/05 13:05:00")</f>
        <v>2019/11/05 13:05:00</v>
      </c>
      <c r="G263" s="10" t="str">
        <f>IFERROR(__xludf.DUMMYFUNCTION("""COMPUTED_VALUE"""),"2019/11/05 13:25:00")</f>
        <v>2019/11/05 13:25:00</v>
      </c>
      <c r="H263" s="10" t="str">
        <f>IFERROR(__xludf.DUMMYFUNCTION("""COMPUTED_VALUE"""),"8741a0b8-dd04-46cf-b991-dd2e7ff8d203")</f>
        <v>8741a0b8-dd04-46cf-b991-dd2e7ff8d203</v>
      </c>
      <c r="I263" s="10" t="str">
        <f>IFERROR(__xludf.DUMMYFUNCTION("""COMPUTED_VALUE"""),"8741a0b8-dd04-46cf-b991-dd2e7ff8d203")</f>
        <v>8741a0b8-dd04-46cf-b991-dd2e7ff8d203</v>
      </c>
    </row>
    <row r="264">
      <c r="A264" s="10" t="str">
        <f>IFERROR(__xludf.DUMMYFUNCTION("""COMPUTED_VALUE"""),"Democratising influencer marketing")</f>
        <v>Democratising influencer marketing</v>
      </c>
      <c r="B264" s="10" t="str">
        <f>IFERROR(__xludf.DUMMYFUNCTION("""COMPUTED_VALUE"""),"Online friends are almost as good as real friends... except you can't borrow their clothes. Until now. This panel will discuss why social commerce and fashion platforms have become the latest startup unicorn generator. ")</f>
        <v>Online friends are almost as good as real friends... except you can't borrow their clothes. Until now. This panel will discuss why social commerce and fashion platforms have become the latest startup unicorn generator. </v>
      </c>
      <c r="C264" s="10" t="str">
        <f>IFERROR(__xludf.DUMMYFUNCTION("""COMPUTED_VALUE"""),"Modum")</f>
        <v>Modum</v>
      </c>
      <c r="D264" s="10" t="str">
        <f>IFERROR(__xludf.DUMMYFUNCTION("""COMPUTED_VALUE"""),"Rachel Waller, Bonnie Takhar, John Kinder, Brita Fernandez Schmidt and Natalie Salmon")</f>
        <v>Rachel Waller, Bonnie Takhar, John Kinder, Brita Fernandez Schmidt and Natalie Salmon</v>
      </c>
      <c r="E264" s="10" t="str">
        <f>IFERROR(__xludf.DUMMYFUNCTION("""COMPUTED_VALUE"""),"Rachel Waller,Bonnie Takhar,John Kinder,Brita Fernandez Schmidt,Natalie Salmon")</f>
        <v>Rachel Waller,Bonnie Takhar,John Kinder,Brita Fernandez Schmidt,Natalie Salmon</v>
      </c>
      <c r="F264" s="10" t="str">
        <f>IFERROR(__xludf.DUMMYFUNCTION("""COMPUTED_VALUE"""),"2019/11/07 13:20:00")</f>
        <v>2019/11/07 13:20:00</v>
      </c>
      <c r="G264" s="10" t="str">
        <f>IFERROR(__xludf.DUMMYFUNCTION("""COMPUTED_VALUE"""),"2019/11/07 13:45:00")</f>
        <v>2019/11/07 13:45:00</v>
      </c>
      <c r="H264" s="10" t="str">
        <f>IFERROR(__xludf.DUMMYFUNCTION("""COMPUTED_VALUE"""),"2226844c-4cf8-4e32-8e96-4ac0718464e9")</f>
        <v>2226844c-4cf8-4e32-8e96-4ac0718464e9</v>
      </c>
      <c r="I264" s="10" t="str">
        <f>IFERROR(__xludf.DUMMYFUNCTION("""COMPUTED_VALUE"""),"2226844c-4cf8-4e32-8e96-4ac0718464e9")</f>
        <v>2226844c-4cf8-4e32-8e96-4ac0718464e9</v>
      </c>
    </row>
    <row r="265">
      <c r="A265" s="10" t="str">
        <f>IFERROR(__xludf.DUMMYFUNCTION("""COMPUTED_VALUE"""),"Featured venue: Ler Devagar")</f>
        <v>Featured venue: Ler Devagar</v>
      </c>
      <c r="B265" s="10" t="str">
        <f>IFERROR(__xludf.DUMMYFUNCTION("""COMPUTED_VALUE"""),"A former printing space, ""Ler Devagar"" is a beloved bookstore. Meaning “Read Slowly”, it's been named one of the ten most beautiful bookstores in the world. Don't miss out on the chance to visit this magical place!
Night Summit deals:
Glass of Loios"&amp;"/Pouca Roupa wine for €2")</f>
        <v>A former printing space, "Ler Devagar" is a beloved bookstore. Meaning “Read Slowly”, it's been named one of the ten most beautiful bookstores in the world. Don't miss out on the chance to visit this magical place!
Night Summit deals:
Glass of Loios/Pouca Roupa wine for €2</v>
      </c>
      <c r="C265" s="10" t="str">
        <f>IFERROR(__xludf.DUMMYFUNCTION("""COMPUTED_VALUE"""),"Ler Devagar")</f>
        <v>Ler Devagar</v>
      </c>
      <c r="D265" s="10" t="str">
        <f>IFERROR(__xludf.DUMMYFUNCTION("""COMPUTED_VALUE"""),"")</f>
        <v/>
      </c>
      <c r="E265" s="10" t="str">
        <f>IFERROR(__xludf.DUMMYFUNCTION("""COMPUTED_VALUE"""),"")</f>
        <v/>
      </c>
      <c r="F265" s="10" t="str">
        <f>IFERROR(__xludf.DUMMYFUNCTION("""COMPUTED_VALUE"""),"2019/11/06 20:00:00")</f>
        <v>2019/11/06 20:00:00</v>
      </c>
      <c r="G265" s="10" t="str">
        <f>IFERROR(__xludf.DUMMYFUNCTION("""COMPUTED_VALUE"""),"2019/11/07 02:00:00")</f>
        <v>2019/11/07 02:00:00</v>
      </c>
      <c r="H265" s="10" t="str">
        <f>IFERROR(__xludf.DUMMYFUNCTION("""COMPUTED_VALUE"""),"69a5c880-3ce2-4330-9bba-2e8162ddaff8")</f>
        <v>69a5c880-3ce2-4330-9bba-2e8162ddaff8</v>
      </c>
      <c r="I265" s="10" t="str">
        <f>IFERROR(__xludf.DUMMYFUNCTION("""COMPUTED_VALUE"""),"69a5c880-3ce2-4330-9bba-2e8162ddaff8")</f>
        <v>69a5c880-3ce2-4330-9bba-2e8162ddaff8</v>
      </c>
    </row>
    <row r="266">
      <c r="A266" s="10" t="str">
        <f>IFERROR(__xludf.DUMMYFUNCTION("""COMPUTED_VALUE"""),"Can brands save the planet?")</f>
        <v>Can brands save the planet?</v>
      </c>
      <c r="B266" s="10" t="str">
        <f>IFERROR(__xludf.DUMMYFUNCTION("""COMPUTED_VALUE"""),"What role do brands have in saving the planet? As governments around the world abdicate responsibility, is it time for brands to speak out and step in?")</f>
        <v>What role do brands have in saving the planet? As governments around the world abdicate responsibility, is it time for brands to speak out and step in?</v>
      </c>
      <c r="C266" s="10" t="str">
        <f>IFERROR(__xludf.DUMMYFUNCTION("""COMPUTED_VALUE"""),"PandaConf")</f>
        <v>PandaConf</v>
      </c>
      <c r="D266" s="10" t="str">
        <f>IFERROR(__xludf.DUMMYFUNCTION("""COMPUTED_VALUE"""),"Shane Wall, Ian Somerhalder and Naina Bajekal")</f>
        <v>Shane Wall, Ian Somerhalder and Naina Bajekal</v>
      </c>
      <c r="E266" s="10" t="str">
        <f>IFERROR(__xludf.DUMMYFUNCTION("""COMPUTED_VALUE"""),"Shane Wall,Ian Somerhalder,Naina Bajekal")</f>
        <v>Shane Wall,Ian Somerhalder,Naina Bajekal</v>
      </c>
      <c r="F266" s="10" t="str">
        <f>IFERROR(__xludf.DUMMYFUNCTION("""COMPUTED_VALUE"""),"2019/11/05 15:20:00")</f>
        <v>2019/11/05 15:20:00</v>
      </c>
      <c r="G266" s="10" t="str">
        <f>IFERROR(__xludf.DUMMYFUNCTION("""COMPUTED_VALUE"""),"2019/11/05 15:45:00")</f>
        <v>2019/11/05 15:45:00</v>
      </c>
      <c r="H266" s="10" t="str">
        <f>IFERROR(__xludf.DUMMYFUNCTION("""COMPUTED_VALUE"""),"796b9900-6f30-4fed-a2c1-7208ee07cac4")</f>
        <v>796b9900-6f30-4fed-a2c1-7208ee07cac4</v>
      </c>
      <c r="I266" s="10" t="str">
        <f>IFERROR(__xludf.DUMMYFUNCTION("""COMPUTED_VALUE"""),"796b9900-6f30-4fed-a2c1-7208ee07cac4")</f>
        <v>796b9900-6f30-4fed-a2c1-7208ee07cac4</v>
      </c>
    </row>
    <row r="267">
      <c r="A267" s="10" t="str">
        <f>IFERROR(__xludf.DUMMYFUNCTION("""COMPUTED_VALUE"""),"Official Opening Ceremony")</f>
        <v>Official Opening Ceremony</v>
      </c>
      <c r="B267" s="10" t="str">
        <f>IFERROR(__xludf.DUMMYFUNCTION("""COMPUTED_VALUE"""),"Join us as we officially open Web Summit 2019!")</f>
        <v>Join us as we officially open Web Summit 2019!</v>
      </c>
      <c r="C267" s="10" t="str">
        <f>IFERROR(__xludf.DUMMYFUNCTION("""COMPUTED_VALUE"""),"Centre Stage")</f>
        <v>Centre Stage</v>
      </c>
      <c r="D267" s="10" t="str">
        <f>IFERROR(__xludf.DUMMYFUNCTION("""COMPUTED_VALUE"""),"Pedro Siza Vieira, Fernando Medina and Paddy Cosgrave")</f>
        <v>Pedro Siza Vieira, Fernando Medina and Paddy Cosgrave</v>
      </c>
      <c r="E267" s="10" t="str">
        <f>IFERROR(__xludf.DUMMYFUNCTION("""COMPUTED_VALUE"""),"Pedro Siza Vieira,Fernando Medina,Paddy Cosgrave")</f>
        <v>Pedro Siza Vieira,Fernando Medina,Paddy Cosgrave</v>
      </c>
      <c r="F267" s="10" t="str">
        <f>IFERROR(__xludf.DUMMYFUNCTION("""COMPUTED_VALUE"""),"2019/11/04 19:35:00")</f>
        <v>2019/11/04 19:35:00</v>
      </c>
      <c r="G267" s="10" t="str">
        <f>IFERROR(__xludf.DUMMYFUNCTION("""COMPUTED_VALUE"""),"2019/11/04 19:45:00")</f>
        <v>2019/11/04 19:45:00</v>
      </c>
      <c r="H267" s="10" t="str">
        <f>IFERROR(__xludf.DUMMYFUNCTION("""COMPUTED_VALUE"""),"88d43ad8-c396-434a-9b4f-ecea0ab0ea09")</f>
        <v>88d43ad8-c396-434a-9b4f-ecea0ab0ea09</v>
      </c>
      <c r="I267" s="10" t="str">
        <f>IFERROR(__xludf.DUMMYFUNCTION("""COMPUTED_VALUE"""),"88d43ad8-c396-434a-9b4f-ecea0ab0ea09")</f>
        <v>88d43ad8-c396-434a-9b4f-ecea0ab0ea09</v>
      </c>
    </row>
    <row r="268">
      <c r="A268" s="10" t="str">
        <f>IFERROR(__xludf.DUMMYFUNCTION("""COMPUTED_VALUE"""),"CX growth hacking (part 1), hosted by ZETA")</f>
        <v>CX growth hacking (part 1), hosted by ZETA</v>
      </c>
      <c r="B268" s="10"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marketin"&amp;"g,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268" s="10" t="str">
        <f>IFERROR(__xludf.DUMMYFUNCTION("""COMPUTED_VALUE"""),"Workshop 4")</f>
        <v>Workshop 4</v>
      </c>
      <c r="D268" s="10" t="str">
        <f>IFERROR(__xludf.DUMMYFUNCTION("""COMPUTED_VALUE"""),"Natsuko Mitsugi")</f>
        <v>Natsuko Mitsugi</v>
      </c>
      <c r="E268" s="10" t="str">
        <f>IFERROR(__xludf.DUMMYFUNCTION("""COMPUTED_VALUE"""),"Natsuko Mitsugi")</f>
        <v>Natsuko Mitsugi</v>
      </c>
      <c r="F268" s="10" t="str">
        <f>IFERROR(__xludf.DUMMYFUNCTION("""COMPUTED_VALUE"""),"2019/11/06 12:00:00")</f>
        <v>2019/11/06 12:00:00</v>
      </c>
      <c r="G268" s="10" t="str">
        <f>IFERROR(__xludf.DUMMYFUNCTION("""COMPUTED_VALUE"""),"2019/11/06 12:40:00")</f>
        <v>2019/11/06 12:40:00</v>
      </c>
      <c r="H268" s="10" t="str">
        <f>IFERROR(__xludf.DUMMYFUNCTION("""COMPUTED_VALUE"""),"a7b2c8c7-b120-4021-b4ea-c4b372889538")</f>
        <v>a7b2c8c7-b120-4021-b4ea-c4b372889538</v>
      </c>
      <c r="I268" s="10" t="str">
        <f>IFERROR(__xludf.DUMMYFUNCTION("""COMPUTED_VALUE"""),"a7b2c8c7-b120-4021-b4ea-c4b372889538")</f>
        <v>a7b2c8c7-b120-4021-b4ea-c4b372889538</v>
      </c>
    </row>
    <row r="269">
      <c r="A269" s="10" t="str">
        <f>IFERROR(__xludf.DUMMYFUNCTION("""COMPUTED_VALUE"""),"Kickstarting innovation in your company:  The story of Wirecard´s corporate innovation lab, hosted by Wirecard")</f>
        <v>Kickstarting innovation in your company:  The story of Wirecard´s corporate innovation lab, hosted by Wirecard</v>
      </c>
      <c r="B269" s="10" t="str">
        <f>IFERROR(__xludf.DUMMYFUNCTION("""COMPUTED_VALUE"""),"Consumers are more connected than ever before. Pair that with the rising expectations of millennials, and it means leading companies need to innovate to stay ahead. Find out more about why Wirecard's built an innovation lab, which gave their employees a p"&amp;"latform to innovate, quickly validate future product concepts, and accelerate product innovation. The key topics which will be covered include: enablers of success; challenges of scaling; finding your 10% (internal champions); and storytelling innovation.")</f>
        <v>Consumers are more connected than ever before. Pair that with the rising expectations of millennials, and it means leading companies need to innovate to stay ahead. Find out more about why Wirecard's built an innovation lab, which gave their employees a platform to innovate, quickly validate future product concepts, and accelerate product innovation. The key topics which will be covered include: enablers of success; challenges of scaling; finding your 10% (internal champions); and storytelling innovation.</v>
      </c>
      <c r="C269" s="10" t="str">
        <f>IFERROR(__xludf.DUMMYFUNCTION("""COMPUTED_VALUE"""),"Workshop 4")</f>
        <v>Workshop 4</v>
      </c>
      <c r="D269" s="10" t="str">
        <f>IFERROR(__xludf.DUMMYFUNCTION("""COMPUTED_VALUE"""),"Sara Maki")</f>
        <v>Sara Maki</v>
      </c>
      <c r="E269" s="10" t="str">
        <f>IFERROR(__xludf.DUMMYFUNCTION("""COMPUTED_VALUE"""),"Sara Maki")</f>
        <v>Sara Maki</v>
      </c>
      <c r="F269" s="10" t="str">
        <f>IFERROR(__xludf.DUMMYFUNCTION("""COMPUTED_VALUE"""),"2019/11/05 10:00:00")</f>
        <v>2019/11/05 10:00:00</v>
      </c>
      <c r="G269" s="10" t="str">
        <f>IFERROR(__xludf.DUMMYFUNCTION("""COMPUTED_VALUE"""),"2019/11/05 10:45:00")</f>
        <v>2019/11/05 10:45:00</v>
      </c>
      <c r="H269" s="10" t="str">
        <f>IFERROR(__xludf.DUMMYFUNCTION("""COMPUTED_VALUE"""),"00763865-7780-420e-b3c0-1b91899c30b1")</f>
        <v>00763865-7780-420e-b3c0-1b91899c30b1</v>
      </c>
      <c r="I269" s="10" t="str">
        <f>IFERROR(__xludf.DUMMYFUNCTION("""COMPUTED_VALUE"""),"00763865-7780-420e-b3c0-1b91899c30b1")</f>
        <v>00763865-7780-420e-b3c0-1b91899c30b1</v>
      </c>
    </row>
    <row r="270">
      <c r="A270" s="10" t="str">
        <f>IFERROR(__xludf.DUMMYFUNCTION("""COMPUTED_VALUE"""),"Breakout startups")</f>
        <v>Breakout startups</v>
      </c>
      <c r="B270" s="10" t="str">
        <f>IFERROR(__xludf.DUMMYFUNCTION("""COMPUTED_VALUE"""),"Are these the companies everyone will be talking about in 2020? Dozens of the world’s leading investors think so. Each morning and lunchtime on Centre Stage you’ll get an introduction some of the world’s most exciting early and growth stage startups. Each"&amp;" of the startups have been hand-selected by some of the world’s most successful investors. You’re in for a treat.")</f>
        <v>Are these the companies everyone will be talking about in 2020? Dozens of the world’s leading investors think so. Each morning and lunchtime on Centre Stage you’ll get an introduction some of the world’s most exciting early and growth stage startups. Each of the startups have been hand-selected by some of the world’s most successful investors. You’re in for a treat.</v>
      </c>
      <c r="C270" s="10" t="str">
        <f>IFERROR(__xludf.DUMMYFUNCTION("""COMPUTED_VALUE"""),"Centre Stage")</f>
        <v>Centre Stage</v>
      </c>
      <c r="D270" s="10" t="str">
        <f>IFERROR(__xludf.DUMMYFUNCTION("""COMPUTED_VALUE"""),"Luisa Lima, Manoj Harasgama, Amir Bozorgzadeh, Louise Lindblad, Julia Salasky, Alina Lapusneanu, Emmanuel Straschnov, Rui Sales, Victor Riparbelli, Bobby Healy, Hanna Marie Asmussen and Shiran Yaroslavsky")</f>
        <v>Luisa Lima, Manoj Harasgama, Amir Bozorgzadeh, Louise Lindblad, Julia Salasky, Alina Lapusneanu, Emmanuel Straschnov, Rui Sales, Victor Riparbelli, Bobby Healy, Hanna Marie Asmussen and Shiran Yaroslavsky</v>
      </c>
      <c r="E270" s="10" t="str">
        <f>IFERROR(__xludf.DUMMYFUNCTION("""COMPUTED_VALUE"""),"Luisa Lima,Manoj Harasgama,Amir Bozorgzadeh,Louise Lindblad,Julia Salasky,Alina Lapusneanu,Emmanuel Straschnov,Rui Sales,Victor Riparbelli,Bobby Healy,Hanna Marie Asmussen,Shiran Yaroslavsky")</f>
        <v>Luisa Lima,Manoj Harasgama,Amir Bozorgzadeh,Louise Lindblad,Julia Salasky,Alina Lapusneanu,Emmanuel Straschnov,Rui Sales,Victor Riparbelli,Bobby Healy,Hanna Marie Asmussen,Shiran Yaroslavsky</v>
      </c>
      <c r="F270" s="10" t="str">
        <f>IFERROR(__xludf.DUMMYFUNCTION("""COMPUTED_VALUE"""),"2019/11/06 09:30:00")</f>
        <v>2019/11/06 09:30:00</v>
      </c>
      <c r="G270" s="10" t="str">
        <f>IFERROR(__xludf.DUMMYFUNCTION("""COMPUTED_VALUE"""),"2019/11/06 10:15:00")</f>
        <v>2019/11/06 10:15:00</v>
      </c>
      <c r="H270" s="10" t="str">
        <f>IFERROR(__xludf.DUMMYFUNCTION("""COMPUTED_VALUE"""),"e4b9aa37-f551-4471-b9c6-65e56f0b4f3b")</f>
        <v>e4b9aa37-f551-4471-b9c6-65e56f0b4f3b</v>
      </c>
      <c r="I270" s="10" t="str">
        <f>IFERROR(__xludf.DUMMYFUNCTION("""COMPUTED_VALUE"""),"e4b9aa37-f551-4471-b9c6-65e56f0b4f3b")</f>
        <v>e4b9aa37-f551-4471-b9c6-65e56f0b4f3b</v>
      </c>
    </row>
    <row r="271">
      <c r="A271" s="10" t="str">
        <f>IFERROR(__xludf.DUMMYFUNCTION("""COMPUTED_VALUE"""),"Do fintechs care about your financial health?")</f>
        <v>Do fintechs care about your financial health?</v>
      </c>
      <c r="B271" s="10" t="str">
        <f>IFERROR(__xludf.DUMMYFUNCTION("""COMPUTED_VALUE"""),"This panel will bring together two consumer-focused fintech companies whose goals stretch beyond profit. However, can the purusit of individuial financial health ever align with the aims of new fintech startups?  ")</f>
        <v>This panel will bring together two consumer-focused fintech companies whose goals stretch beyond profit. However, can the purusit of individuial financial health ever align with the aims of new fintech startups?  </v>
      </c>
      <c r="C271" s="10" t="str">
        <f>IFERROR(__xludf.DUMMYFUNCTION("""COMPUTED_VALUE"""),"MoneyConf")</f>
        <v>MoneyConf</v>
      </c>
      <c r="D271" s="10" t="str">
        <f>IFERROR(__xludf.DUMMYFUNCTION("""COMPUTED_VALUE"""),"Yoni Assia, Elnor Rozenrot and Matthieu Favas")</f>
        <v>Yoni Assia, Elnor Rozenrot and Matthieu Favas</v>
      </c>
      <c r="E271" s="10" t="str">
        <f>IFERROR(__xludf.DUMMYFUNCTION("""COMPUTED_VALUE"""),"Yoni Assia,Elnor Rozenrot,Matthieu Favas")</f>
        <v>Yoni Assia,Elnor Rozenrot,Matthieu Favas</v>
      </c>
      <c r="F271" s="10" t="str">
        <f>IFERROR(__xludf.DUMMYFUNCTION("""COMPUTED_VALUE"""),"2019/11/07 11:40:00")</f>
        <v>2019/11/07 11:40:00</v>
      </c>
      <c r="G271" s="10" t="str">
        <f>IFERROR(__xludf.DUMMYFUNCTION("""COMPUTED_VALUE"""),"2019/11/07 12:10:00")</f>
        <v>2019/11/07 12:10:00</v>
      </c>
      <c r="H271" s="10" t="str">
        <f>IFERROR(__xludf.DUMMYFUNCTION("""COMPUTED_VALUE"""),"073251c7-796d-48ab-9270-cd9b3b6dc0fb")</f>
        <v>073251c7-796d-48ab-9270-cd9b3b6dc0fb</v>
      </c>
      <c r="I271" s="10" t="str">
        <f>IFERROR(__xludf.DUMMYFUNCTION("""COMPUTED_VALUE"""),"073251c7-796d-48ab-9270-cd9b3b6dc0fb")</f>
        <v>073251c7-796d-48ab-9270-cd9b3b6dc0fb</v>
      </c>
    </row>
    <row r="272">
      <c r="A272" s="10" t="str">
        <f>IFERROR(__xludf.DUMMYFUNCTION("""COMPUTED_VALUE"""),"Simplify mobile and web development with cloud-based backends")</f>
        <v>Simplify mobile and web development with cloud-based backends</v>
      </c>
      <c r="B272" s="10" t="str">
        <f>IFERROR(__xludf.DUMMYFUNCTION("""COMPUTED_VALUE"""),"Designing, deploying and maintaining backend services for your mobile application is a challenge. There's a lot to think about. Authentication, authorisation, data access, notifications, offline devices and the usual non-functional requirements of availab"&amp;"ility, scalability and crucially, shrinking budgets! During this session we will show you how to deploy cloud-based services, without the need to be a cloud expert. Learn how to easily integrate an authentication wall, with minimal coding, how to deploy a"&amp;"n API layer and how to publish your web app without using a single server. By attending this session you will be able to accelerate the development of your web and mobile applications by using simplified backends in the cloud.")</f>
        <v>Designing, deploying and maintaining backend services for your mobile application is a challenge. There's a lot to think about. Authentication, authorisation, data access, notifications, offline devices and the usual non-functional requirements of availability, scalability and crucially, shrinking budgets! During this session we will show you how to deploy cloud-based services, without the need to be a cloud expert. Learn how to easily integrate an authentication wall, with minimal coding, how to deploy an API layer and how to publish your web app without using a single server. By attending this session you will be able to accelerate the development of your web and mobile applications by using simplified backends in the cloud.</v>
      </c>
      <c r="C272" s="10" t="str">
        <f>IFERROR(__xludf.DUMMYFUNCTION("""COMPUTED_VALUE"""),"AWS Developer Workshops")</f>
        <v>AWS Developer Workshops</v>
      </c>
      <c r="D272" s="10" t="str">
        <f>IFERROR(__xludf.DUMMYFUNCTION("""COMPUTED_VALUE"""),"")</f>
        <v/>
      </c>
      <c r="E272" s="10" t="str">
        <f>IFERROR(__xludf.DUMMYFUNCTION("""COMPUTED_VALUE"""),"")</f>
        <v/>
      </c>
      <c r="F272" s="10" t="str">
        <f>IFERROR(__xludf.DUMMYFUNCTION("""COMPUTED_VALUE"""),"2019/11/05 12:00:00")</f>
        <v>2019/11/05 12:00:00</v>
      </c>
      <c r="G272" s="10" t="str">
        <f>IFERROR(__xludf.DUMMYFUNCTION("""COMPUTED_VALUE"""),"2019/11/05 12:50:00")</f>
        <v>2019/11/05 12:50:00</v>
      </c>
      <c r="H272" s="10" t="str">
        <f>IFERROR(__xludf.DUMMYFUNCTION("""COMPUTED_VALUE"""),"38eb311d-40e2-4f8e-ab1d-e8e7026e818b")</f>
        <v>38eb311d-40e2-4f8e-ab1d-e8e7026e818b</v>
      </c>
      <c r="I272" s="10" t="str">
        <f>IFERROR(__xludf.DUMMYFUNCTION("""COMPUTED_VALUE"""),"38eb311d-40e2-4f8e-ab1d-e8e7026e818b")</f>
        <v>38eb311d-40e2-4f8e-ab1d-e8e7026e818b</v>
      </c>
    </row>
    <row r="273">
      <c r="A273" s="10" t="str">
        <f>IFERROR(__xludf.DUMMYFUNCTION("""COMPUTED_VALUE"""),"Opportunities in Latin America: Will your business reach half a billion people?, hosted by Inter-American Development Bank")</f>
        <v>Opportunities in Latin America: Will your business reach half a billion people?, hosted by Inter-American Development Bank</v>
      </c>
      <c r="B273" s="10" t="str">
        <f>IFERROR(__xludf.DUMMYFUNCTION("""COMPUTED_VALUE"""),"For 60 years, the Inter-American Development Bank Group (IDB) has been financing, advising and helping public and private sector projects in Latin America and the Caribbean. The result? Hand-on knowledge of the obstacles, tactics and strategies needed to "&amp;"significantly improve the lives of more than 500 million people in 26 countries. We want to share this knowledge with startups and entrepreneurs. But all good conversations are two-way - we also want to share challenges presented by this region and hear w"&amp;"hat solutions your business could provide. We’re looking for new ideas, businesses and entrepreneurs to work with - will it be you?")</f>
        <v>For 60 years, the Inter-American Development Bank Group (IDB) has been financing, advising and helping public and private sector projects in Latin America and the Caribbean. The result? Hand-on knowledge of the obstacles, tactics and strategies needed to significantly improve the lives of more than 500 million people in 26 countries. We want to share this knowledge with startups and entrepreneurs. But all good conversations are two-way - we also want to share challenges presented by this region and hear what solutions your business could provide. We’re looking for new ideas, businesses and entrepreneurs to work with - will it be you?</v>
      </c>
      <c r="C273" s="10" t="str">
        <f>IFERROR(__xludf.DUMMYFUNCTION("""COMPUTED_VALUE"""),"Workshop 3")</f>
        <v>Workshop 3</v>
      </c>
      <c r="D273" s="10" t="str">
        <f>IFERROR(__xludf.DUMMYFUNCTION("""COMPUTED_VALUE"""),"")</f>
        <v/>
      </c>
      <c r="E273" s="10" t="str">
        <f>IFERROR(__xludf.DUMMYFUNCTION("""COMPUTED_VALUE"""),"")</f>
        <v/>
      </c>
      <c r="F273" s="10" t="str">
        <f>IFERROR(__xludf.DUMMYFUNCTION("""COMPUTED_VALUE"""),"2019/11/05 12:00:00")</f>
        <v>2019/11/05 12:00:00</v>
      </c>
      <c r="G273" s="10" t="str">
        <f>IFERROR(__xludf.DUMMYFUNCTION("""COMPUTED_VALUE"""),"2019/11/05 12:45:00")</f>
        <v>2019/11/05 12:45:00</v>
      </c>
      <c r="H273" s="10" t="str">
        <f>IFERROR(__xludf.DUMMYFUNCTION("""COMPUTED_VALUE"""),"d6496db7-23c5-4ea8-bc63-00caa03e5499")</f>
        <v>d6496db7-23c5-4ea8-bc63-00caa03e5499</v>
      </c>
      <c r="I273" s="10" t="str">
        <f>IFERROR(__xludf.DUMMYFUNCTION("""COMPUTED_VALUE"""),"d6496db7-23c5-4ea8-bc63-00caa03e5499")</f>
        <v>d6496db7-23c5-4ea8-bc63-00caa03e5499</v>
      </c>
    </row>
    <row r="274">
      <c r="A274" s="10" t="str">
        <f>IFERROR(__xludf.DUMMYFUNCTION("""COMPUTED_VALUE"""),"Nine years of Web Summit: With Paddy Cosgrave")</f>
        <v>Nine years of Web Summit: With Paddy Cosgrave</v>
      </c>
      <c r="B274" s="10" t="str">
        <f>IFERROR(__xludf.DUMMYFUNCTION("""COMPUTED_VALUE"""),"")</f>
        <v/>
      </c>
      <c r="C274" s="10" t="str">
        <f>IFERROR(__xludf.DUMMYFUNCTION("""COMPUTED_VALUE"""),"")</f>
        <v/>
      </c>
      <c r="D274" s="10" t="str">
        <f>IFERROR(__xludf.DUMMYFUNCTION("""COMPUTED_VALUE"""),"Paddy Cosgrave")</f>
        <v>Paddy Cosgrave</v>
      </c>
      <c r="E274" s="10" t="str">
        <f>IFERROR(__xludf.DUMMYFUNCTION("""COMPUTED_VALUE"""),"Paddy Cosgrave")</f>
        <v>Paddy Cosgrave</v>
      </c>
      <c r="F274" s="10" t="str">
        <f>IFERROR(__xludf.DUMMYFUNCTION("""COMPUTED_VALUE"""),"")</f>
        <v/>
      </c>
      <c r="G274" s="10" t="str">
        <f>IFERROR(__xludf.DUMMYFUNCTION("""COMPUTED_VALUE"""),"")</f>
        <v/>
      </c>
      <c r="H274" s="10" t="str">
        <f>IFERROR(__xludf.DUMMYFUNCTION("""COMPUTED_VALUE"""),"536c9d6a-abd1-5178-b467-53af8e5ee557")</f>
        <v>536c9d6a-abd1-5178-b467-53af8e5ee557</v>
      </c>
      <c r="I274" s="10" t="str">
        <f>IFERROR(__xludf.DUMMYFUNCTION("""COMPUTED_VALUE"""),"536c9d6a-abd1-5178-b467-53af8e5ee557")</f>
        <v>536c9d6a-abd1-5178-b467-53af8e5ee557</v>
      </c>
    </row>
    <row r="275">
      <c r="A275" s="10" t="str">
        <f>IFERROR(__xludf.DUMMYFUNCTION("""COMPUTED_VALUE"""),"Q&amp;A with Yancey Strickler")</f>
        <v>Q&amp;A with Yancey Strickler</v>
      </c>
      <c r="B275" s="10" t="str">
        <f>IFERROR(__xludf.DUMMYFUNCTION("""COMPUTED_VALUE"""),"")</f>
        <v/>
      </c>
      <c r="C275" s="10" t="str">
        <f>IFERROR(__xludf.DUMMYFUNCTION("""COMPUTED_VALUE"""),"Q + A")</f>
        <v>Q + A</v>
      </c>
      <c r="D275" s="10" t="str">
        <f>IFERROR(__xludf.DUMMYFUNCTION("""COMPUTED_VALUE"""),"Yancey Strickler")</f>
        <v>Yancey Strickler</v>
      </c>
      <c r="E275" s="10" t="str">
        <f>IFERROR(__xludf.DUMMYFUNCTION("""COMPUTED_VALUE"""),"Yancey Strickler")</f>
        <v>Yancey Strickler</v>
      </c>
      <c r="F275" s="10" t="str">
        <f>IFERROR(__xludf.DUMMYFUNCTION("""COMPUTED_VALUE"""),"2019/11/07 09:30:00")</f>
        <v>2019/11/07 09:30:00</v>
      </c>
      <c r="G275" s="10" t="str">
        <f>IFERROR(__xludf.DUMMYFUNCTION("""COMPUTED_VALUE"""),"2019/11/07 09:45:00")</f>
        <v>2019/11/07 09:45:00</v>
      </c>
      <c r="H275" s="10" t="str">
        <f>IFERROR(__xludf.DUMMYFUNCTION("""COMPUTED_VALUE"""),"de03af1b-f6b0-457a-bfea-b88ec0ad1ca4")</f>
        <v>de03af1b-f6b0-457a-bfea-b88ec0ad1ca4</v>
      </c>
      <c r="I275" s="10" t="str">
        <f>IFERROR(__xludf.DUMMYFUNCTION("""COMPUTED_VALUE"""),"de03af1b-f6b0-457a-bfea-b88ec0ad1ca4")</f>
        <v>de03af1b-f6b0-457a-bfea-b88ec0ad1ca4</v>
      </c>
    </row>
    <row r="276">
      <c r="A276" s="10" t="str">
        <f>IFERROR(__xludf.DUMMYFUNCTION("""COMPUTED_VALUE"""),"Opening remarks")</f>
        <v>Opening remarks</v>
      </c>
      <c r="B276" s="10" t="str">
        <f>IFERROR(__xludf.DUMMYFUNCTION("""COMPUTED_VALUE"""),"")</f>
        <v/>
      </c>
      <c r="C276" s="10" t="str">
        <f>IFERROR(__xludf.DUMMYFUNCTION("""COMPUTED_VALUE"""),"DeepTech")</f>
        <v>DeepTech</v>
      </c>
      <c r="D276" s="10" t="str">
        <f>IFERROR(__xludf.DUMMYFUNCTION("""COMPUTED_VALUE"""),"Matthew Fornaciari")</f>
        <v>Matthew Fornaciari</v>
      </c>
      <c r="E276" s="10" t="str">
        <f>IFERROR(__xludf.DUMMYFUNCTION("""COMPUTED_VALUE"""),"Matthew Fornaciari")</f>
        <v>Matthew Fornaciari</v>
      </c>
      <c r="F276" s="10" t="str">
        <f>IFERROR(__xludf.DUMMYFUNCTION("""COMPUTED_VALUE"""),"2019/11/06 13:50:00")</f>
        <v>2019/11/06 13:50:00</v>
      </c>
      <c r="G276" s="10" t="str">
        <f>IFERROR(__xludf.DUMMYFUNCTION("""COMPUTED_VALUE"""),"2019/11/06 13:55:00")</f>
        <v>2019/11/06 13:55:00</v>
      </c>
      <c r="H276" s="10" t="str">
        <f>IFERROR(__xludf.DUMMYFUNCTION("""COMPUTED_VALUE"""),"b2c907b9-1735-4fdc-a3bc-ae0eaf3a20bb")</f>
        <v>b2c907b9-1735-4fdc-a3bc-ae0eaf3a20bb</v>
      </c>
      <c r="I276" s="10" t="str">
        <f>IFERROR(__xludf.DUMMYFUNCTION("""COMPUTED_VALUE"""),"b2c907b9-1735-4fdc-a3bc-ae0eaf3a20bb")</f>
        <v>b2c907b9-1735-4fdc-a3bc-ae0eaf3a20bb</v>
      </c>
    </row>
    <row r="277">
      <c r="A277" s="10" t="str">
        <f>IFERROR(__xludf.DUMMYFUNCTION("""COMPUTED_VALUE"""),"Making magic: Developing new products")</f>
        <v>Making magic: Developing new products</v>
      </c>
      <c r="B277" s="10" t="str">
        <f>IFERROR(__xludf.DUMMYFUNCTION("""COMPUTED_VALUE"""),"Co-founder of Mercku, Erik Ackner, delves into the moving parts and strategies that go into building a cutting-edge product. Designing and improving existing products can follow familiar roadmaps, but creating something entirely new requires delicate coor"&amp;"dination across all functional teams.")</f>
        <v>Co-founder of Mercku, Erik Ackner, delves into the moving parts and strategies that go into building a cutting-edge product. Designing and improving existing products can follow familiar roadmaps, but creating something entirely new requires delicate coordination across all functional teams.</v>
      </c>
      <c r="C277" s="10" t="str">
        <f>IFERROR(__xludf.DUMMYFUNCTION("""COMPUTED_VALUE"""),"Growth Summit")</f>
        <v>Growth Summit</v>
      </c>
      <c r="D277" s="10" t="str">
        <f>IFERROR(__xludf.DUMMYFUNCTION("""COMPUTED_VALUE"""),"Erik Ackner")</f>
        <v>Erik Ackner</v>
      </c>
      <c r="E277" s="10" t="str">
        <f>IFERROR(__xludf.DUMMYFUNCTION("""COMPUTED_VALUE"""),"Erik Ackner")</f>
        <v>Erik Ackner</v>
      </c>
      <c r="F277" s="10" t="str">
        <f>IFERROR(__xludf.DUMMYFUNCTION("""COMPUTED_VALUE"""),"2019/11/05 11:06:00")</f>
        <v>2019/11/05 11:06:00</v>
      </c>
      <c r="G277" s="10" t="str">
        <f>IFERROR(__xludf.DUMMYFUNCTION("""COMPUTED_VALUE"""),"2019/11/05 11:10:00")</f>
        <v>2019/11/05 11:10:00</v>
      </c>
      <c r="H277" s="10" t="str">
        <f>IFERROR(__xludf.DUMMYFUNCTION("""COMPUTED_VALUE"""),"00d46bdc-9298-469d-8a1b-fba5451ee868")</f>
        <v>00d46bdc-9298-469d-8a1b-fba5451ee868</v>
      </c>
      <c r="I277" s="10" t="str">
        <f>IFERROR(__xludf.DUMMYFUNCTION("""COMPUTED_VALUE"""),"00d46bdc-9298-469d-8a1b-fba5451ee868")</f>
        <v>00d46bdc-9298-469d-8a1b-fba5451ee868</v>
      </c>
    </row>
    <row r="278">
      <c r="A278" s="10" t="str">
        <f>IFERROR(__xludf.DUMMYFUNCTION("""COMPUTED_VALUE"""),"Scaling a business in a rapidly growing industry: Medical device cybersecurity")</f>
        <v>Scaling a business in a rapidly growing industry: Medical device cybersecurity</v>
      </c>
      <c r="B278" s="10" t="str">
        <f>IFERROR(__xludf.DUMMYFUNCTION("""COMPUTED_VALUE"""),"Nova Leah recognised a need for cybersecurity solutions in the connected medical device industry before that industry existed. The company now recognise that today’s solutions will not be fit to meet tomorrow's challenges. As they prepare to scale, Nova L"&amp;"eah places focus on people, processes and technology to meet the rapidly evolving industry needs. This is the company's story.")</f>
        <v>Nova Leah recognised a need for cybersecurity solutions in the connected medical device industry before that industry existed. The company now recognise that today’s solutions will not be fit to meet tomorrow's challenges. As they prepare to scale, Nova Leah places focus on people, processes and technology to meet the rapidly evolving industry needs. This is the company's story.</v>
      </c>
      <c r="C278" s="10" t="str">
        <f>IFERROR(__xludf.DUMMYFUNCTION("""COMPUTED_VALUE"""),"Growth Summit")</f>
        <v>Growth Summit</v>
      </c>
      <c r="D278" s="10" t="str">
        <f>IFERROR(__xludf.DUMMYFUNCTION("""COMPUTED_VALUE"""),"Fergal McCaffery")</f>
        <v>Fergal McCaffery</v>
      </c>
      <c r="E278" s="10" t="str">
        <f>IFERROR(__xludf.DUMMYFUNCTION("""COMPUTED_VALUE"""),"Fergal McCaffery")</f>
        <v>Fergal McCaffery</v>
      </c>
      <c r="F278" s="10" t="str">
        <f>IFERROR(__xludf.DUMMYFUNCTION("""COMPUTED_VALUE"""),"2019/11/05 11:26:00")</f>
        <v>2019/11/05 11:26:00</v>
      </c>
      <c r="G278" s="10" t="str">
        <f>IFERROR(__xludf.DUMMYFUNCTION("""COMPUTED_VALUE"""),"2019/11/05 11:30:00")</f>
        <v>2019/11/05 11:30:00</v>
      </c>
      <c r="H278" s="10" t="str">
        <f>IFERROR(__xludf.DUMMYFUNCTION("""COMPUTED_VALUE"""),"f82fc89b-7b3f-4930-9e75-329a3b3ea7d6")</f>
        <v>f82fc89b-7b3f-4930-9e75-329a3b3ea7d6</v>
      </c>
      <c r="I278" s="10" t="str">
        <f>IFERROR(__xludf.DUMMYFUNCTION("""COMPUTED_VALUE"""),"f82fc89b-7b3f-4930-9e75-329a3b3ea7d6")</f>
        <v>f82fc89b-7b3f-4930-9e75-329a3b3ea7d6</v>
      </c>
    </row>
    <row r="279">
      <c r="A279" s="10" t="str">
        <f>IFERROR(__xludf.DUMMYFUNCTION("""COMPUTED_VALUE"""),"Featured venue: Livraria Bar - Menina e Moça")</f>
        <v>Featured venue: Livraria Bar - Menina e Moça</v>
      </c>
      <c r="B279" s="10" t="str">
        <f>IFERROR(__xludf.DUMMYFUNCTION("""COMPUTED_VALUE"""),"Reflection, magic, and childlike wonder are just some of the goals of this unique venue. Their goal is to make you look at things as if for the first time, whether that be the city of Lisbon, the architecture, or even your friends' eyes. This magical miss"&amp;"ion of Menina e Moça to recover childlike wonder and see where the worlds of dream and adventure can carry us means it's a venue not to be missed. 
Night Summit deals: 
Imperial gin &amp; tonic €1, Bombay Dry gin &amp; tonic €5.50, tonic port €5")</f>
        <v>Reflection, magic, and childlike wonder are just some of the goals of this unique venue. Their goal is to make you look at things as if for the first time, whether that be the city of Lisbon, the architecture, or even your friends' eyes. This magical mission of Menina e Moça to recover childlike wonder and see where the worlds of dream and adventure can carry us means it's a venue not to be missed. 
Night Summit deals: 
Imperial gin &amp; tonic €1, Bombay Dry gin &amp; tonic €5.50, tonic port €5</v>
      </c>
      <c r="C279" s="10" t="str">
        <f>IFERROR(__xludf.DUMMYFUNCTION("""COMPUTED_VALUE"""),"Livraria Bar - Menina e Moça")</f>
        <v>Livraria Bar - Menina e Moça</v>
      </c>
      <c r="D279" s="10" t="str">
        <f>IFERROR(__xludf.DUMMYFUNCTION("""COMPUTED_VALUE"""),"")</f>
        <v/>
      </c>
      <c r="E279" s="10" t="str">
        <f>IFERROR(__xludf.DUMMYFUNCTION("""COMPUTED_VALUE"""),"")</f>
        <v/>
      </c>
      <c r="F279" s="10" t="str">
        <f>IFERROR(__xludf.DUMMYFUNCTION("""COMPUTED_VALUE"""),"2019/11/05 20:00:00")</f>
        <v>2019/11/05 20:00:00</v>
      </c>
      <c r="G279" s="10" t="str">
        <f>IFERROR(__xludf.DUMMYFUNCTION("""COMPUTED_VALUE"""),"2019/11/06 00:00:00")</f>
        <v>2019/11/06 00:00:00</v>
      </c>
      <c r="H279" s="10" t="str">
        <f>IFERROR(__xludf.DUMMYFUNCTION("""COMPUTED_VALUE"""),"dec2e72c-a0f2-4f64-ad2d-0aa11c73c29d")</f>
        <v>dec2e72c-a0f2-4f64-ad2d-0aa11c73c29d</v>
      </c>
      <c r="I279" s="10" t="str">
        <f>IFERROR(__xludf.DUMMYFUNCTION("""COMPUTED_VALUE"""),"dec2e72c-a0f2-4f64-ad2d-0aa11c73c29d")</f>
        <v>dec2e72c-a0f2-4f64-ad2d-0aa11c73c29d</v>
      </c>
    </row>
    <row r="280">
      <c r="A280" s="10" t="str">
        <f>IFERROR(__xludf.DUMMYFUNCTION("""COMPUTED_VALUE"""),"Is collaboration killing us?")</f>
        <v>Is collaboration killing us?</v>
      </c>
      <c r="B280" s="10" t="str">
        <f>IFERROR(__xludf.DUMMYFUNCTION("""COMPUTED_VALUE"""),"From chat to file sharing to constant pings, there are more ways to communicate and collaborate than ever before. And yet, despite the proliferation of collaboration tools, actual productivity has declined considerably. 
In this fireside chat, Chris Fa"&amp;"rinacci, COO for leading work management platform Asana, will discuss how our always-on notification culture is widening the chasm between collaboration and productivity, and what role technology leaders can play in bridging the gap.")</f>
        <v>From chat to file sharing to constant pings, there are more ways to communicate and collaborate than ever before. And yet, despite the proliferation of collaboration tools, actual productivity has declined considerably. 
In this fireside chat, Chris Farinacci, COO for leading work management platform Asana, will discuss how our always-on notification culture is widening the chasm between collaboration and productivity, and what role technology leaders can play in bridging the gap.</v>
      </c>
      <c r="C280" s="10" t="str">
        <f>IFERROR(__xludf.DUMMYFUNCTION("""COMPUTED_VALUE"""),"SaaS Monster")</f>
        <v>SaaS Monster</v>
      </c>
      <c r="D280" s="10" t="str">
        <f>IFERROR(__xludf.DUMMYFUNCTION("""COMPUTED_VALUE"""),"Chris Farinacci and Jordan French")</f>
        <v>Chris Farinacci and Jordan French</v>
      </c>
      <c r="E280" s="10" t="str">
        <f>IFERROR(__xludf.DUMMYFUNCTION("""COMPUTED_VALUE"""),"Chris Farinacci,Jordan French")</f>
        <v>Chris Farinacci,Jordan French</v>
      </c>
      <c r="F280" s="10" t="str">
        <f>IFERROR(__xludf.DUMMYFUNCTION("""COMPUTED_VALUE"""),"2019/11/05 13:45:00")</f>
        <v>2019/11/05 13:45:00</v>
      </c>
      <c r="G280" s="10" t="str">
        <f>IFERROR(__xludf.DUMMYFUNCTION("""COMPUTED_VALUE"""),"2019/11/05 14:05:00")</f>
        <v>2019/11/05 14:05:00</v>
      </c>
      <c r="H280" s="10" t="str">
        <f>IFERROR(__xludf.DUMMYFUNCTION("""COMPUTED_VALUE"""),"175bc399-db50-4844-9a34-d3941af68962")</f>
        <v>175bc399-db50-4844-9a34-d3941af68962</v>
      </c>
      <c r="I280" s="10" t="str">
        <f>IFERROR(__xludf.DUMMYFUNCTION("""COMPUTED_VALUE"""),"175bc399-db50-4844-9a34-d3941af68962")</f>
        <v>175bc399-db50-4844-9a34-d3941af68962</v>
      </c>
    </row>
    <row r="281">
      <c r="A281" s="10" t="str">
        <f>IFERROR(__xludf.DUMMYFUNCTION("""COMPUTED_VALUE"""),"ATM 4")</f>
        <v>ATM 4</v>
      </c>
      <c r="B281" s="10" t="str">
        <f>IFERROR(__xludf.DUMMYFUNCTION("""COMPUTED_VALUE"""),"")</f>
        <v/>
      </c>
      <c r="C281" s="10" t="str">
        <f>IFERROR(__xludf.DUMMYFUNCTION("""COMPUTED_VALUE"""),"ATM - 4 - Nov 5")</f>
        <v>ATM - 4 - Nov 5</v>
      </c>
      <c r="D281" s="10" t="str">
        <f>IFERROR(__xludf.DUMMYFUNCTION("""COMPUTED_VALUE"""),"")</f>
        <v/>
      </c>
      <c r="E281" s="10" t="str">
        <f>IFERROR(__xludf.DUMMYFUNCTION("""COMPUTED_VALUE"""),"")</f>
        <v/>
      </c>
      <c r="F281" s="10" t="str">
        <f>IFERROR(__xludf.DUMMYFUNCTION("""COMPUTED_VALUE"""),"2019/11/05 20:01:00")</f>
        <v>2019/11/05 20:01:00</v>
      </c>
      <c r="G281" s="10" t="str">
        <f>IFERROR(__xludf.DUMMYFUNCTION("""COMPUTED_VALUE"""),"2019/11/05 23:59:00")</f>
        <v>2019/11/05 23:59:00</v>
      </c>
      <c r="H281" s="10" t="str">
        <f>IFERROR(__xludf.DUMMYFUNCTION("""COMPUTED_VALUE"""),"b066f11a-62b6-4a29-8379-35f397322035")</f>
        <v>b066f11a-62b6-4a29-8379-35f397322035</v>
      </c>
      <c r="I281" s="10" t="str">
        <f>IFERROR(__xludf.DUMMYFUNCTION("""COMPUTED_VALUE"""),"b066f11a-62b6-4a29-8379-35f397322035")</f>
        <v>b066f11a-62b6-4a29-8379-35f397322035</v>
      </c>
    </row>
    <row r="282">
      <c r="A282" s="10" t="str">
        <f>IFERROR(__xludf.DUMMYFUNCTION("""COMPUTED_VALUE"""),"Lunch break")</f>
        <v>Lunch break</v>
      </c>
      <c r="B282" s="10" t="str">
        <f>IFERROR(__xludf.DUMMYFUNCTION("""COMPUTED_VALUE"""),"")</f>
        <v/>
      </c>
      <c r="C282" s="10" t="str">
        <f>IFERROR(__xludf.DUMMYFUNCTION("""COMPUTED_VALUE"""),"SportsTrade")</f>
        <v>SportsTrade</v>
      </c>
      <c r="D282" s="10" t="str">
        <f>IFERROR(__xludf.DUMMYFUNCTION("""COMPUTED_VALUE"""),"")</f>
        <v/>
      </c>
      <c r="E282" s="10" t="str">
        <f>IFERROR(__xludf.DUMMYFUNCTION("""COMPUTED_VALUE"""),"")</f>
        <v/>
      </c>
      <c r="F282" s="10" t="str">
        <f>IFERROR(__xludf.DUMMYFUNCTION("""COMPUTED_VALUE"""),"2019/11/05 12:40:00")</f>
        <v>2019/11/05 12:40:00</v>
      </c>
      <c r="G282" s="10" t="str">
        <f>IFERROR(__xludf.DUMMYFUNCTION("""COMPUTED_VALUE"""),"2019/11/05 13:10:00")</f>
        <v>2019/11/05 13:10:00</v>
      </c>
      <c r="H282" s="10" t="str">
        <f>IFERROR(__xludf.DUMMYFUNCTION("""COMPUTED_VALUE"""),"9e0a254e-4273-4c0f-96e1-ebc4e7d5b1b5")</f>
        <v>9e0a254e-4273-4c0f-96e1-ebc4e7d5b1b5</v>
      </c>
      <c r="I282" s="10" t="str">
        <f>IFERROR(__xludf.DUMMYFUNCTION("""COMPUTED_VALUE"""),"9e0a254e-4273-4c0f-96e1-ebc4e7d5b1b5")</f>
        <v>9e0a254e-4273-4c0f-96e1-ebc4e7d5b1b5</v>
      </c>
    </row>
    <row r="283">
      <c r="A283" s="10" t="str">
        <f>IFERROR(__xludf.DUMMYFUNCTION("""COMPUTED_VALUE"""),"Scaling content production without sacrificing your visual identity, hosted by Shutterstock ")</f>
        <v>Scaling content production without sacrificing your visual identity, hosted by Shutterstock </v>
      </c>
      <c r="B283" s="10" t="str">
        <f>IFERROR(__xludf.DUMMYFUNCTION("""COMPUTED_VALUE"""),"Over 90% of brands use social media to grow awareness. It can become very hard to post content at a high-frequency, and across different markets and platforms, without losing your brand's identity. Join us to understand and see how leading global companie"&amp;"s are exploring new ways to ensure brand consistency while creating authentic and engaging content for social media. This collaborative session will educate attendees on how to analyse their visual identity and create localised content.")</f>
        <v>Over 90% of brands use social media to grow awareness. It can become very hard to post content at a high-frequency, and across different markets and platforms, without losing your brand's identity. Join us to understand and see how leading global companies are exploring new ways to ensure brand consistency while creating authentic and engaging content for social media. This collaborative session will educate attendees on how to analyse their visual identity and create localised content.</v>
      </c>
      <c r="C283" s="10" t="str">
        <f>IFERROR(__xludf.DUMMYFUNCTION("""COMPUTED_VALUE"""),"Workshop 3")</f>
        <v>Workshop 3</v>
      </c>
      <c r="D283" s="10" t="str">
        <f>IFERROR(__xludf.DUMMYFUNCTION("""COMPUTED_VALUE"""),"Yoann Chipotel")</f>
        <v>Yoann Chipotel</v>
      </c>
      <c r="E283" s="10" t="str">
        <f>IFERROR(__xludf.DUMMYFUNCTION("""COMPUTED_VALUE"""),"Yoann Chipotel")</f>
        <v>Yoann Chipotel</v>
      </c>
      <c r="F283" s="10" t="str">
        <f>IFERROR(__xludf.DUMMYFUNCTION("""COMPUTED_VALUE"""),"2019/11/05 10:45:00")</f>
        <v>2019/11/05 10:45:00</v>
      </c>
      <c r="G283" s="10" t="str">
        <f>IFERROR(__xludf.DUMMYFUNCTION("""COMPUTED_VALUE"""),"2019/11/05 11:30:00")</f>
        <v>2019/11/05 11:30:00</v>
      </c>
      <c r="H283" s="10" t="str">
        <f>IFERROR(__xludf.DUMMYFUNCTION("""COMPUTED_VALUE"""),"6c6bdc0b-2e1f-4fc7-934d-2f9d5da1e50f")</f>
        <v>6c6bdc0b-2e1f-4fc7-934d-2f9d5da1e50f</v>
      </c>
      <c r="I283" s="10" t="str">
        <f>IFERROR(__xludf.DUMMYFUNCTION("""COMPUTED_VALUE"""),"6c6bdc0b-2e1f-4fc7-934d-2f9d5da1e50f")</f>
        <v>6c6bdc0b-2e1f-4fc7-934d-2f9d5da1e50f</v>
      </c>
    </row>
    <row r="284">
      <c r="A284" s="10" t="str">
        <f>IFERROR(__xludf.DUMMYFUNCTION("""COMPUTED_VALUE"""),"Don't shoot the messenger")</f>
        <v>Don't shoot the messenger</v>
      </c>
      <c r="B284" s="10" t="str">
        <f>IFERROR(__xludf.DUMMYFUNCTION("""COMPUTED_VALUE"""),"As AI, machine learning and algorithms are changing the way we make, break and consume news, there will always be a need for good old fashioned investigative journalism in every news organisation. But is it under threat? In this talk, hear from those on t"&amp;"he front lines about the ongoing fight to maintain honest journalism and protect the rights of whistleblowers. ")</f>
        <v>As AI, machine learning and algorithms are changing the way we make, break and consume news, there will always be a need for good old fashioned investigative journalism in every news organisation. But is it under threat? In this talk, hear from those on the front lines about the ongoing fight to maintain honest journalism and protect the rights of whistleblowers. </v>
      </c>
      <c r="C284" s="10" t="str">
        <f>IFERROR(__xludf.DUMMYFUNCTION("""COMPUTED_VALUE"""),"ContentMakers")</f>
        <v>ContentMakers</v>
      </c>
      <c r="D284" s="10" t="str">
        <f>IFERROR(__xludf.DUMMYFUNCTION("""COMPUTED_VALUE"""),"James Ball, John Tye, Brittany Kaiser and Ali Aydin")</f>
        <v>James Ball, John Tye, Brittany Kaiser and Ali Aydin</v>
      </c>
      <c r="E284" s="10" t="str">
        <f>IFERROR(__xludf.DUMMYFUNCTION("""COMPUTED_VALUE"""),"James Ball,John Tye,Brittany Kaiser,Ali Aydin")</f>
        <v>James Ball,John Tye,Brittany Kaiser,Ali Aydin</v>
      </c>
      <c r="F284" s="10" t="str">
        <f>IFERROR(__xludf.DUMMYFUNCTION("""COMPUTED_VALUE"""),"2019/11/06 16:15:00")</f>
        <v>2019/11/06 16:15:00</v>
      </c>
      <c r="G284" s="10" t="str">
        <f>IFERROR(__xludf.DUMMYFUNCTION("""COMPUTED_VALUE"""),"2019/11/06 16:35:00")</f>
        <v>2019/11/06 16:35:00</v>
      </c>
      <c r="H284" s="10" t="str">
        <f>IFERROR(__xludf.DUMMYFUNCTION("""COMPUTED_VALUE"""),"2a3f793a-ebb2-4bb5-a6ce-02c096805517")</f>
        <v>2a3f793a-ebb2-4bb5-a6ce-02c096805517</v>
      </c>
      <c r="I284" s="10" t="str">
        <f>IFERROR(__xludf.DUMMYFUNCTION("""COMPUTED_VALUE"""),"2a3f793a-ebb2-4bb5-a6ce-02c096805517")</f>
        <v>2a3f793a-ebb2-4bb5-a6ce-02c096805517</v>
      </c>
    </row>
    <row r="285">
      <c r="A285" s="10" t="str">
        <f>IFERROR(__xludf.DUMMYFUNCTION("""COMPUTED_VALUE"""),"PITCH group round 9")</f>
        <v>PITCH group round 9</v>
      </c>
      <c r="B285" s="10" t="str">
        <f>IFERROR(__xludf.DUMMYFUNCTION("""COMPUTED_VALUE"""),"")</f>
        <v/>
      </c>
      <c r="C285" s="10" t="str">
        <f>IFERROR(__xludf.DUMMYFUNCTION("""COMPUTED_VALUE"""),"PITCH 3")</f>
        <v>PITCH 3</v>
      </c>
      <c r="D285" s="10" t="str">
        <f>IFERROR(__xludf.DUMMYFUNCTION("""COMPUTED_VALUE"""),"Maya Horgan Famodu, Christian Knott, Felix Buggenthin, Mohan Ram, Gijs den Hartog, Eyal Sheinholtz, Joanna Yein Song, Danica Damljanovic, Rafal Witkowski, andrea baldini, Sergey Soloboev, Egor Pchelnikov and Samuel Lathey")</f>
        <v>Maya Horgan Famodu, Christian Knott, Felix Buggenthin, Mohan Ram, Gijs den Hartog, Eyal Sheinholtz, Joanna Yein Song, Danica Damljanovic, Rafal Witkowski, andrea baldini, Sergey Soloboev, Egor Pchelnikov and Samuel Lathey</v>
      </c>
      <c r="E285" s="10" t="str">
        <f>IFERROR(__xludf.DUMMYFUNCTION("""COMPUTED_VALUE"""),"Maya Horgan Famodu,Christian Knott,Felix Buggenthin,Mohan Ram,Gijs den Hartog,Eyal Sheinholtz,Joanna Yein Song,Danica Damljanovic,Rafal Witkowski,andrea baldini,Sergey Soloboev,Egor Pchelnikov,Samuel Lathey")</f>
        <v>Maya Horgan Famodu,Christian Knott,Felix Buggenthin,Mohan Ram,Gijs den Hartog,Eyal Sheinholtz,Joanna Yein Song,Danica Damljanovic,Rafal Witkowski,andrea baldini,Sergey Soloboev,Egor Pchelnikov,Samuel Lathey</v>
      </c>
      <c r="F285" s="10" t="str">
        <f>IFERROR(__xludf.DUMMYFUNCTION("""COMPUTED_VALUE"""),"2019/11/05 11:15:00")</f>
        <v>2019/11/05 11:15:00</v>
      </c>
      <c r="G285" s="10" t="str">
        <f>IFERROR(__xludf.DUMMYFUNCTION("""COMPUTED_VALUE"""),"2019/11/05 12:15:00")</f>
        <v>2019/11/05 12:15:00</v>
      </c>
      <c r="H285" s="10" t="str">
        <f>IFERROR(__xludf.DUMMYFUNCTION("""COMPUTED_VALUE"""),"5065bd64-f376-4245-b5f5-10d436de2011")</f>
        <v>5065bd64-f376-4245-b5f5-10d436de2011</v>
      </c>
      <c r="I285" s="10" t="str">
        <f>IFERROR(__xludf.DUMMYFUNCTION("""COMPUTED_VALUE"""),"5065bd64-f376-4245-b5f5-10d436de2011")</f>
        <v>5065bd64-f376-4245-b5f5-10d436de2011</v>
      </c>
    </row>
    <row r="286">
      <c r="A286" s="10" t="str">
        <f>IFERROR(__xludf.DUMMYFUNCTION("""COMPUTED_VALUE"""),"The Height of Disruption")</f>
        <v>The Height of Disruption</v>
      </c>
      <c r="B286" s="10" t="str">
        <f>IFERROR(__xludf.DUMMYFUNCTION("""COMPUTED_VALUE"""),"The world of business needs more disruption, and so does the world at large. This session explores how the business ideas and philosophies of the great entrepreneurs of our time — including Marc Benioff, Arianna Huffington, Zhang Ruimin, Oprah Winfrey and"&amp;" more — can show us the way to a more prosperous and purposeful future.
")</f>
        <v>The world of business needs more disruption, and so does the world at large. This session explores how the business ideas and philosophies of the great entrepreneurs of our time — including Marc Benioff, Arianna Huffington, Zhang Ruimin, Oprah Winfrey and more — can show us the way to a more prosperous and purposeful future.
</v>
      </c>
      <c r="C286" s="10" t="str">
        <f>IFERROR(__xludf.DUMMYFUNCTION("""COMPUTED_VALUE"""),"Corporate Innovation Summit")</f>
        <v>Corporate Innovation Summit</v>
      </c>
      <c r="D286" s="10" t="str">
        <f>IFERROR(__xludf.DUMMYFUNCTION("""COMPUTED_VALUE"""),"Jean-Marie Dru")</f>
        <v>Jean-Marie Dru</v>
      </c>
      <c r="E286" s="10" t="str">
        <f>IFERROR(__xludf.DUMMYFUNCTION("""COMPUTED_VALUE"""),"Jean-Marie Dru")</f>
        <v>Jean-Marie Dru</v>
      </c>
      <c r="F286" s="10" t="str">
        <f>IFERROR(__xludf.DUMMYFUNCTION("""COMPUTED_VALUE"""),"2019/11/05 15:35:00")</f>
        <v>2019/11/05 15:35:00</v>
      </c>
      <c r="G286" s="10" t="str">
        <f>IFERROR(__xludf.DUMMYFUNCTION("""COMPUTED_VALUE"""),"2019/11/05 15:55:00")</f>
        <v>2019/11/05 15:55:00</v>
      </c>
      <c r="H286" s="10" t="str">
        <f>IFERROR(__xludf.DUMMYFUNCTION("""COMPUTED_VALUE"""),"0c04eae5-3135-4e48-9e2f-336649101992")</f>
        <v>0c04eae5-3135-4e48-9e2f-336649101992</v>
      </c>
      <c r="I286" s="10" t="str">
        <f>IFERROR(__xludf.DUMMYFUNCTION("""COMPUTED_VALUE"""),"0c04eae5-3135-4e48-9e2f-336649101992")</f>
        <v>0c04eae5-3135-4e48-9e2f-336649101992</v>
      </c>
    </row>
    <row r="287">
      <c r="A287" s="10" t="str">
        <f>IFERROR(__xludf.DUMMYFUNCTION("""COMPUTED_VALUE"""),"Financing SMEs in fast growing economies")</f>
        <v>Financing SMEs in fast growing economies</v>
      </c>
      <c r="B287" s="10" t="str">
        <f>IFERROR(__xludf.DUMMYFUNCTION("""COMPUTED_VALUE"""),"The SME credit gap is over $5 trillion worldwide. However, using its Sardis technology, Lidya solves this problem by using over 100 data points to disburse credit to SMEs in Eastern Europe and West Africa through an easy and inspiring lending process.")</f>
        <v>The SME credit gap is over $5 trillion worldwide. However, using its Sardis technology, Lidya solves this problem by using over 100 data points to disburse credit to SMEs in Eastern Europe and West Africa through an easy and inspiring lending process.</v>
      </c>
      <c r="C287" s="10" t="str">
        <f>IFERROR(__xludf.DUMMYFUNCTION("""COMPUTED_VALUE"""),"Growth Summit")</f>
        <v>Growth Summit</v>
      </c>
      <c r="D287" s="10" t="str">
        <f>IFERROR(__xludf.DUMMYFUNCTION("""COMPUTED_VALUE"""),"Tunde Kehinde")</f>
        <v>Tunde Kehinde</v>
      </c>
      <c r="E287" s="10" t="str">
        <f>IFERROR(__xludf.DUMMYFUNCTION("""COMPUTED_VALUE"""),"Tunde Kehinde")</f>
        <v>Tunde Kehinde</v>
      </c>
      <c r="F287" s="10" t="str">
        <f>IFERROR(__xludf.DUMMYFUNCTION("""COMPUTED_VALUE"""),"2019/11/05 10:26:00")</f>
        <v>2019/11/05 10:26:00</v>
      </c>
      <c r="G287" s="10" t="str">
        <f>IFERROR(__xludf.DUMMYFUNCTION("""COMPUTED_VALUE"""),"2019/11/05 10:30:00")</f>
        <v>2019/11/05 10:30:00</v>
      </c>
      <c r="H287" s="10" t="str">
        <f>IFERROR(__xludf.DUMMYFUNCTION("""COMPUTED_VALUE"""),"e38fa0e6-4127-40dc-a098-51180b1a1fcb")</f>
        <v>e38fa0e6-4127-40dc-a098-51180b1a1fcb</v>
      </c>
      <c r="I287" s="10" t="str">
        <f>IFERROR(__xludf.DUMMYFUNCTION("""COMPUTED_VALUE"""),"e38fa0e6-4127-40dc-a098-51180b1a1fcb")</f>
        <v>e38fa0e6-4127-40dc-a098-51180b1a1fcb</v>
      </c>
    </row>
    <row r="288">
      <c r="A288" s="10" t="str">
        <f>IFERROR(__xludf.DUMMYFUNCTION("""COMPUTED_VALUE"""),"The right way to blow the whistle")</f>
        <v>The right way to blow the whistle</v>
      </c>
      <c r="B288" s="10" t="str">
        <f>IFERROR(__xludf.DUMMYFUNCTION("""COMPUTED_VALUE"""),"Whistleblowing takes a lot of courage. Standing against a powerful organisation to reveal wrongdoing is never easy. The legal procedures can be a labyrinth, and going around those procedures can lead to jail time and persecution. In this session we hear f"&amp;"rom a man who not only blew the whistle, legally, but now works to make it easier for others to do the same")</f>
        <v>Whistleblowing takes a lot of courage. Standing against a powerful organisation to reveal wrongdoing is never easy. The legal procedures can be a labyrinth, and going around those procedures can lead to jail time and persecution. In this session we hear from a man who not only blew the whistle, legally, but now works to make it easier for others to do the same</v>
      </c>
      <c r="C288" s="10" t="str">
        <f>IFERROR(__xludf.DUMMYFUNCTION("""COMPUTED_VALUE"""),"Future Societies")</f>
        <v>Future Societies</v>
      </c>
      <c r="D288" s="10" t="str">
        <f>IFERROR(__xludf.DUMMYFUNCTION("""COMPUTED_VALUE"""),"John Tye and Ryan Broderick")</f>
        <v>John Tye and Ryan Broderick</v>
      </c>
      <c r="E288" s="10" t="str">
        <f>IFERROR(__xludf.DUMMYFUNCTION("""COMPUTED_VALUE"""),"John Tye,Ryan Broderick")</f>
        <v>John Tye,Ryan Broderick</v>
      </c>
      <c r="F288" s="10" t="str">
        <f>IFERROR(__xludf.DUMMYFUNCTION("""COMPUTED_VALUE"""),"2019/11/06 11:30:00")</f>
        <v>2019/11/06 11:30:00</v>
      </c>
      <c r="G288" s="10" t="str">
        <f>IFERROR(__xludf.DUMMYFUNCTION("""COMPUTED_VALUE"""),"2019/11/06 11:50:00")</f>
        <v>2019/11/06 11:50:00</v>
      </c>
      <c r="H288" s="10" t="str">
        <f>IFERROR(__xludf.DUMMYFUNCTION("""COMPUTED_VALUE"""),"f9a27453-a1e9-457d-a961-25a01d9b579c")</f>
        <v>f9a27453-a1e9-457d-a961-25a01d9b579c</v>
      </c>
      <c r="I288" s="10" t="str">
        <f>IFERROR(__xludf.DUMMYFUNCTION("""COMPUTED_VALUE"""),"f9a27453-a1e9-457d-a961-25a01d9b579c")</f>
        <v>f9a27453-a1e9-457d-a961-25a01d9b579c</v>
      </c>
    </row>
    <row r="289">
      <c r="A289" s="10" t="str">
        <f>IFERROR(__xludf.DUMMYFUNCTION("""COMPUTED_VALUE"""),"Breakout startups group 1")</f>
        <v>Breakout startups group 1</v>
      </c>
      <c r="B289" s="10" t="str">
        <f>IFERROR(__xludf.DUMMYFUNCTION("""COMPUTED_VALUE"""),"Are these the startups everyone will be talking about in 2020? Dozens of the world’s leading investors think so. Get ready to see and hear from some of the world’s most exciting early-stage startups. ")</f>
        <v>Are these the startups everyone will be talking about in 2020? Dozens of the world’s leading investors think so. Get ready to see and hear from some of the world’s most exciting early-stage startups. </v>
      </c>
      <c r="C289" s="10" t="str">
        <f>IFERROR(__xludf.DUMMYFUNCTION("""COMPUTED_VALUE"""),"Centre Stage")</f>
        <v>Centre Stage</v>
      </c>
      <c r="D289" s="10" t="str">
        <f>IFERROR(__xludf.DUMMYFUNCTION("""COMPUTED_VALUE"""),"Luisa Lima, Veronika Riederle, Andre Jordao, Nils Henning, Shane Curran, Alina Lapusneanu, Dee Coakley, Sarah Sandnes, Jaleh Rezaei, Sunil Sharma and Casey Lau")</f>
        <v>Luisa Lima, Veronika Riederle, Andre Jordao, Nils Henning, Shane Curran, Alina Lapusneanu, Dee Coakley, Sarah Sandnes, Jaleh Rezaei, Sunil Sharma and Casey Lau</v>
      </c>
      <c r="E289" s="10" t="str">
        <f>IFERROR(__xludf.DUMMYFUNCTION("""COMPUTED_VALUE"""),"Luisa Lima,Veronika Riederle,Andre Jordao,Nils Henning,Shane Curran,Alina Lapusneanu,Dee Coakley,Sarah Sandnes,Jaleh Rezaei,Sunil Sharma,Casey Lau")</f>
        <v>Luisa Lima,Veronika Riederle,Andre Jordao,Nils Henning,Shane Curran,Alina Lapusneanu,Dee Coakley,Sarah Sandnes,Jaleh Rezaei,Sunil Sharma,Casey Lau</v>
      </c>
      <c r="F289" s="10" t="str">
        <f>IFERROR(__xludf.DUMMYFUNCTION("""COMPUTED_VALUE"""),"2019/11/04 17:00:00")</f>
        <v>2019/11/04 17:00:00</v>
      </c>
      <c r="G289" s="10" t="str">
        <f>IFERROR(__xludf.DUMMYFUNCTION("""COMPUTED_VALUE"""),"2019/11/04 17:50:00")</f>
        <v>2019/11/04 17:50:00</v>
      </c>
      <c r="H289" s="10" t="str">
        <f>IFERROR(__xludf.DUMMYFUNCTION("""COMPUTED_VALUE"""),"2e2a8609-5c87-41df-bcce-3724875785f9")</f>
        <v>2e2a8609-5c87-41df-bcce-3724875785f9</v>
      </c>
      <c r="I289" s="10" t="str">
        <f>IFERROR(__xludf.DUMMYFUNCTION("""COMPUTED_VALUE"""),"2e2a8609-5c87-41df-bcce-3724875785f9")</f>
        <v>2e2a8609-5c87-41df-bcce-3724875785f9</v>
      </c>
    </row>
    <row r="290">
      <c r="A290" s="10" t="str">
        <f>IFERROR(__xludf.DUMMYFUNCTION("""COMPUTED_VALUE"""),"PITCH quarterfinal 1")</f>
        <v>PITCH quarterfinal 1</v>
      </c>
      <c r="B290" s="10" t="str">
        <f>IFERROR(__xludf.DUMMYFUNCTION("""COMPUTED_VALUE"""),"")</f>
        <v/>
      </c>
      <c r="C290" s="10" t="str">
        <f>IFERROR(__xludf.DUMMYFUNCTION("""COMPUTED_VALUE"""),"")</f>
        <v/>
      </c>
      <c r="D290" s="10" t="str">
        <f>IFERROR(__xludf.DUMMYFUNCTION("""COMPUTED_VALUE"""),"
Diana Lace,  Rouven Dresselhaus,  Rouven Dresselhaus,  David Meltzer,  Andre Retterath and  Joakim Dal")</f>
        <v>
Diana Lace,  Rouven Dresselhaus,  Rouven Dresselhaus,  David Meltzer,  Andre Retterath and  Joakim Dal</v>
      </c>
      <c r="E290" s="10" t="str">
        <f>IFERROR(__xludf.DUMMYFUNCTION("""COMPUTED_VALUE"""),"
Diana Lace, Rouven Dresselhaus, Rouven Dresselhaus, David Meltzer, Andre Retterath, Joakim Dal")</f>
        <v>
Diana Lace, Rouven Dresselhaus, Rouven Dresselhaus, David Meltzer, Andre Retterath, Joakim Dal</v>
      </c>
      <c r="F290" s="10" t="str">
        <f>IFERROR(__xludf.DUMMYFUNCTION("""COMPUTED_VALUE"""),"")</f>
        <v/>
      </c>
      <c r="G290" s="10" t="str">
        <f>IFERROR(__xludf.DUMMYFUNCTION("""COMPUTED_VALUE"""),"")</f>
        <v/>
      </c>
      <c r="H290" s="10" t="str">
        <f>IFERROR(__xludf.DUMMYFUNCTION("""COMPUTED_VALUE"""),"f3ad21d7-3bc0-5ee7-bf56-ca5e4700174e")</f>
        <v>f3ad21d7-3bc0-5ee7-bf56-ca5e4700174e</v>
      </c>
      <c r="I290" s="10" t="str">
        <f>IFERROR(__xludf.DUMMYFUNCTION("""COMPUTED_VALUE"""),"f3ad21d7-3bc0-5ee7-bf56-ca5e4700174e")</f>
        <v>f3ad21d7-3bc0-5ee7-bf56-ca5e4700174e</v>
      </c>
    </row>
    <row r="291">
      <c r="A291" s="10" t="str">
        <f>IFERROR(__xludf.DUMMYFUNCTION("""COMPUTED_VALUE"""),"Q&amp;A with Akon")</f>
        <v>Q&amp;A with Akon</v>
      </c>
      <c r="B291" s="10" t="str">
        <f>IFERROR(__xludf.DUMMYFUNCTION("""COMPUTED_VALUE"""),"")</f>
        <v/>
      </c>
      <c r="C291" s="10" t="str">
        <f>IFERROR(__xludf.DUMMYFUNCTION("""COMPUTED_VALUE"""),"Q + A")</f>
        <v>Q + A</v>
      </c>
      <c r="D291" s="10" t="str">
        <f>IFERROR(__xludf.DUMMYFUNCTION("""COMPUTED_VALUE""")," ")</f>
        <v> </v>
      </c>
      <c r="E291" s="10" t="str">
        <f>IFERROR(__xludf.DUMMYFUNCTION("""COMPUTED_VALUE""")," ")</f>
        <v> </v>
      </c>
      <c r="F291" s="10" t="str">
        <f>IFERROR(__xludf.DUMMYFUNCTION("""COMPUTED_VALUE"""),"2019/11/06 14:45:00")</f>
        <v>2019/11/06 14:45:00</v>
      </c>
      <c r="G291" s="10" t="str">
        <f>IFERROR(__xludf.DUMMYFUNCTION("""COMPUTED_VALUE"""),"2019/11/06 15:00:00")</f>
        <v>2019/11/06 15:00:00</v>
      </c>
      <c r="H291" s="10" t="str">
        <f>IFERROR(__xludf.DUMMYFUNCTION("""COMPUTED_VALUE"""),"ef6486a8-16dc-450c-a7b1-c67f9f7210a2")</f>
        <v>ef6486a8-16dc-450c-a7b1-c67f9f7210a2</v>
      </c>
      <c r="I291" s="10" t="str">
        <f>IFERROR(__xludf.DUMMYFUNCTION("""COMPUTED_VALUE"""),"ef6486a8-16dc-450c-a7b1-c67f9f7210a2")</f>
        <v>ef6486a8-16dc-450c-a7b1-c67f9f7210a2</v>
      </c>
    </row>
    <row r="292">
      <c r="A292" s="10" t="str">
        <f>IFERROR(__xludf.DUMMYFUNCTION("""COMPUTED_VALUE"""),"Avon's digital makeover")</f>
        <v>Avon's digital makeover</v>
      </c>
      <c r="B292" s="10" t="str">
        <f>IFERROR(__xludf.DUMMYFUNCTION("""COMPUTED_VALUE"""),"Avon is the iconic platform through which tens of thousands of micro-entrepreneurs distribute hundreds of millions of beauty and cosmetic products across the world. Join Benedetto, Avon's Group Digital Officer, to learn how the company is using tech for g"&amp;"rowth.")</f>
        <v>Avon is the iconic platform through which tens of thousands of micro-entrepreneurs distribute hundreds of millions of beauty and cosmetic products across the world. Join Benedetto, Avon's Group Digital Officer, to learn how the company is using tech for growth.</v>
      </c>
      <c r="C292" s="10" t="str">
        <f>IFERROR(__xludf.DUMMYFUNCTION("""COMPUTED_VALUE"""),"Corporate Innovation Summit")</f>
        <v>Corporate Innovation Summit</v>
      </c>
      <c r="D292" s="10" t="str">
        <f>IFERROR(__xludf.DUMMYFUNCTION("""COMPUTED_VALUE"""),"Benedetto Conversano and Bruno Guicardi")</f>
        <v>Benedetto Conversano and Bruno Guicardi</v>
      </c>
      <c r="E292" s="10" t="str">
        <f>IFERROR(__xludf.DUMMYFUNCTION("""COMPUTED_VALUE"""),"Benedetto Conversano,Bruno Guicardi")</f>
        <v>Benedetto Conversano,Bruno Guicardi</v>
      </c>
      <c r="F292" s="10" t="str">
        <f>IFERROR(__xludf.DUMMYFUNCTION("""COMPUTED_VALUE"""),"2019/11/06 11:05:00")</f>
        <v>2019/11/06 11:05:00</v>
      </c>
      <c r="G292" s="10" t="str">
        <f>IFERROR(__xludf.DUMMYFUNCTION("""COMPUTED_VALUE"""),"2019/11/06 11:25:00")</f>
        <v>2019/11/06 11:25:00</v>
      </c>
      <c r="H292" s="10" t="str">
        <f>IFERROR(__xludf.DUMMYFUNCTION("""COMPUTED_VALUE"""),"e7eecd57-22eb-44a9-8cf7-a5d270877bde")</f>
        <v>e7eecd57-22eb-44a9-8cf7-a5d270877bde</v>
      </c>
      <c r="I292" s="10" t="str">
        <f>IFERROR(__xludf.DUMMYFUNCTION("""COMPUTED_VALUE"""),"e7eecd57-22eb-44a9-8cf7-a5d270877bde")</f>
        <v>e7eecd57-22eb-44a9-8cf7-a5d270877bde</v>
      </c>
    </row>
    <row r="293">
      <c r="A293" s="10" t="str">
        <f>IFERROR(__xludf.DUMMYFUNCTION("""COMPUTED_VALUE"""),"What if your startup was a body?")</f>
        <v>What if your startup was a body?</v>
      </c>
      <c r="B293" s="10" t="str">
        <f>IFERROR(__xludf.DUMMYFUNCTION("""COMPUTED_VALUE"""),"The foundation of a company and how to scale a human organisation.")</f>
        <v>The foundation of a company and how to scale a human organisation.</v>
      </c>
      <c r="C293" s="10" t="str">
        <f>IFERROR(__xludf.DUMMYFUNCTION("""COMPUTED_VALUE"""),"Growth Summit")</f>
        <v>Growth Summit</v>
      </c>
      <c r="D293" s="10" t="str">
        <f>IFERROR(__xludf.DUMMYFUNCTION("""COMPUTED_VALUE"""),"Federico Mattia Dolci")</f>
        <v>Federico Mattia Dolci</v>
      </c>
      <c r="E293" s="10" t="str">
        <f>IFERROR(__xludf.DUMMYFUNCTION("""COMPUTED_VALUE"""),"Federico Mattia Dolci")</f>
        <v>Federico Mattia Dolci</v>
      </c>
      <c r="F293" s="10" t="str">
        <f>IFERROR(__xludf.DUMMYFUNCTION("""COMPUTED_VALUE"""),"2019/11/07 10:06:00")</f>
        <v>2019/11/07 10:06:00</v>
      </c>
      <c r="G293" s="10" t="str">
        <f>IFERROR(__xludf.DUMMYFUNCTION("""COMPUTED_VALUE"""),"2019/11/07 10:10:00")</f>
        <v>2019/11/07 10:10:00</v>
      </c>
      <c r="H293" s="10" t="str">
        <f>IFERROR(__xludf.DUMMYFUNCTION("""COMPUTED_VALUE"""),"eda7e768-0a8a-48b1-b7a8-86121c08f575")</f>
        <v>eda7e768-0a8a-48b1-b7a8-86121c08f575</v>
      </c>
      <c r="I293" s="10" t="str">
        <f>IFERROR(__xludf.DUMMYFUNCTION("""COMPUTED_VALUE"""),"eda7e768-0a8a-48b1-b7a8-86121c08f575")</f>
        <v>eda7e768-0a8a-48b1-b7a8-86121c08f575</v>
      </c>
    </row>
    <row r="294">
      <c r="A294" s="10" t="str">
        <f>IFERROR(__xludf.DUMMYFUNCTION("""COMPUTED_VALUE"""),"AI is recession-proof")</f>
        <v>AI is recession-proof</v>
      </c>
      <c r="B294" s="10" t="str">
        <f>IFERROR(__xludf.DUMMYFUNCTION("""COMPUTED_VALUE"""),"AI has the capability to create efficiencies, improve business processes and drive growth immediately. Amidst warnings of a global recession, join this talk as Jeff explains what makes AI recession-proof. ")</f>
        <v>AI has the capability to create efficiencies, improve business processes and drive growth immediately. Amidst warnings of a global recession, join this talk as Jeff explains what makes AI recession-proof. </v>
      </c>
      <c r="C294" s="10" t="str">
        <f>IFERROR(__xludf.DUMMYFUNCTION("""COMPUTED_VALUE"""),"Corporate Innovation Summit")</f>
        <v>Corporate Innovation Summit</v>
      </c>
      <c r="D294" s="10" t="str">
        <f>IFERROR(__xludf.DUMMYFUNCTION("""COMPUTED_VALUE"""),"Jeff Wong")</f>
        <v>Jeff Wong</v>
      </c>
      <c r="E294" s="10" t="str">
        <f>IFERROR(__xludf.DUMMYFUNCTION("""COMPUTED_VALUE"""),"Jeff Wong")</f>
        <v>Jeff Wong</v>
      </c>
      <c r="F294" s="10" t="str">
        <f>IFERROR(__xludf.DUMMYFUNCTION("""COMPUTED_VALUE"""),"2019/11/06 12:25:00")</f>
        <v>2019/11/06 12:25:00</v>
      </c>
      <c r="G294" s="10" t="str">
        <f>IFERROR(__xludf.DUMMYFUNCTION("""COMPUTED_VALUE"""),"2019/11/06 12:40:00")</f>
        <v>2019/11/06 12:40:00</v>
      </c>
      <c r="H294" s="10" t="str">
        <f>IFERROR(__xludf.DUMMYFUNCTION("""COMPUTED_VALUE"""),"0356687d-90c2-43df-8c45-c8baeaf6e765")</f>
        <v>0356687d-90c2-43df-8c45-c8baeaf6e765</v>
      </c>
      <c r="I294" s="10" t="str">
        <f>IFERROR(__xludf.DUMMYFUNCTION("""COMPUTED_VALUE"""),"0356687d-90c2-43df-8c45-c8baeaf6e765")</f>
        <v>0356687d-90c2-43df-8c45-c8baeaf6e765</v>
      </c>
    </row>
    <row r="295">
      <c r="A295" s="10" t="str">
        <f>IFERROR(__xludf.DUMMYFUNCTION("""COMPUTED_VALUE"""),"The true meaning of free trade")</f>
        <v>The true meaning of free trade</v>
      </c>
      <c r="B295" s="10" t="str">
        <f>IFERROR(__xludf.DUMMYFUNCTION("""COMPUTED_VALUE"""),"Gert Sylvest, Tradeshift Inc, in conversation with Don Clark, discuss global trade accessibility issues and how the SaaS industry can help to solve these problems.")</f>
        <v>Gert Sylvest, Tradeshift Inc, in conversation with Don Clark, discuss global trade accessibility issues and how the SaaS industry can help to solve these problems.</v>
      </c>
      <c r="C295" s="10" t="str">
        <f>IFERROR(__xludf.DUMMYFUNCTION("""COMPUTED_VALUE"""),"SaaS Monster")</f>
        <v>SaaS Monster</v>
      </c>
      <c r="D295" s="10" t="str">
        <f>IFERROR(__xludf.DUMMYFUNCTION("""COMPUTED_VALUE"""),"Gert Sylvest and Don Clark")</f>
        <v>Gert Sylvest and Don Clark</v>
      </c>
      <c r="E295" s="10" t="str">
        <f>IFERROR(__xludf.DUMMYFUNCTION("""COMPUTED_VALUE"""),"Gert Sylvest,Don Clark")</f>
        <v>Gert Sylvest,Don Clark</v>
      </c>
      <c r="F295" s="10" t="str">
        <f>IFERROR(__xludf.DUMMYFUNCTION("""COMPUTED_VALUE"""),"2019/11/05 14:45:00")</f>
        <v>2019/11/05 14:45:00</v>
      </c>
      <c r="G295" s="10" t="str">
        <f>IFERROR(__xludf.DUMMYFUNCTION("""COMPUTED_VALUE"""),"2019/11/05 15:05:00")</f>
        <v>2019/11/05 15:05:00</v>
      </c>
      <c r="H295" s="10" t="str">
        <f>IFERROR(__xludf.DUMMYFUNCTION("""COMPUTED_VALUE"""),"42510510-abbe-4a6c-bb0e-e70f1ad98e55")</f>
        <v>42510510-abbe-4a6c-bb0e-e70f1ad98e55</v>
      </c>
      <c r="I295" s="10" t="str">
        <f>IFERROR(__xludf.DUMMYFUNCTION("""COMPUTED_VALUE"""),"42510510-abbe-4a6c-bb0e-e70f1ad98e55")</f>
        <v>42510510-abbe-4a6c-bb0e-e70f1ad98e55</v>
      </c>
    </row>
    <row r="296">
      <c r="A296" s="10" t="str">
        <f>IFERROR(__xludf.DUMMYFUNCTION("""COMPUTED_VALUE"""),"Evolution through courageous choices")</f>
        <v>Evolution through courageous choices</v>
      </c>
      <c r="B296" s="10" t="str">
        <f>IFERROR(__xludf.DUMMYFUNCTION("""COMPUTED_VALUE"""),"Jeroen Tas, Chief Innovation &amp; Strategy Officer at Philips, will discuss the transformation of Philips into a focused health technology company aimed to improve the lives of 3 billion people by 2030. Jeroen will outline the strategies that will make the w"&amp;"orld more healthy &amp; sustainable.")</f>
        <v>Jeroen Tas, Chief Innovation &amp; Strategy Officer at Philips, will discuss the transformation of Philips into a focused health technology company aimed to improve the lives of 3 billion people by 2030. Jeroen will outline the strategies that will make the world more healthy &amp; sustainable.</v>
      </c>
      <c r="C296" s="10" t="str">
        <f>IFERROR(__xludf.DUMMYFUNCTION("""COMPUTED_VALUE"""),"Corporate Innovation Summit")</f>
        <v>Corporate Innovation Summit</v>
      </c>
      <c r="D296" s="10" t="str">
        <f>IFERROR(__xludf.DUMMYFUNCTION("""COMPUTED_VALUE"""),"Jeroen Tas")</f>
        <v>Jeroen Tas</v>
      </c>
      <c r="E296" s="10" t="str">
        <f>IFERROR(__xludf.DUMMYFUNCTION("""COMPUTED_VALUE"""),"Jeroen Tas")</f>
        <v>Jeroen Tas</v>
      </c>
      <c r="F296" s="10" t="str">
        <f>IFERROR(__xludf.DUMMYFUNCTION("""COMPUTED_VALUE"""),"2019/11/07 15:20:00")</f>
        <v>2019/11/07 15:20:00</v>
      </c>
      <c r="G296" s="10" t="str">
        <f>IFERROR(__xludf.DUMMYFUNCTION("""COMPUTED_VALUE"""),"2019/11/07 15:35:00")</f>
        <v>2019/11/07 15:35:00</v>
      </c>
      <c r="H296" s="10" t="str">
        <f>IFERROR(__xludf.DUMMYFUNCTION("""COMPUTED_VALUE"""),"2d0c7b07-11fc-414f-a6b6-65f15b697eb4")</f>
        <v>2d0c7b07-11fc-414f-a6b6-65f15b697eb4</v>
      </c>
      <c r="I296" s="10" t="str">
        <f>IFERROR(__xludf.DUMMYFUNCTION("""COMPUTED_VALUE"""),"2d0c7b07-11fc-414f-a6b6-65f15b697eb4")</f>
        <v>2d0c7b07-11fc-414f-a6b6-65f15b697eb4</v>
      </c>
    </row>
    <row r="297">
      <c r="A297" s="10" t="str">
        <f>IFERROR(__xludf.DUMMYFUNCTION("""COMPUTED_VALUE"""),"Advancing privacy for users at Google and across the industry")</f>
        <v>Advancing privacy for users at Google and across the industry</v>
      </c>
      <c r="B297" s="10" t="str">
        <f>IFERROR(__xludf.DUMMYFUNCTION("""COMPUTED_VALUE"""),"In this talk, discover some of Google’s privacy-enhancing engineering efforts and what we learned along the way. This session will explore how recent technological advancements have advanced the state of the art and open new possibilities for privacy by d"&amp;"esign. Learn how to think outside the box and hear about best practices for your industry with privacy by default built-in.")</f>
        <v>In this talk, discover some of Google’s privacy-enhancing engineering efforts and what we learned along the way. This session will explore how recent technological advancements have advanced the state of the art and open new possibilities for privacy by design. Learn how to think outside the box and hear about best practices for your industry with privacy by default built-in.</v>
      </c>
      <c r="C297" s="10" t="str">
        <f>IFERROR(__xludf.DUMMYFUNCTION("""COMPUTED_VALUE"""),"FullSTK")</f>
        <v>FullSTK</v>
      </c>
      <c r="D297" s="10" t="str">
        <f>IFERROR(__xludf.DUMMYFUNCTION("""COMPUTED_VALUE"""),"Stephan Micklitz")</f>
        <v>Stephan Micklitz</v>
      </c>
      <c r="E297" s="10" t="str">
        <f>IFERROR(__xludf.DUMMYFUNCTION("""COMPUTED_VALUE"""),"Stephan Micklitz")</f>
        <v>Stephan Micklitz</v>
      </c>
      <c r="F297" s="10" t="str">
        <f>IFERROR(__xludf.DUMMYFUNCTION("""COMPUTED_VALUE"""),"2019/11/07 13:15:00")</f>
        <v>2019/11/07 13:15:00</v>
      </c>
      <c r="G297" s="10" t="str">
        <f>IFERROR(__xludf.DUMMYFUNCTION("""COMPUTED_VALUE"""),"2019/11/07 13:35:00")</f>
        <v>2019/11/07 13:35:00</v>
      </c>
      <c r="H297" s="10" t="str">
        <f>IFERROR(__xludf.DUMMYFUNCTION("""COMPUTED_VALUE"""),"e528c4a9-0d87-4472-b5c2-3de9c887a823")</f>
        <v>e528c4a9-0d87-4472-b5c2-3de9c887a823</v>
      </c>
      <c r="I297" s="10" t="str">
        <f>IFERROR(__xludf.DUMMYFUNCTION("""COMPUTED_VALUE"""),"e528c4a9-0d87-4472-b5c2-3de9c887a823")</f>
        <v>e528c4a9-0d87-4472-b5c2-3de9c887a823</v>
      </c>
    </row>
    <row r="298">
      <c r="A298" s="10" t="str">
        <f>IFERROR(__xludf.DUMMYFUNCTION("""COMPUTED_VALUE"""),"Trust as a driver for growth: How to use a disaster in your favour")</f>
        <v>Trust as a driver for growth: How to use a disaster in your favour</v>
      </c>
      <c r="B298" s="10" t="str">
        <f>IFERROR(__xludf.DUMMYFUNCTION("""COMPUTED_VALUE"""),"Co-founder of Bitwala, Benjamin will discuss how version one was forced offline when two partners fell through. Rather than giving up, he'll explain how they handled the situation in a way that acted as a springboard for the launch of Bitwala 2.0.")</f>
        <v>Co-founder of Bitwala, Benjamin will discuss how version one was forced offline when two partners fell through. Rather than giving up, he'll explain how they handled the situation in a way that acted as a springboard for the launch of Bitwala 2.0.</v>
      </c>
      <c r="C298" s="10" t="str">
        <f>IFERROR(__xludf.DUMMYFUNCTION("""COMPUTED_VALUE"""),"Growth Summit")</f>
        <v>Growth Summit</v>
      </c>
      <c r="D298" s="10" t="str">
        <f>IFERROR(__xludf.DUMMYFUNCTION("""COMPUTED_VALUE"""),"Ben Jones")</f>
        <v>Ben Jones</v>
      </c>
      <c r="E298" s="10" t="str">
        <f>IFERROR(__xludf.DUMMYFUNCTION("""COMPUTED_VALUE"""),"Ben Jones")</f>
        <v>Ben Jones</v>
      </c>
      <c r="F298" s="10" t="str">
        <f>IFERROR(__xludf.DUMMYFUNCTION("""COMPUTED_VALUE"""),"2019/11/05 10:46:00")</f>
        <v>2019/11/05 10:46:00</v>
      </c>
      <c r="G298" s="10" t="str">
        <f>IFERROR(__xludf.DUMMYFUNCTION("""COMPUTED_VALUE"""),"2019/11/05 10:50:00")</f>
        <v>2019/11/05 10:50:00</v>
      </c>
      <c r="H298" s="10" t="str">
        <f>IFERROR(__xludf.DUMMYFUNCTION("""COMPUTED_VALUE"""),"aa39d378-3d01-4b2a-be7b-cde7bfa84f91")</f>
        <v>aa39d378-3d01-4b2a-be7b-cde7bfa84f91</v>
      </c>
      <c r="I298" s="10" t="str">
        <f>IFERROR(__xludf.DUMMYFUNCTION("""COMPUTED_VALUE"""),"aa39d378-3d01-4b2a-be7b-cde7bfa84f91")</f>
        <v>aa39d378-3d01-4b2a-be7b-cde7bfa84f91</v>
      </c>
    </row>
    <row r="299">
      <c r="A299" s="10" t="str">
        <f>IFERROR(__xludf.DUMMYFUNCTION("""COMPUTED_VALUE"""),"Strategy and soul: Creating MuleSoft ")</f>
        <v>Strategy and soul: Creating MuleSoft </v>
      </c>
      <c r="B299" s="10" t="str">
        <f>IFERROR(__xludf.DUMMYFUNCTION("""COMPUTED_VALUE"""),"We talk to one of tech's leading founders about the state of the industry, investment trends, how to build an inspiring culture and more.")</f>
        <v>We talk to one of tech's leading founders about the state of the industry, investment trends, how to build an inspiring culture and more.</v>
      </c>
      <c r="C299" s="10" t="str">
        <f>IFERROR(__xludf.DUMMYFUNCTION("""COMPUTED_VALUE"""),"Startup University")</f>
        <v>Startup University</v>
      </c>
      <c r="D299" s="10" t="str">
        <f>IFERROR(__xludf.DUMMYFUNCTION("""COMPUTED_VALUE"""),"Ross Mason and Rosie Kropp")</f>
        <v>Ross Mason and Rosie Kropp</v>
      </c>
      <c r="E299" s="10" t="str">
        <f>IFERROR(__xludf.DUMMYFUNCTION("""COMPUTED_VALUE"""),"Ross Mason,Rosie Kropp")</f>
        <v>Ross Mason,Rosie Kropp</v>
      </c>
      <c r="F299" s="10" t="str">
        <f>IFERROR(__xludf.DUMMYFUNCTION("""COMPUTED_VALUE"""),"2019/11/05 15:05:00")</f>
        <v>2019/11/05 15:05:00</v>
      </c>
      <c r="G299" s="10" t="str">
        <f>IFERROR(__xludf.DUMMYFUNCTION("""COMPUTED_VALUE"""),"2019/11/05 15:25:00")</f>
        <v>2019/11/05 15:25:00</v>
      </c>
      <c r="H299" s="10" t="str">
        <f>IFERROR(__xludf.DUMMYFUNCTION("""COMPUTED_VALUE"""),"4db2908f-6445-4549-9a3c-d872c15a2c68")</f>
        <v>4db2908f-6445-4549-9a3c-d872c15a2c68</v>
      </c>
      <c r="I299" s="10" t="str">
        <f>IFERROR(__xludf.DUMMYFUNCTION("""COMPUTED_VALUE"""),"4db2908f-6445-4549-9a3c-d872c15a2c68")</f>
        <v>4db2908f-6445-4549-9a3c-d872c15a2c68</v>
      </c>
    </row>
    <row r="300">
      <c r="A300" s="10" t="str">
        <f>IFERROR(__xludf.DUMMYFUNCTION("""COMPUTED_VALUE"""),"Changing the world 1% at a time")</f>
        <v>Changing the world 1% at a time</v>
      </c>
      <c r="B300" s="10" t="str">
        <f>IFERROR(__xludf.DUMMYFUNCTION("""COMPUTED_VALUE"""),"")</f>
        <v/>
      </c>
      <c r="C300" s="10" t="str">
        <f>IFERROR(__xludf.DUMMYFUNCTION("""COMPUTED_VALUE"""),"Centre Stage")</f>
        <v>Centre Stage</v>
      </c>
      <c r="D300" s="10" t="str">
        <f>IFERROR(__xludf.DUMMYFUNCTION("""COMPUTED_VALUE"""),"Eric Cantona and Jürgen Griesbeck")</f>
        <v>Eric Cantona and Jürgen Griesbeck</v>
      </c>
      <c r="E300" s="10" t="str">
        <f>IFERROR(__xludf.DUMMYFUNCTION("""COMPUTED_VALUE"""),"Eric Cantona,Jürgen Griesbeck")</f>
        <v>Eric Cantona,Jürgen Griesbeck</v>
      </c>
      <c r="F300" s="10" t="str">
        <f>IFERROR(__xludf.DUMMYFUNCTION("""COMPUTED_VALUE"""),"2019/11/05 16:25:00")</f>
        <v>2019/11/05 16:25:00</v>
      </c>
      <c r="G300" s="10" t="str">
        <f>IFERROR(__xludf.DUMMYFUNCTION("""COMPUTED_VALUE"""),"2019/11/05 16:40:00")</f>
        <v>2019/11/05 16:40:00</v>
      </c>
      <c r="H300" s="10" t="str">
        <f>IFERROR(__xludf.DUMMYFUNCTION("""COMPUTED_VALUE"""),"6b0de29c-adf7-41cc-bacf-9d6c24de379b")</f>
        <v>6b0de29c-adf7-41cc-bacf-9d6c24de379b</v>
      </c>
      <c r="I300" s="10" t="str">
        <f>IFERROR(__xludf.DUMMYFUNCTION("""COMPUTED_VALUE"""),"6b0de29c-adf7-41cc-bacf-9d6c24de379b")</f>
        <v>6b0de29c-adf7-41cc-bacf-9d6c24de379b</v>
      </c>
    </row>
    <row r="301">
      <c r="A301" s="10" t="str">
        <f>IFERROR(__xludf.DUMMYFUNCTION("""COMPUTED_VALUE"""),"View from the kingdom")</f>
        <v>View from the kingdom</v>
      </c>
      <c r="B301" s="10" t="str">
        <f>IFERROR(__xludf.DUMMYFUNCTION("""COMPUTED_VALUE"""),"In this talk, hear from the new president of King on mobile gaming and what's next for the Candy Crush creators. ")</f>
        <v>In this talk, hear from the new president of King on mobile gaming and what's next for the Candy Crush creators. </v>
      </c>
      <c r="C301" s="10" t="str">
        <f>IFERROR(__xludf.DUMMYFUNCTION("""COMPUTED_VALUE"""),"ContentMakers")</f>
        <v>ContentMakers</v>
      </c>
      <c r="D301" s="10" t="str">
        <f>IFERROR(__xludf.DUMMYFUNCTION("""COMPUTED_VALUE"""),"Humam Sakhnini and Dave Thier")</f>
        <v>Humam Sakhnini and Dave Thier</v>
      </c>
      <c r="E301" s="10" t="str">
        <f>IFERROR(__xludf.DUMMYFUNCTION("""COMPUTED_VALUE"""),"Humam Sakhnini,Dave Thier")</f>
        <v>Humam Sakhnini,Dave Thier</v>
      </c>
      <c r="F301" s="10" t="str">
        <f>IFERROR(__xludf.DUMMYFUNCTION("""COMPUTED_VALUE"""),"2019/11/06 12:10:00")</f>
        <v>2019/11/06 12:10:00</v>
      </c>
      <c r="G301" s="10" t="str">
        <f>IFERROR(__xludf.DUMMYFUNCTION("""COMPUTED_VALUE"""),"2019/11/06 12:30:00")</f>
        <v>2019/11/06 12:30:00</v>
      </c>
      <c r="H301" s="10" t="str">
        <f>IFERROR(__xludf.DUMMYFUNCTION("""COMPUTED_VALUE"""),"9d8d1d98-d621-4eea-8268-0415b6905e5b")</f>
        <v>9d8d1d98-d621-4eea-8268-0415b6905e5b</v>
      </c>
      <c r="I301" s="10" t="str">
        <f>IFERROR(__xludf.DUMMYFUNCTION("""COMPUTED_VALUE"""),"9d8d1d98-d621-4eea-8268-0415b6905e5b")</f>
        <v>9d8d1d98-d621-4eea-8268-0415b6905e5b</v>
      </c>
    </row>
    <row r="302">
      <c r="A302" s="10" t="str">
        <f>IFERROR(__xludf.DUMMYFUNCTION("""COMPUTED_VALUE"""),"Building an empire from your garage")</f>
        <v>Building an empire from your garage</v>
      </c>
      <c r="B302" s="10" t="str">
        <f>IFERROR(__xludf.DUMMYFUNCTION("""COMPUTED_VALUE"""),"A lot of startups claim to have been started in a garage, but Christian and Halldora von Koenigsegg built a supercar empire from theirs. What lessons did they learn along the way?")</f>
        <v>A lot of startups claim to have been started in a garage, but Christian and Halldora von Koenigsegg built a supercar empire from theirs. What lessons did they learn along the way?</v>
      </c>
      <c r="C302" s="10" t="str">
        <f>IFERROR(__xludf.DUMMYFUNCTION("""COMPUTED_VALUE"""),"Auto/Tech &amp; TalkRobot")</f>
        <v>Auto/Tech &amp; TalkRobot</v>
      </c>
      <c r="D302" s="10" t="str">
        <f>IFERROR(__xludf.DUMMYFUNCTION("""COMPUTED_VALUE"""),"Halldora von Koenigsegg")</f>
        <v>Halldora von Koenigsegg</v>
      </c>
      <c r="E302" s="10" t="str">
        <f>IFERROR(__xludf.DUMMYFUNCTION("""COMPUTED_VALUE"""),"Halldora von Koenigsegg")</f>
        <v>Halldora von Koenigsegg</v>
      </c>
      <c r="F302" s="10" t="str">
        <f>IFERROR(__xludf.DUMMYFUNCTION("""COMPUTED_VALUE"""),"2019/11/05 15:05:00")</f>
        <v>2019/11/05 15:05:00</v>
      </c>
      <c r="G302" s="10" t="str">
        <f>IFERROR(__xludf.DUMMYFUNCTION("""COMPUTED_VALUE"""),"2019/11/05 15:25:00")</f>
        <v>2019/11/05 15:25:00</v>
      </c>
      <c r="H302" s="10" t="str">
        <f>IFERROR(__xludf.DUMMYFUNCTION("""COMPUTED_VALUE"""),"64ef74ee-7a05-48e7-b330-5edc2a0f563f")</f>
        <v>64ef74ee-7a05-48e7-b330-5edc2a0f563f</v>
      </c>
      <c r="I302" s="10" t="str">
        <f>IFERROR(__xludf.DUMMYFUNCTION("""COMPUTED_VALUE"""),"64ef74ee-7a05-48e7-b330-5edc2a0f563f")</f>
        <v>64ef74ee-7a05-48e7-b330-5edc2a0f563f</v>
      </c>
    </row>
    <row r="303">
      <c r="A303" s="10" t="str">
        <f>IFERROR(__xludf.DUMMYFUNCTION("""COMPUTED_VALUE"""),"Investing in mobility. Are we over the hype? ")</f>
        <v>Investing in mobility. Are we over the hype? </v>
      </c>
      <c r="B303" s="10" t="str">
        <f>IFERROR(__xludf.DUMMYFUNCTION("""COMPUTED_VALUE"""),"Investing in Mobility has been hot over the last few years with the market commitment to deploy autonomous vehicles this decade. But with a slow down in the market with the realisation that autonomous is not as close as anticipated; are we over the hype? "&amp;"And if so, how does this affect the mobility startup ecosystem and how can we as investors manage risk in this space and support our companies. ")</f>
        <v>Investing in Mobility has been hot over the last few years with the market commitment to deploy autonomous vehicles this decade. But with a slow down in the market with the realisation that autonomous is not as close as anticipated; are we over the hype? And if so, how does this affect the mobility startup ecosystem and how can we as investors manage risk in this space and support our companies. </v>
      </c>
      <c r="C303" s="10" t="str">
        <f>IFERROR(__xludf.DUMMYFUNCTION("""COMPUTED_VALUE"""),"Venture stage")</f>
        <v>Venture stage</v>
      </c>
      <c r="D303" s="10" t="str">
        <f>IFERROR(__xludf.DUMMYFUNCTION("""COMPUTED_VALUE"""),"Olaf Sakkers, Laly David, Philipp von Hagen and Alison Griswold")</f>
        <v>Olaf Sakkers, Laly David, Philipp von Hagen and Alison Griswold</v>
      </c>
      <c r="E303" s="10" t="str">
        <f>IFERROR(__xludf.DUMMYFUNCTION("""COMPUTED_VALUE"""),"Olaf Sakkers,Laly David,Philipp von Hagen,Alison Griswold")</f>
        <v>Olaf Sakkers,Laly David,Philipp von Hagen,Alison Griswold</v>
      </c>
      <c r="F303" s="10" t="str">
        <f>IFERROR(__xludf.DUMMYFUNCTION("""COMPUTED_VALUE"""),"2019/11/06 15:35:00")</f>
        <v>2019/11/06 15:35:00</v>
      </c>
      <c r="G303" s="10" t="str">
        <f>IFERROR(__xludf.DUMMYFUNCTION("""COMPUTED_VALUE"""),"2019/11/06 16:00:00")</f>
        <v>2019/11/06 16:00:00</v>
      </c>
      <c r="H303" s="10" t="str">
        <f>IFERROR(__xludf.DUMMYFUNCTION("""COMPUTED_VALUE"""),"06701bcf-f18e-43b0-a03a-d05f9d3c065f")</f>
        <v>06701bcf-f18e-43b0-a03a-d05f9d3c065f</v>
      </c>
      <c r="I303" s="10" t="str">
        <f>IFERROR(__xludf.DUMMYFUNCTION("""COMPUTED_VALUE"""),"06701bcf-f18e-43b0-a03a-d05f9d3c065f")</f>
        <v>06701bcf-f18e-43b0-a03a-d05f9d3c065f</v>
      </c>
    </row>
    <row r="304">
      <c r="A304" s="10" t="str">
        <f>IFERROR(__xludf.DUMMYFUNCTION("""COMPUTED_VALUE"""),"Health, home and happiness")</f>
        <v>Health, home and happiness</v>
      </c>
      <c r="B304" s="10" t="str">
        <f>IFERROR(__xludf.DUMMYFUNCTION("""COMPUTED_VALUE"""),"Happy brain, happy body. Happy heart, happy home. Right? The more we chase progress,  social media ideals and always-on engagement, the further it seems to take us from the one thing we all desperately want – a little peace of mind. This session gathers w"&amp;"orld experts in wellness to ask: is there a definitive path to wellbeing, and is tech the right road there?")</f>
        <v>Happy brain, happy body. Happy heart, happy home. Right? The more we chase progress,  social media ideals and always-on engagement, the further it seems to take us from the one thing we all desperately want – a little peace of mind. This session gathers world experts in wellness to ask: is there a definitive path to wellbeing, and is tech the right road there?</v>
      </c>
      <c r="C304" s="10" t="str">
        <f>IFERROR(__xludf.DUMMYFUNCTION("""COMPUTED_VALUE"""),"HealthConf")</f>
        <v>HealthConf</v>
      </c>
      <c r="D304" s="10" t="str">
        <f>IFERROR(__xludf.DUMMYFUNCTION("""COMPUTED_VALUE"""),"Dame Til Wykes, Daniel Sobhani, Alexandra Zatarain and Alyssa Newcomb")</f>
        <v>Dame Til Wykes, Daniel Sobhani, Alexandra Zatarain and Alyssa Newcomb</v>
      </c>
      <c r="E304" s="10" t="str">
        <f>IFERROR(__xludf.DUMMYFUNCTION("""COMPUTED_VALUE"""),"Dame Til Wykes,Daniel Sobhani,Alexandra Zatarain,Alyssa Newcomb")</f>
        <v>Dame Til Wykes,Daniel Sobhani,Alexandra Zatarain,Alyssa Newcomb</v>
      </c>
      <c r="F304" s="10" t="str">
        <f>IFERROR(__xludf.DUMMYFUNCTION("""COMPUTED_VALUE"""),"2019/11/07 13:40:00")</f>
        <v>2019/11/07 13:40:00</v>
      </c>
      <c r="G304" s="10" t="str">
        <f>IFERROR(__xludf.DUMMYFUNCTION("""COMPUTED_VALUE"""),"2019/11/07 14:05:00")</f>
        <v>2019/11/07 14:05:00</v>
      </c>
      <c r="H304" s="10" t="str">
        <f>IFERROR(__xludf.DUMMYFUNCTION("""COMPUTED_VALUE"""),"143137ca-e514-4797-bd61-753f1a693c08")</f>
        <v>143137ca-e514-4797-bd61-753f1a693c08</v>
      </c>
      <c r="I304" s="10" t="str">
        <f>IFERROR(__xludf.DUMMYFUNCTION("""COMPUTED_VALUE"""),"143137ca-e514-4797-bd61-753f1a693c08")</f>
        <v>143137ca-e514-4797-bd61-753f1a693c08</v>
      </c>
    </row>
    <row r="305">
      <c r="A305" s="10" t="str">
        <f>IFERROR(__xludf.DUMMYFUNCTION("""COMPUTED_VALUE"""),"The promise and peril of the digital age")</f>
        <v>The promise and peril of the digital age</v>
      </c>
      <c r="B305" s="10" t="str">
        <f>IFERROR(__xludf.DUMMYFUNCTION("""COMPUTED_VALUE"""),"The world has reached an inflection point in which digital technology is being used as both a powerful tool and formidable weapon. Brad will discuss new approaches to manage this era and the steps that companies of all sizes can take to accept greater res"&amp;"ponsibility and partner with governments to shape the future.  ")</f>
        <v>The world has reached an inflection point in which digital technology is being used as both a powerful tool and formidable weapon. Brad will discuss new approaches to manage this era and the steps that companies of all sizes can take to accept greater responsibility and partner with governments to shape the future.  </v>
      </c>
      <c r="C305" s="10" t="str">
        <f>IFERROR(__xludf.DUMMYFUNCTION("""COMPUTED_VALUE"""),"Centre Stage")</f>
        <v>Centre Stage</v>
      </c>
      <c r="D305" s="10" t="str">
        <f>IFERROR(__xludf.DUMMYFUNCTION("""COMPUTED_VALUE"""),"Brad Smith")</f>
        <v>Brad Smith</v>
      </c>
      <c r="E305" s="10" t="str">
        <f>IFERROR(__xludf.DUMMYFUNCTION("""COMPUTED_VALUE"""),"Brad Smith")</f>
        <v>Brad Smith</v>
      </c>
      <c r="F305" s="10" t="str">
        <f>IFERROR(__xludf.DUMMYFUNCTION("""COMPUTED_VALUE"""),"2019/11/06 10:30:00")</f>
        <v>2019/11/06 10:30:00</v>
      </c>
      <c r="G305" s="10" t="str">
        <f>IFERROR(__xludf.DUMMYFUNCTION("""COMPUTED_VALUE"""),"2019/11/06 10:55:00")</f>
        <v>2019/11/06 10:55:00</v>
      </c>
      <c r="H305" s="10" t="str">
        <f>IFERROR(__xludf.DUMMYFUNCTION("""COMPUTED_VALUE"""),"3899947d-2af3-4f5d-a770-f358abce0435")</f>
        <v>3899947d-2af3-4f5d-a770-f358abce0435</v>
      </c>
      <c r="I305" s="10" t="str">
        <f>IFERROR(__xludf.DUMMYFUNCTION("""COMPUTED_VALUE"""),"3899947d-2af3-4f5d-a770-f358abce0435")</f>
        <v>3899947d-2af3-4f5d-a770-f358abce0435</v>
      </c>
    </row>
    <row r="306">
      <c r="A306" s="10" t="str">
        <f>IFERROR(__xludf.DUMMYFUNCTION("""COMPUTED_VALUE"""),"The secrets behind the largest funding in conversational AI")</f>
        <v>The secrets behind the largest funding in conversational AI</v>
      </c>
      <c r="B306" s="10" t="str">
        <f>IFERROR(__xludf.DUMMYFUNCTION("""COMPUTED_VALUE"""),"Clinc co-founder and COO, Dr. Lingjia will share how Clinc took its revolutionary conversational AI technology and built a production-grade platform that is live in front of over 30m users at some of the world’s largest financial institutions.  It led to "&amp;"the largest series B ever raised in the history of conversational AI startups.")</f>
        <v>Clinc co-founder and COO, Dr. Lingjia will share how Clinc took its revolutionary conversational AI technology and built a production-grade platform that is live in front of over 30m users at some of the world’s largest financial institutions.  It led to the largest series B ever raised in the history of conversational AI startups.</v>
      </c>
      <c r="C306" s="10" t="str">
        <f>IFERROR(__xludf.DUMMYFUNCTION("""COMPUTED_VALUE"""),"Growth Summit")</f>
        <v>Growth Summit</v>
      </c>
      <c r="D306" s="10" t="str">
        <f>IFERROR(__xludf.DUMMYFUNCTION("""COMPUTED_VALUE"""),"Lingjia Tang")</f>
        <v>Lingjia Tang</v>
      </c>
      <c r="E306" s="10" t="str">
        <f>IFERROR(__xludf.DUMMYFUNCTION("""COMPUTED_VALUE"""),"Lingjia Tang")</f>
        <v>Lingjia Tang</v>
      </c>
      <c r="F306" s="10" t="str">
        <f>IFERROR(__xludf.DUMMYFUNCTION("""COMPUTED_VALUE"""),"2019/11/07 12:41:00")</f>
        <v>2019/11/07 12:41:00</v>
      </c>
      <c r="G306" s="10" t="str">
        <f>IFERROR(__xludf.DUMMYFUNCTION("""COMPUTED_VALUE"""),"2019/11/07 12:52:00")</f>
        <v>2019/11/07 12:52:00</v>
      </c>
      <c r="H306" s="10" t="str">
        <f>IFERROR(__xludf.DUMMYFUNCTION("""COMPUTED_VALUE"""),"e8048b16-527a-4d38-83f6-987494350d07")</f>
        <v>e8048b16-527a-4d38-83f6-987494350d07</v>
      </c>
      <c r="I306" s="10" t="str">
        <f>IFERROR(__xludf.DUMMYFUNCTION("""COMPUTED_VALUE"""),"e8048b16-527a-4d38-83f6-987494350d07")</f>
        <v>e8048b16-527a-4d38-83f6-987494350d07</v>
      </c>
    </row>
    <row r="307">
      <c r="A307" s="10" t="str">
        <f>IFERROR(__xludf.DUMMYFUNCTION("""COMPUTED_VALUE"""),"Machine Demo Round 3")</f>
        <v>Machine Demo Round 3</v>
      </c>
      <c r="B307" s="10"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307" s="10" t="str">
        <f>IFERROR(__xludf.DUMMYFUNCTION("""COMPUTED_VALUE"""),"Machine Demo")</f>
        <v>Machine Demo</v>
      </c>
      <c r="D307" s="10" t="str">
        <f>IFERROR(__xludf.DUMMYFUNCTION("""COMPUTED_VALUE"""),"Ilya Velder, eunkyeong kwon, Lucas Malanda, Dennis Poon, Clemens Kirner and Michael Schöggl")</f>
        <v>Ilya Velder, eunkyeong kwon, Lucas Malanda, Dennis Poon, Clemens Kirner and Michael Schöggl</v>
      </c>
      <c r="E307" s="10" t="str">
        <f>IFERROR(__xludf.DUMMYFUNCTION("""COMPUTED_VALUE"""),"Ilya Velder,eunkyeong kwon,Lucas Malanda,Dennis Poon,Clemens Kirner,Michael Schöggl")</f>
        <v>Ilya Velder,eunkyeong kwon,Lucas Malanda,Dennis Poon,Clemens Kirner,Michael Schöggl</v>
      </c>
      <c r="F307" s="10" t="str">
        <f>IFERROR(__xludf.DUMMYFUNCTION("""COMPUTED_VALUE"""),"2019/11/07 11:15:00")</f>
        <v>2019/11/07 11:15:00</v>
      </c>
      <c r="G307" s="10" t="str">
        <f>IFERROR(__xludf.DUMMYFUNCTION("""COMPUTED_VALUE"""),"2019/11/07 12:15:00")</f>
        <v>2019/11/07 12:15:00</v>
      </c>
      <c r="H307" s="10" t="str">
        <f>IFERROR(__xludf.DUMMYFUNCTION("""COMPUTED_VALUE"""),"05c3d842-a499-4581-b7ba-daf158df47a0")</f>
        <v>05c3d842-a499-4581-b7ba-daf158df47a0</v>
      </c>
      <c r="I307" s="10" t="str">
        <f>IFERROR(__xludf.DUMMYFUNCTION("""COMPUTED_VALUE"""),"05c3d842-a499-4581-b7ba-daf158df47a0")</f>
        <v>05c3d842-a499-4581-b7ba-daf158df47a0</v>
      </c>
    </row>
    <row r="308">
      <c r="A308" s="10" t="str">
        <f>IFERROR(__xludf.DUMMYFUNCTION("""COMPUTED_VALUE"""),"Lunch break")</f>
        <v>Lunch break</v>
      </c>
      <c r="B308" s="10" t="str">
        <f>IFERROR(__xludf.DUMMYFUNCTION("""COMPUTED_VALUE"""),"")</f>
        <v/>
      </c>
      <c r="C308" s="10" t="str">
        <f>IFERROR(__xludf.DUMMYFUNCTION("""COMPUTED_VALUE"""),"SaaS Monster")</f>
        <v>SaaS Monster</v>
      </c>
      <c r="D308" s="10" t="str">
        <f>IFERROR(__xludf.DUMMYFUNCTION("""COMPUTED_VALUE"""),"")</f>
        <v/>
      </c>
      <c r="E308" s="10" t="str">
        <f>IFERROR(__xludf.DUMMYFUNCTION("""COMPUTED_VALUE"""),"")</f>
        <v/>
      </c>
      <c r="F308" s="10" t="str">
        <f>IFERROR(__xludf.DUMMYFUNCTION("""COMPUTED_VALUE"""),"2019/11/06 12:45:00")</f>
        <v>2019/11/06 12:45:00</v>
      </c>
      <c r="G308" s="10" t="str">
        <f>IFERROR(__xludf.DUMMYFUNCTION("""COMPUTED_VALUE"""),"2019/11/06 13:30:00")</f>
        <v>2019/11/06 13:30:00</v>
      </c>
      <c r="H308" s="10" t="str">
        <f>IFERROR(__xludf.DUMMYFUNCTION("""COMPUTED_VALUE"""),"37351a59-e19e-47dc-9537-3f9a33efef30")</f>
        <v>37351a59-e19e-47dc-9537-3f9a33efef30</v>
      </c>
      <c r="I308" s="10" t="str">
        <f>IFERROR(__xludf.DUMMYFUNCTION("""COMPUTED_VALUE"""),"37351a59-e19e-47dc-9537-3f9a33efef30")</f>
        <v>37351a59-e19e-47dc-9537-3f9a33efef30</v>
      </c>
    </row>
    <row r="309">
      <c r="A309" s="10" t="str">
        <f>IFERROR(__xludf.DUMMYFUNCTION("""COMPUTED_VALUE"""),"How to win over a developer")</f>
        <v>How to win over a developer</v>
      </c>
      <c r="B309" s="10" t="str">
        <f>IFERROR(__xludf.DUMMYFUNCTION("""COMPUTED_VALUE"""),"The first step for many technology startups is to build a product with the right fit in the market. But what happens when your target customers are developers? Christina Saas, the co-founder of Andela, in conversation with Rob Pegoraro of Yahoo! Finance, "&amp;"discusses why developers need a lot more than just a great product and how to get them on board.")</f>
        <v>The first step for many technology startups is to build a product with the right fit in the market. But what happens when your target customers are developers? Christina Saas, the co-founder of Andela, in conversation with Rob Pegoraro of Yahoo! Finance, discusses why developers need a lot more than just a great product and how to get them on board.</v>
      </c>
      <c r="C309" s="10" t="str">
        <f>IFERROR(__xludf.DUMMYFUNCTION("""COMPUTED_VALUE"""),"FullSTK")</f>
        <v>FullSTK</v>
      </c>
      <c r="D309" s="10" t="str">
        <f>IFERROR(__xludf.DUMMYFUNCTION("""COMPUTED_VALUE"""),"Christina Sass and Rob Pegoraro")</f>
        <v>Christina Sass and Rob Pegoraro</v>
      </c>
      <c r="E309" s="10" t="str">
        <f>IFERROR(__xludf.DUMMYFUNCTION("""COMPUTED_VALUE"""),"Christina Sass,Rob Pegoraro")</f>
        <v>Christina Sass,Rob Pegoraro</v>
      </c>
      <c r="F309" s="10" t="str">
        <f>IFERROR(__xludf.DUMMYFUNCTION("""COMPUTED_VALUE"""),"2019/11/07 11:55:00")</f>
        <v>2019/11/07 11:55:00</v>
      </c>
      <c r="G309" s="10" t="str">
        <f>IFERROR(__xludf.DUMMYFUNCTION("""COMPUTED_VALUE"""),"2019/11/07 12:15:00")</f>
        <v>2019/11/07 12:15:00</v>
      </c>
      <c r="H309" s="10" t="str">
        <f>IFERROR(__xludf.DUMMYFUNCTION("""COMPUTED_VALUE"""),"45c790df-7ce6-4e8e-b4cf-65dab2f74bac")</f>
        <v>45c790df-7ce6-4e8e-b4cf-65dab2f74bac</v>
      </c>
      <c r="I309" s="10" t="str">
        <f>IFERROR(__xludf.DUMMYFUNCTION("""COMPUTED_VALUE"""),"45c790df-7ce6-4e8e-b4cf-65dab2f74bac")</f>
        <v>45c790df-7ce6-4e8e-b4cf-65dab2f74bac</v>
      </c>
    </row>
    <row r="310">
      <c r="A310" s="10" t="str">
        <f>IFERROR(__xludf.DUMMYFUNCTION("""COMPUTED_VALUE"""),"Powering disruptive innovation")</f>
        <v>Powering disruptive innovation</v>
      </c>
      <c r="B310" s="10" t="str">
        <f>IFERROR(__xludf.DUMMYFUNCTION("""COMPUTED_VALUE"""),"By 2040, it is estimated there will be 80 billion connected devices. That’s driving disruption across every industry. The future requires us to move beyond disruption and beyond devices. We need new solutions – ones that connect data and devices in ways t"&amp;"hat improve our experience and the world at large.")</f>
        <v>By 2040, it is estimated there will be 80 billion connected devices. That’s driving disruption across every industry. The future requires us to move beyond disruption and beyond devices. We need new solutions – ones that connect data and devices in ways that improve our experience and the world at large.</v>
      </c>
      <c r="C310" s="10" t="str">
        <f>IFERROR(__xludf.DUMMYFUNCTION("""COMPUTED_VALUE"""),"Corporate Innovation Summit")</f>
        <v>Corporate Innovation Summit</v>
      </c>
      <c r="D310" s="10" t="str">
        <f>IFERROR(__xludf.DUMMYFUNCTION("""COMPUTED_VALUE"""),"Paul Walsh")</f>
        <v>Paul Walsh</v>
      </c>
      <c r="E310" s="10" t="str">
        <f>IFERROR(__xludf.DUMMYFUNCTION("""COMPUTED_VALUE"""),"Paul Walsh")</f>
        <v>Paul Walsh</v>
      </c>
      <c r="F310" s="10" t="str">
        <f>IFERROR(__xludf.DUMMYFUNCTION("""COMPUTED_VALUE"""),"2019/11/05 13:40:00")</f>
        <v>2019/11/05 13:40:00</v>
      </c>
      <c r="G310" s="10" t="str">
        <f>IFERROR(__xludf.DUMMYFUNCTION("""COMPUTED_VALUE"""),"2019/11/05 14:00:00")</f>
        <v>2019/11/05 14:00:00</v>
      </c>
      <c r="H310" s="10" t="str">
        <f>IFERROR(__xludf.DUMMYFUNCTION("""COMPUTED_VALUE"""),"8cb35e11-4183-4853-9d46-c1dca65a3b36")</f>
        <v>8cb35e11-4183-4853-9d46-c1dca65a3b36</v>
      </c>
      <c r="I310" s="10" t="str">
        <f>IFERROR(__xludf.DUMMYFUNCTION("""COMPUTED_VALUE"""),"8cb35e11-4183-4853-9d46-c1dca65a3b36")</f>
        <v>8cb35e11-4183-4853-9d46-c1dca65a3b36</v>
      </c>
    </row>
    <row r="311">
      <c r="A311" s="10" t="str">
        <f>IFERROR(__xludf.DUMMYFUNCTION("""COMPUTED_VALUE"""),"The Web Summit Innovation in Sport Award: Ronaldo, Real Valladolid")</f>
        <v>The Web Summit Innovation in Sport Award: Ronaldo, Real Valladolid</v>
      </c>
      <c r="B311" s="10" t="str">
        <f>IFERROR(__xludf.DUMMYFUNCTION("""COMPUTED_VALUE"""),"The Web Summit Innovation In Sport Award is the international mark of excellence in the sports business community, it recognises people and organisations that have successfully incorporated technology in the pursuit of excellence. 
This year we honour "&amp;"Brazil great Ronaldo and Real Valladolid, the two time World Cup winner, two time Ballon d’Or winner, four time FIFA World Player of the Year, three time World Soccer Player of the Year, former UEFA Club Footballer of the Year and Golden Ball winner will "&amp;"add to his trophy case when he is presented with the Web Summit Innovation in Sport Award for 2019 by Portugal's Minister of Economy Pedro Siza Vieira. 
")</f>
        <v>The Web Summit Innovation In Sport Award is the international mark of excellence in the sports business community, it recognises people and organisations that have successfully incorporated technology in the pursuit of excellence. 
This year we honour Brazil great Ronaldo and Real Valladolid, the two time World Cup winner, two time Ballon d’Or winner, four time FIFA World Player of the Year, three time World Soccer Player of the Year, former UEFA Club Footballer of the Year and Golden Ball winner will add to his trophy case when he is presented with the Web Summit Innovation in Sport Award for 2019 by Portugal's Minister of Economy Pedro Siza Vieira. 
</v>
      </c>
      <c r="C311" s="10" t="str">
        <f>IFERROR(__xludf.DUMMYFUNCTION("""COMPUTED_VALUE"""),"SportsTrade")</f>
        <v>SportsTrade</v>
      </c>
      <c r="D311" s="10" t="str">
        <f>IFERROR(__xludf.DUMMYFUNCTION("""COMPUTED_VALUE""")," , Pedro Siza Vieira and Ger Gilroy")</f>
        <v> , Pedro Siza Vieira and Ger Gilroy</v>
      </c>
      <c r="E311" s="10" t="str">
        <f>IFERROR(__xludf.DUMMYFUNCTION("""COMPUTED_VALUE""")," ,Pedro Siza Vieira,Ger Gilroy")</f>
        <v> ,Pedro Siza Vieira,Ger Gilroy</v>
      </c>
      <c r="F311" s="10" t="str">
        <f>IFERROR(__xludf.DUMMYFUNCTION("""COMPUTED_VALUE"""),"2019/11/05 16:15:00")</f>
        <v>2019/11/05 16:15:00</v>
      </c>
      <c r="G311" s="10" t="str">
        <f>IFERROR(__xludf.DUMMYFUNCTION("""COMPUTED_VALUE"""),"2019/11/05 16:35:00")</f>
        <v>2019/11/05 16:35:00</v>
      </c>
      <c r="H311" s="10" t="str">
        <f>IFERROR(__xludf.DUMMYFUNCTION("""COMPUTED_VALUE"""),"745c7dab-8868-4964-bd0f-65bb9ca8bbad")</f>
        <v>745c7dab-8868-4964-bd0f-65bb9ca8bbad</v>
      </c>
      <c r="I311" s="10" t="str">
        <f>IFERROR(__xludf.DUMMYFUNCTION("""COMPUTED_VALUE"""),"745c7dab-8868-4964-bd0f-65bb9ca8bbad")</f>
        <v>745c7dab-8868-4964-bd0f-65bb9ca8bbad</v>
      </c>
    </row>
    <row r="312">
      <c r="A312" s="10" t="str">
        <f>IFERROR(__xludf.DUMMYFUNCTION("""COMPUTED_VALUE"""),"Branding the East-West divide")</f>
        <v>Branding the East-West divide</v>
      </c>
      <c r="B312" s="10" t="str">
        <f>IFERROR(__xludf.DUMMYFUNCTION("""COMPUTED_VALUE"""),"The world has never been more connected. E-commerce, instant messaging and the free market mean we should all have access to the same goods and services. And yet, there remains a disconnect between what resonates in the East and West. How can a company ma"&amp;"ke it in both markets? What are the secrets to successfully bridging the divide?")</f>
        <v>The world has never been more connected. E-commerce, instant messaging and the free market mean we should all have access to the same goods and services. And yet, there remains a disconnect between what resonates in the East and West. How can a company make it in both markets? What are the secrets to successfully bridging the divide?</v>
      </c>
      <c r="C312" s="10" t="str">
        <f>IFERROR(__xludf.DUMMYFUNCTION("""COMPUTED_VALUE"""),"PandaConf")</f>
        <v>PandaConf</v>
      </c>
      <c r="D312" s="10" t="str">
        <f>IFERROR(__xludf.DUMMYFUNCTION("""COMPUTED_VALUE"""),"Martin Brandenburg, Holly Zheng and Paul Michelman")</f>
        <v>Martin Brandenburg, Holly Zheng and Paul Michelman</v>
      </c>
      <c r="E312" s="10" t="str">
        <f>IFERROR(__xludf.DUMMYFUNCTION("""COMPUTED_VALUE"""),"Martin Brandenburg,Holly Zheng,Paul Michelman")</f>
        <v>Martin Brandenburg,Holly Zheng,Paul Michelman</v>
      </c>
      <c r="F312" s="10" t="str">
        <f>IFERROR(__xludf.DUMMYFUNCTION("""COMPUTED_VALUE"""),"2019/11/07 12:10:00")</f>
        <v>2019/11/07 12:10:00</v>
      </c>
      <c r="G312" s="10" t="str">
        <f>IFERROR(__xludf.DUMMYFUNCTION("""COMPUTED_VALUE"""),"2019/11/07 12:30:00")</f>
        <v>2019/11/07 12:30:00</v>
      </c>
      <c r="H312" s="10" t="str">
        <f>IFERROR(__xludf.DUMMYFUNCTION("""COMPUTED_VALUE"""),"47fc4b43-6a30-4984-afff-844100881acf")</f>
        <v>47fc4b43-6a30-4984-afff-844100881acf</v>
      </c>
      <c r="I312" s="10" t="str">
        <f>IFERROR(__xludf.DUMMYFUNCTION("""COMPUTED_VALUE"""),"47fc4b43-6a30-4984-afff-844100881acf")</f>
        <v>47fc4b43-6a30-4984-afff-844100881acf</v>
      </c>
    </row>
    <row r="313">
      <c r="A313" s="10" t="str">
        <f>IFERROR(__xludf.DUMMYFUNCTION("""COMPUTED_VALUE"""),"From the underdog to the top dog")</f>
        <v>From the underdog to the top dog</v>
      </c>
      <c r="B313" s="10" t="str">
        <f>IFERROR(__xludf.DUMMYFUNCTION("""COMPUTED_VALUE"""),"The CEO of Datadog, Olivier Pomel, discusses the ins and outs of their success story with Shardul Shah from Index Ventures.")</f>
        <v>The CEO of Datadog, Olivier Pomel, discusses the ins and outs of their success story with Shardul Shah from Index Ventures.</v>
      </c>
      <c r="C313" s="24" t="str">
        <f>IFERROR(__xludf.DUMMYFUNCTION("""COMPUTED_VALUE"""),"binate.io")</f>
        <v>binate.io</v>
      </c>
      <c r="D313" s="10" t="str">
        <f>IFERROR(__xludf.DUMMYFUNCTION("""COMPUTED_VALUE"""),"Olivier Pomel and Shardul Shah")</f>
        <v>Olivier Pomel and Shardul Shah</v>
      </c>
      <c r="E313" s="10" t="str">
        <f>IFERROR(__xludf.DUMMYFUNCTION("""COMPUTED_VALUE"""),"Olivier Pomel,Shardul Shah")</f>
        <v>Olivier Pomel,Shardul Shah</v>
      </c>
      <c r="F313" s="10" t="str">
        <f>IFERROR(__xludf.DUMMYFUNCTION("""COMPUTED_VALUE"""),"2019/11/06 11:15:00")</f>
        <v>2019/11/06 11:15:00</v>
      </c>
      <c r="G313" s="10" t="str">
        <f>IFERROR(__xludf.DUMMYFUNCTION("""COMPUTED_VALUE"""),"2019/11/06 11:40:00")</f>
        <v>2019/11/06 11:40:00</v>
      </c>
      <c r="H313" s="10" t="str">
        <f>IFERROR(__xludf.DUMMYFUNCTION("""COMPUTED_VALUE"""),"3974faaa-ed12-41bb-b79a-d134ab9edfd7")</f>
        <v>3974faaa-ed12-41bb-b79a-d134ab9edfd7</v>
      </c>
      <c r="I313" s="10" t="str">
        <f>IFERROR(__xludf.DUMMYFUNCTION("""COMPUTED_VALUE"""),"3974faaa-ed12-41bb-b79a-d134ab9edfd7")</f>
        <v>3974faaa-ed12-41bb-b79a-d134ab9edfd7</v>
      </c>
    </row>
    <row r="314">
      <c r="A314" s="10" t="str">
        <f>IFERROR(__xludf.DUMMYFUNCTION("""COMPUTED_VALUE"""),"Joint operations: The new opportunity for mobile gaming growth, hosted by Huawei")</f>
        <v>Joint operations: The new opportunity for mobile gaming growth, hosted by Huawei</v>
      </c>
      <c r="B314" s="10" t="str">
        <f>IFERROR(__xludf.DUMMYFUNCTION("""COMPUTED_VALUE"""),"A deep-dive talk in mobile gaming trends, Huawei‘s joint operation strategies and successful stories that help game developers reach users and boost their revenue.")</f>
        <v>A deep-dive talk in mobile gaming trends, Huawei‘s joint operation strategies and successful stories that help game developers reach users and boost their revenue.</v>
      </c>
      <c r="C314" s="10" t="str">
        <f>IFERROR(__xludf.DUMMYFUNCTION("""COMPUTED_VALUE"""),"Workshop 1")</f>
        <v>Workshop 1</v>
      </c>
      <c r="D314" s="10" t="str">
        <f>IFERROR(__xludf.DUMMYFUNCTION("""COMPUTED_VALUE"""),"")</f>
        <v/>
      </c>
      <c r="E314" s="10" t="str">
        <f>IFERROR(__xludf.DUMMYFUNCTION("""COMPUTED_VALUE"""),"")</f>
        <v/>
      </c>
      <c r="F314" s="10" t="str">
        <f>IFERROR(__xludf.DUMMYFUNCTION("""COMPUTED_VALUE"""),"2019/11/05 16:15:00")</f>
        <v>2019/11/05 16:15:00</v>
      </c>
      <c r="G314" s="10" t="str">
        <f>IFERROR(__xludf.DUMMYFUNCTION("""COMPUTED_VALUE"""),"2019/11/05 16:40:00")</f>
        <v>2019/11/05 16:40:00</v>
      </c>
      <c r="H314" s="10" t="str">
        <f>IFERROR(__xludf.DUMMYFUNCTION("""COMPUTED_VALUE"""),"f0c9244c-df4f-4eaf-9c95-244e090c2bd3")</f>
        <v>f0c9244c-df4f-4eaf-9c95-244e090c2bd3</v>
      </c>
      <c r="I314" s="10" t="str">
        <f>IFERROR(__xludf.DUMMYFUNCTION("""COMPUTED_VALUE"""),"f0c9244c-df4f-4eaf-9c95-244e090c2bd3")</f>
        <v>f0c9244c-df4f-4eaf-9c95-244e090c2bd3</v>
      </c>
    </row>
    <row r="315">
      <c r="A315" s="10" t="str">
        <f>IFERROR(__xludf.DUMMYFUNCTION("""COMPUTED_VALUE"""),"Banking the next billion")</f>
        <v>Banking the next billion</v>
      </c>
      <c r="B315" s="10" t="str">
        <f>IFERROR(__xludf.DUMMYFUNCTION("""COMPUTED_VALUE"""),"SoftBank Vision Fund's investments are possibly the hardest hitting deals in the market. Their leading round in PolicyBazaar shows a level of certainty in the continued growth of insurtech. Come listen to SoftBank and PolicyBazaar break down the anatomy o"&amp;"f a winning investment deal. ")</f>
        <v>SoftBank Vision Fund's investments are possibly the hardest hitting deals in the market. Their leading round in PolicyBazaar shows a level of certainty in the continued growth of insurtech. Come listen to SoftBank and PolicyBazaar break down the anatomy of a winning investment deal. </v>
      </c>
      <c r="C315" s="10" t="str">
        <f>IFERROR(__xludf.DUMMYFUNCTION("""COMPUTED_VALUE"""),"MoneyConf")</f>
        <v>MoneyConf</v>
      </c>
      <c r="D315" s="10" t="str">
        <f>IFERROR(__xludf.DUMMYFUNCTION("""COMPUTED_VALUE"""),"Munish Varma, Yashish Dahiya and Tim Bradshaw")</f>
        <v>Munish Varma, Yashish Dahiya and Tim Bradshaw</v>
      </c>
      <c r="E315" s="10" t="str">
        <f>IFERROR(__xludf.DUMMYFUNCTION("""COMPUTED_VALUE"""),"Munish Varma,Yashish Dahiya,Tim Bradshaw")</f>
        <v>Munish Varma,Yashish Dahiya,Tim Bradshaw</v>
      </c>
      <c r="F315" s="10" t="str">
        <f>IFERROR(__xludf.DUMMYFUNCTION("""COMPUTED_VALUE"""),"2019/11/06 11:00:00")</f>
        <v>2019/11/06 11:00:00</v>
      </c>
      <c r="G315" s="10" t="str">
        <f>IFERROR(__xludf.DUMMYFUNCTION("""COMPUTED_VALUE"""),"2019/11/06 11:25:00")</f>
        <v>2019/11/06 11:25:00</v>
      </c>
      <c r="H315" s="10" t="str">
        <f>IFERROR(__xludf.DUMMYFUNCTION("""COMPUTED_VALUE"""),"aa84f9a9-f356-44e2-ae95-37f724fb136c")</f>
        <v>aa84f9a9-f356-44e2-ae95-37f724fb136c</v>
      </c>
      <c r="I315" s="10" t="str">
        <f>IFERROR(__xludf.DUMMYFUNCTION("""COMPUTED_VALUE"""),"aa84f9a9-f356-44e2-ae95-37f724fb136c")</f>
        <v>aa84f9a9-f356-44e2-ae95-37f724fb136c</v>
      </c>
    </row>
    <row r="316">
      <c r="A316" s="10" t="str">
        <f>IFERROR(__xludf.DUMMYFUNCTION("""COMPUTED_VALUE"""),"Tech startups &amp; the case for regulation")</f>
        <v>Tech startups &amp; the case for regulation</v>
      </c>
      <c r="B316" s="10" t="str">
        <f>IFERROR(__xludf.DUMMYFUNCTION("""COMPUTED_VALUE"""),"Typically, disruptive tech startups are scornful of rules but VOI favours regulation of this booming sector.  CEo of the company, Fredrik Hjelm, will outline why they believe e-scooter companies need to ""grow up"" fast and be responsible partners to citi"&amp;"es, working with them to achieve the highest standards of safety and service.")</f>
        <v>Typically, disruptive tech startups are scornful of rules but VOI favours regulation of this booming sector.  CEo of the company, Fredrik Hjelm, will outline why they believe e-scooter companies need to "grow up" fast and be responsible partners to cities, working with them to achieve the highest standards of safety and service.</v>
      </c>
      <c r="C316" s="10" t="str">
        <f>IFERROR(__xludf.DUMMYFUNCTION("""COMPUTED_VALUE"""),"Growth Summit")</f>
        <v>Growth Summit</v>
      </c>
      <c r="D316" s="10" t="str">
        <f>IFERROR(__xludf.DUMMYFUNCTION("""COMPUTED_VALUE"""),"Fredrik Hjelm")</f>
        <v>Fredrik Hjelm</v>
      </c>
      <c r="E316" s="10" t="str">
        <f>IFERROR(__xludf.DUMMYFUNCTION("""COMPUTED_VALUE"""),"Fredrik Hjelm")</f>
        <v>Fredrik Hjelm</v>
      </c>
      <c r="F316" s="10" t="str">
        <f>IFERROR(__xludf.DUMMYFUNCTION("""COMPUTED_VALUE"""),"2019/11/07 15:37:00")</f>
        <v>2019/11/07 15:37:00</v>
      </c>
      <c r="G316" s="10" t="str">
        <f>IFERROR(__xludf.DUMMYFUNCTION("""COMPUTED_VALUE"""),"2019/11/07 15:48:00")</f>
        <v>2019/11/07 15:48:00</v>
      </c>
      <c r="H316" s="10" t="str">
        <f>IFERROR(__xludf.DUMMYFUNCTION("""COMPUTED_VALUE"""),"40956abc-cd65-4df3-b9a0-499b89905732")</f>
        <v>40956abc-cd65-4df3-b9a0-499b89905732</v>
      </c>
      <c r="I316" s="10" t="str">
        <f>IFERROR(__xludf.DUMMYFUNCTION("""COMPUTED_VALUE"""),"40956abc-cd65-4df3-b9a0-499b89905732")</f>
        <v>40956abc-cd65-4df3-b9a0-499b89905732</v>
      </c>
    </row>
    <row r="317">
      <c r="A317" s="10" t="str">
        <f>IFERROR(__xludf.DUMMYFUNCTION("""COMPUTED_VALUE"""),"How we'll arrive in 2025")</f>
        <v>How we'll arrive in 2025</v>
      </c>
      <c r="B317" s="10" t="str">
        <f>IFERROR(__xludf.DUMMYFUNCTION("""COMPUTED_VALUE"""),"Trends unfolding in self-driving cars, ride-hailing, connectivity and micro-mobility have offered great promise, as well as many questions. To discuss where we are heading, and what mobility in 2025 could really look like we'll welcome four founders who a"&amp;"re leading the way in the space.")</f>
        <v>Trends unfolding in self-driving cars, ride-hailing, connectivity and micro-mobility have offered great promise, as well as many questions. To discuss where we are heading, and what mobility in 2025 could really look like we'll welcome four founders who are leading the way in the space.</v>
      </c>
      <c r="C317" s="10" t="str">
        <f>IFERROR(__xludf.DUMMYFUNCTION("""COMPUTED_VALUE"""),"Centre Stage")</f>
        <v>Centre Stage</v>
      </c>
      <c r="D317" s="10" t="str">
        <f>IFERROR(__xludf.DUMMYFUNCTION("""COMPUTED_VALUE"""),"Brad Bao, Sam Zaid, Corinne Vigreux, Xiaodi Hou and Tim Stevens")</f>
        <v>Brad Bao, Sam Zaid, Corinne Vigreux, Xiaodi Hou and Tim Stevens</v>
      </c>
      <c r="E317" s="10" t="str">
        <f>IFERROR(__xludf.DUMMYFUNCTION("""COMPUTED_VALUE"""),"Brad Bao,Sam Zaid,Corinne Vigreux,Xiaodi Hou,Tim Stevens")</f>
        <v>Brad Bao,Sam Zaid,Corinne Vigreux,Xiaodi Hou,Tim Stevens</v>
      </c>
      <c r="F317" s="10" t="str">
        <f>IFERROR(__xludf.DUMMYFUNCTION("""COMPUTED_VALUE"""),"2019/11/06 15:30:00")</f>
        <v>2019/11/06 15:30:00</v>
      </c>
      <c r="G317" s="10" t="str">
        <f>IFERROR(__xludf.DUMMYFUNCTION("""COMPUTED_VALUE"""),"2019/11/06 16:05:00")</f>
        <v>2019/11/06 16:05:00</v>
      </c>
      <c r="H317" s="10" t="str">
        <f>IFERROR(__xludf.DUMMYFUNCTION("""COMPUTED_VALUE"""),"1d8f4d46-9220-4474-918f-f79de1691911")</f>
        <v>1d8f4d46-9220-4474-918f-f79de1691911</v>
      </c>
      <c r="I317" s="10" t="str">
        <f>IFERROR(__xludf.DUMMYFUNCTION("""COMPUTED_VALUE"""),"1d8f4d46-9220-4474-918f-f79de1691911")</f>
        <v>1d8f4d46-9220-4474-918f-f79de1691911</v>
      </c>
    </row>
    <row r="318">
      <c r="A318" s="10" t="str">
        <f>IFERROR(__xludf.DUMMYFUNCTION("""COMPUTED_VALUE"""),"Negotiate your way to the top ")</f>
        <v>Negotiate your way to the top </v>
      </c>
      <c r="B318" s="10" t="str">
        <f>IFERROR(__xludf.DUMMYFUNCTION("""COMPUTED_VALUE"""),"Everything is negotiable. Emotion, conflict and tact are the tools along the way. A star YouTuber  and the cofounder of company with a $1bn valuation share some hard-earned and tested tips at talking your way to success.")</f>
        <v>Everything is negotiable. Emotion, conflict and tact are the tools along the way. A star YouTuber  and the cofounder of company with a $1bn valuation share some hard-earned and tested tips at talking your way to success.</v>
      </c>
      <c r="C318" s="10" t="str">
        <f>IFERROR(__xludf.DUMMYFUNCTION("""COMPUTED_VALUE"""),"Startup University")</f>
        <v>Startup University</v>
      </c>
      <c r="D318" s="10" t="str">
        <f>IFERROR(__xludf.DUMMYFUNCTION("""COMPUTED_VALUE"""),"Keaton Keller, Michelle Zatlyn and Jared Lindzon")</f>
        <v>Keaton Keller, Michelle Zatlyn and Jared Lindzon</v>
      </c>
      <c r="E318" s="10" t="str">
        <f>IFERROR(__xludf.DUMMYFUNCTION("""COMPUTED_VALUE"""),"Keaton Keller,Michelle Zatlyn,Jared Lindzon")</f>
        <v>Keaton Keller,Michelle Zatlyn,Jared Lindzon</v>
      </c>
      <c r="F318" s="10" t="str">
        <f>IFERROR(__xludf.DUMMYFUNCTION("""COMPUTED_VALUE"""),"2019/11/05 10:30:00")</f>
        <v>2019/11/05 10:30:00</v>
      </c>
      <c r="G318" s="10" t="str">
        <f>IFERROR(__xludf.DUMMYFUNCTION("""COMPUTED_VALUE"""),"2019/11/05 10:50:00")</f>
        <v>2019/11/05 10:50:00</v>
      </c>
      <c r="H318" s="10" t="str">
        <f>IFERROR(__xludf.DUMMYFUNCTION("""COMPUTED_VALUE"""),"6609422e-43c8-47a4-b67e-5d1f99a3ee06")</f>
        <v>6609422e-43c8-47a4-b67e-5d1f99a3ee06</v>
      </c>
      <c r="I318" s="10" t="str">
        <f>IFERROR(__xludf.DUMMYFUNCTION("""COMPUTED_VALUE"""),"6609422e-43c8-47a4-b67e-5d1f99a3ee06")</f>
        <v>6609422e-43c8-47a4-b67e-5d1f99a3ee06</v>
      </c>
    </row>
    <row r="319">
      <c r="A319" s="10" t="str">
        <f>IFERROR(__xludf.DUMMYFUNCTION("""COMPUTED_VALUE"""),"Growing pains: How to scale your team")</f>
        <v>Growing pains: How to scale your team</v>
      </c>
      <c r="B319" s="10" t="str">
        <f>IFERROR(__xludf.DUMMYFUNCTION("""COMPUTED_VALUE"""),"Scaling your business from one to 100 employees can seem relatively easy. But how strong are your foundations and can they weather the journey?")</f>
        <v>Scaling your business from one to 100 employees can seem relatively easy. But how strong are your foundations and can they weather the journey?</v>
      </c>
      <c r="C319" s="10" t="str">
        <f>IFERROR(__xludf.DUMMYFUNCTION("""COMPUTED_VALUE"""),"Venture stage")</f>
        <v>Venture stage</v>
      </c>
      <c r="D319" s="10" t="str">
        <f>IFERROR(__xludf.DUMMYFUNCTION("""COMPUTED_VALUE"""),"Jens Lapinski, Jon Soberg, Gerald Parloiu and Jordan French")</f>
        <v>Jens Lapinski, Jon Soberg, Gerald Parloiu and Jordan French</v>
      </c>
      <c r="E319" s="10" t="str">
        <f>IFERROR(__xludf.DUMMYFUNCTION("""COMPUTED_VALUE"""),"Jens Lapinski,Jon Soberg,Gerald Parloiu,Jordan French")</f>
        <v>Jens Lapinski,Jon Soberg,Gerald Parloiu,Jordan French</v>
      </c>
      <c r="F319" s="10" t="str">
        <f>IFERROR(__xludf.DUMMYFUNCTION("""COMPUTED_VALUE"""),"2019/11/06 11:45:00")</f>
        <v>2019/11/06 11:45:00</v>
      </c>
      <c r="G319" s="10" t="str">
        <f>IFERROR(__xludf.DUMMYFUNCTION("""COMPUTED_VALUE"""),"2019/11/06 12:10:00")</f>
        <v>2019/11/06 12:10:00</v>
      </c>
      <c r="H319" s="10" t="str">
        <f>IFERROR(__xludf.DUMMYFUNCTION("""COMPUTED_VALUE"""),"78db2eae-9679-4795-9105-0da38b83f2c6")</f>
        <v>78db2eae-9679-4795-9105-0da38b83f2c6</v>
      </c>
      <c r="I319" s="10" t="str">
        <f>IFERROR(__xludf.DUMMYFUNCTION("""COMPUTED_VALUE"""),"78db2eae-9679-4795-9105-0da38b83f2c6")</f>
        <v>78db2eae-9679-4795-9105-0da38b83f2c6</v>
      </c>
    </row>
    <row r="320">
      <c r="A320" s="10" t="str">
        <f>IFERROR(__xludf.DUMMYFUNCTION("""COMPUTED_VALUE"""),"Looking at the new face of hypercars")</f>
        <v>Looking at the new face of hypercars</v>
      </c>
      <c r="B320" s="10" t="str">
        <f>IFERROR(__xludf.DUMMYFUNCTION("""COMPUTED_VALUE"""),"Supercars are cool- hypercars are cooler. In this presentation, we'll be looking at Rimac's new cars, and their new partnership with Porsche.")</f>
        <v>Supercars are cool- hypercars are cooler. In this presentation, we'll be looking at Rimac's new cars, and their new partnership with Porsche.</v>
      </c>
      <c r="C320" s="10" t="str">
        <f>IFERROR(__xludf.DUMMYFUNCTION("""COMPUTED_VALUE"""),"Auto/Tech &amp; TalkRobot")</f>
        <v>Auto/Tech &amp; TalkRobot</v>
      </c>
      <c r="D320" s="10" t="str">
        <f>IFERROR(__xludf.DUMMYFUNCTION("""COMPUTED_VALUE"""),"Tim Richardson")</f>
        <v>Tim Richardson</v>
      </c>
      <c r="E320" s="10" t="str">
        <f>IFERROR(__xludf.DUMMYFUNCTION("""COMPUTED_VALUE"""),"Tim Richardson")</f>
        <v>Tim Richardson</v>
      </c>
      <c r="F320" s="10" t="str">
        <f>IFERROR(__xludf.DUMMYFUNCTION("""COMPUTED_VALUE"""),"2019/11/07 14:50:00")</f>
        <v>2019/11/07 14:50:00</v>
      </c>
      <c r="G320" s="10" t="str">
        <f>IFERROR(__xludf.DUMMYFUNCTION("""COMPUTED_VALUE"""),"2019/11/07 15:10:00")</f>
        <v>2019/11/07 15:10:00</v>
      </c>
      <c r="H320" s="10" t="str">
        <f>IFERROR(__xludf.DUMMYFUNCTION("""COMPUTED_VALUE"""),"4f6e9231-2160-4443-b7db-9933415ddd50")</f>
        <v>4f6e9231-2160-4443-b7db-9933415ddd50</v>
      </c>
      <c r="I320" s="10" t="str">
        <f>IFERROR(__xludf.DUMMYFUNCTION("""COMPUTED_VALUE"""),"4f6e9231-2160-4443-b7db-9933415ddd50")</f>
        <v>4f6e9231-2160-4443-b7db-9933415ddd50</v>
      </c>
    </row>
    <row r="321">
      <c r="A321" s="10" t="str">
        <f>IFERROR(__xludf.DUMMYFUNCTION("""COMPUTED_VALUE"""),"Building a billion dollar company beyond the Valley")</f>
        <v>Building a billion dollar company beyond the Valley</v>
      </c>
      <c r="B321" s="10" t="str">
        <f>IFERROR(__xludf.DUMMYFUNCTION("""COMPUTED_VALUE"""),"Hear from three founders who have built billion dollars companies in Hong Kong, Colombia and Estonia on why being where everyone else is does not define how successful your company can become.")</f>
        <v>Hear from three founders who have built billion dollars companies in Hong Kong, Colombia and Estonia on why being where everyone else is does not define how successful your company can become.</v>
      </c>
      <c r="C321" s="10" t="str">
        <f>IFERROR(__xludf.DUMMYFUNCTION("""COMPUTED_VALUE"""),"Centre Stage")</f>
        <v>Centre Stage</v>
      </c>
      <c r="D321" s="10" t="str">
        <f>IFERROR(__xludf.DUMMYFUNCTION("""COMPUTED_VALUE"""),"Lucy Liu, Juan Pablo Ortega, Markus Villig, Melanie Perkins and Adam Satariano")</f>
        <v>Lucy Liu, Juan Pablo Ortega, Markus Villig, Melanie Perkins and Adam Satariano</v>
      </c>
      <c r="E321" s="10" t="str">
        <f>IFERROR(__xludf.DUMMYFUNCTION("""COMPUTED_VALUE"""),"Lucy Liu,Juan Pablo Ortega,Markus Villig,Melanie Perkins,Adam Satariano")</f>
        <v>Lucy Liu,Juan Pablo Ortega,Markus Villig,Melanie Perkins,Adam Satariano</v>
      </c>
      <c r="F321" s="10" t="str">
        <f>IFERROR(__xludf.DUMMYFUNCTION("""COMPUTED_VALUE"""),"2019/11/05 15:10:00")</f>
        <v>2019/11/05 15:10:00</v>
      </c>
      <c r="G321" s="10" t="str">
        <f>IFERROR(__xludf.DUMMYFUNCTION("""COMPUTED_VALUE"""),"2019/11/05 15:30:00")</f>
        <v>2019/11/05 15:30:00</v>
      </c>
      <c r="H321" s="10" t="str">
        <f>IFERROR(__xludf.DUMMYFUNCTION("""COMPUTED_VALUE"""),"211f55b8-8f77-4f80-a749-bdff379377a9")</f>
        <v>211f55b8-8f77-4f80-a749-bdff379377a9</v>
      </c>
      <c r="I321" s="10" t="str">
        <f>IFERROR(__xludf.DUMMYFUNCTION("""COMPUTED_VALUE"""),"211f55b8-8f77-4f80-a749-bdff379377a9")</f>
        <v>211f55b8-8f77-4f80-a749-bdff379377a9</v>
      </c>
    </row>
    <row r="322">
      <c r="A322" s="10" t="str">
        <f>IFERROR(__xludf.DUMMYFUNCTION("""COMPUTED_VALUE"""),"Opportunities in Latin America: Will your business reach half a billion people?, hosted by Inter-American Development Bank")</f>
        <v>Opportunities in Latin America: Will your business reach half a billion people?, hosted by Inter-American Development Bank</v>
      </c>
      <c r="B322" s="10" t="str">
        <f>IFERROR(__xludf.DUMMYFUNCTION("""COMPUTED_VALUE"""),"For 60 years, the Inter-American Development Bank Group (IDB) has been financing, advising and helping public and private sector projects in Latin America and the Caribbean. The result? Hand-on knowledge of the obstacles, tactics and strategies needed to "&amp;"significantly improve the lives of more than 500 million people in 26 countries. We want to share this knowledge with startups and entrepreneurs. But all good conversations are two-way - we also want to share challenges presented by this region and hear w"&amp;"hat solutions your business could provide. We’re looking for new ideas, businesses and entrepreneurs to work with - will it be you?")</f>
        <v>For 60 years, the Inter-American Development Bank Group (IDB) has been financing, advising and helping public and private sector projects in Latin America and the Caribbean. The result? Hand-on knowledge of the obstacles, tactics and strategies needed to significantly improve the lives of more than 500 million people in 26 countries. We want to share this knowledge with startups and entrepreneurs. But all good conversations are two-way - we also want to share challenges presented by this region and hear what solutions your business could provide. We’re looking for new ideas, businesses and entrepreneurs to work with - will it be you?</v>
      </c>
      <c r="C322" s="10" t="str">
        <f>IFERROR(__xludf.DUMMYFUNCTION("""COMPUTED_VALUE"""),"Workshop 3")</f>
        <v>Workshop 3</v>
      </c>
      <c r="D322" s="10" t="str">
        <f>IFERROR(__xludf.DUMMYFUNCTION("""COMPUTED_VALUE"""),"")</f>
        <v/>
      </c>
      <c r="E322" s="10" t="str">
        <f>IFERROR(__xludf.DUMMYFUNCTION("""COMPUTED_VALUE"""),"")</f>
        <v/>
      </c>
      <c r="F322" s="10" t="str">
        <f>IFERROR(__xludf.DUMMYFUNCTION("""COMPUTED_VALUE"""),"2019/11/05 12:45:00")</f>
        <v>2019/11/05 12:45:00</v>
      </c>
      <c r="G322" s="10" t="str">
        <f>IFERROR(__xludf.DUMMYFUNCTION("""COMPUTED_VALUE"""),"2019/11/05 13:30:00")</f>
        <v>2019/11/05 13:30:00</v>
      </c>
      <c r="H322" s="10" t="str">
        <f>IFERROR(__xludf.DUMMYFUNCTION("""COMPUTED_VALUE"""),"74e3cb11-33f5-4de8-801c-3f47a557c9e0")</f>
        <v>74e3cb11-33f5-4de8-801c-3f47a557c9e0</v>
      </c>
      <c r="I322" s="10" t="str">
        <f>IFERROR(__xludf.DUMMYFUNCTION("""COMPUTED_VALUE"""),"74e3cb11-33f5-4de8-801c-3f47a557c9e0")</f>
        <v>74e3cb11-33f5-4de8-801c-3f47a557c9e0</v>
      </c>
    </row>
    <row r="323">
      <c r="A323" s="10" t="str">
        <f>IFERROR(__xludf.DUMMYFUNCTION("""COMPUTED_VALUE"""),"Building a Gen Z marketplace")</f>
        <v>Building a Gen Z marketplace</v>
      </c>
      <c r="B323" s="10" t="str">
        <f>IFERROR(__xludf.DUMMYFUNCTION("""COMPUTED_VALUE"""),"With ninety percent of Depop’s active users under the age of 26, CEO Maria Raga discusses how the London based fashion marketplace app has uniquely scaled their platform to meet the needs of one of today’s most disruptive consumer audiences, Generation Z."&amp;" ")</f>
        <v>With ninety percent of Depop’s active users under the age of 26, CEO Maria Raga discusses how the London based fashion marketplace app has uniquely scaled their platform to meet the needs of one of today’s most disruptive consumer audiences, Generation Z. </v>
      </c>
      <c r="C323" s="10" t="str">
        <f>IFERROR(__xludf.DUMMYFUNCTION("""COMPUTED_VALUE"""),"Growth Summit")</f>
        <v>Growth Summit</v>
      </c>
      <c r="D323" s="10" t="str">
        <f>IFERROR(__xludf.DUMMYFUNCTION("""COMPUTED_VALUE"""),"Maria Raga")</f>
        <v>Maria Raga</v>
      </c>
      <c r="E323" s="10" t="str">
        <f>IFERROR(__xludf.DUMMYFUNCTION("""COMPUTED_VALUE"""),"Maria Raga")</f>
        <v>Maria Raga</v>
      </c>
      <c r="F323" s="10" t="str">
        <f>IFERROR(__xludf.DUMMYFUNCTION("""COMPUTED_VALUE"""),"2019/11/07 14:42:00")</f>
        <v>2019/11/07 14:42:00</v>
      </c>
      <c r="G323" s="10" t="str">
        <f>IFERROR(__xludf.DUMMYFUNCTION("""COMPUTED_VALUE"""),"2019/11/07 14:53:00")</f>
        <v>2019/11/07 14:53:00</v>
      </c>
      <c r="H323" s="10" t="str">
        <f>IFERROR(__xludf.DUMMYFUNCTION("""COMPUTED_VALUE"""),"7409bcaa-3df1-498a-8d79-885b260aad51")</f>
        <v>7409bcaa-3df1-498a-8d79-885b260aad51</v>
      </c>
      <c r="I323" s="10" t="str">
        <f>IFERROR(__xludf.DUMMYFUNCTION("""COMPUTED_VALUE"""),"7409bcaa-3df1-498a-8d79-885b260aad51")</f>
        <v>7409bcaa-3df1-498a-8d79-885b260aad51</v>
      </c>
    </row>
    <row r="324">
      <c r="A324" s="10" t="str">
        <f>IFERROR(__xludf.DUMMYFUNCTION("""COMPUTED_VALUE"""),"Knowing your customers: Easy to say, so hard to do")</f>
        <v>Knowing your customers: Easy to say, so hard to do</v>
      </c>
      <c r="B324" s="10" t="str">
        <f>IFERROR(__xludf.DUMMYFUNCTION("""COMPUTED_VALUE"""),"Knowing your customers is harder thank you'd think. Today, technology is transforming the way brands can understand their customers. In this talk, you'll learn how to use data to get inside your customers' heads and give them what they really want. ")</f>
        <v>Knowing your customers is harder thank you'd think. Today, technology is transforming the way brands can understand their customers. In this talk, you'll learn how to use data to get inside your customers' heads and give them what they really want. </v>
      </c>
      <c r="C324" s="10" t="str">
        <f>IFERROR(__xludf.DUMMYFUNCTION("""COMPUTED_VALUE"""),"PandaConf")</f>
        <v>PandaConf</v>
      </c>
      <c r="D324" s="10" t="str">
        <f>IFERROR(__xludf.DUMMYFUNCTION("""COMPUTED_VALUE"""),"Edwina Dunn")</f>
        <v>Edwina Dunn</v>
      </c>
      <c r="E324" s="10" t="str">
        <f>IFERROR(__xludf.DUMMYFUNCTION("""COMPUTED_VALUE"""),"Edwina Dunn")</f>
        <v>Edwina Dunn</v>
      </c>
      <c r="F324" s="10" t="str">
        <f>IFERROR(__xludf.DUMMYFUNCTION("""COMPUTED_VALUE"""),"2019/11/05 11:05:00")</f>
        <v>2019/11/05 11:05:00</v>
      </c>
      <c r="G324" s="10" t="str">
        <f>IFERROR(__xludf.DUMMYFUNCTION("""COMPUTED_VALUE"""),"2019/11/05 11:25:00")</f>
        <v>2019/11/05 11:25:00</v>
      </c>
      <c r="H324" s="10" t="str">
        <f>IFERROR(__xludf.DUMMYFUNCTION("""COMPUTED_VALUE"""),"b5b06e8a-6056-4037-b0cc-90d74485c31d")</f>
        <v>b5b06e8a-6056-4037-b0cc-90d74485c31d</v>
      </c>
      <c r="I324" s="10" t="str">
        <f>IFERROR(__xludf.DUMMYFUNCTION("""COMPUTED_VALUE"""),"b5b06e8a-6056-4037-b0cc-90d74485c31d")</f>
        <v>b5b06e8a-6056-4037-b0cc-90d74485c31d</v>
      </c>
    </row>
    <row r="325">
      <c r="A325" s="10" t="str">
        <f>IFERROR(__xludf.DUMMYFUNCTION("""COMPUTED_VALUE"""),"eSports: Roadmapping the future")</f>
        <v>eSports: Roadmapping the future</v>
      </c>
      <c r="B325" s="10" t="str">
        <f>IFERROR(__xludf.DUMMYFUNCTION("""COMPUTED_VALUE"""),"eSports is not a fad, it is the future of gaming. This session will delve into the growth of the billion-dollar industry and answer the question everyone is asking – what’s next?")</f>
        <v>eSports is not a fad, it is the future of gaming. This session will delve into the growth of the billion-dollar industry and answer the question everyone is asking – what’s next?</v>
      </c>
      <c r="C325" s="10" t="str">
        <f>IFERROR(__xludf.DUMMYFUNCTION("""COMPUTED_VALUE"""),"SportsTrade")</f>
        <v>SportsTrade</v>
      </c>
      <c r="D325" s="10" t="str">
        <f>IFERROR(__xludf.DUMMYFUNCTION("""COMPUTED_VALUE"""),"Sergey Portnov, Bruce Stein and Rob Harris")</f>
        <v>Sergey Portnov, Bruce Stein and Rob Harris</v>
      </c>
      <c r="E325" s="10" t="str">
        <f>IFERROR(__xludf.DUMMYFUNCTION("""COMPUTED_VALUE"""),"Sergey Portnov,Bruce Stein,Rob Harris")</f>
        <v>Sergey Portnov,Bruce Stein,Rob Harris</v>
      </c>
      <c r="F325" s="10" t="str">
        <f>IFERROR(__xludf.DUMMYFUNCTION("""COMPUTED_VALUE"""),"2019/11/05 11:25:00")</f>
        <v>2019/11/05 11:25:00</v>
      </c>
      <c r="G325" s="10" t="str">
        <f>IFERROR(__xludf.DUMMYFUNCTION("""COMPUTED_VALUE"""),"2019/11/05 11:45:00")</f>
        <v>2019/11/05 11:45:00</v>
      </c>
      <c r="H325" s="10" t="str">
        <f>IFERROR(__xludf.DUMMYFUNCTION("""COMPUTED_VALUE"""),"d79d3ddd-1b99-4cb5-aa70-d337d3802bf3")</f>
        <v>d79d3ddd-1b99-4cb5-aa70-d337d3802bf3</v>
      </c>
      <c r="I325" s="10" t="str">
        <f>IFERROR(__xludf.DUMMYFUNCTION("""COMPUTED_VALUE"""),"d79d3ddd-1b99-4cb5-aa70-d337d3802bf3")</f>
        <v>d79d3ddd-1b99-4cb5-aa70-d337d3802bf3</v>
      </c>
    </row>
    <row r="326">
      <c r="A326" s="10" t="str">
        <f>IFERROR(__xludf.DUMMYFUNCTION("""COMPUTED_VALUE"""),"Creating trust in capital markets through disruptive collaboration")</f>
        <v>Creating trust in capital markets through disruptive collaboration</v>
      </c>
      <c r="B326" s="10" t="str">
        <f>IFERROR(__xludf.DUMMYFUNCTION("""COMPUTED_VALUE"""),"Sharegain's founder and CEO, Boaz joins us to talk about how to create trust, and how to partner with top-tier financial institutions.")</f>
        <v>Sharegain's founder and CEO, Boaz joins us to talk about how to create trust, and how to partner with top-tier financial institutions.</v>
      </c>
      <c r="C326" s="10" t="str">
        <f>IFERROR(__xludf.DUMMYFUNCTION("""COMPUTED_VALUE"""),"Growth Summit")</f>
        <v>Growth Summit</v>
      </c>
      <c r="D326" s="10" t="str">
        <f>IFERROR(__xludf.DUMMYFUNCTION("""COMPUTED_VALUE"""),"Boaz Yaari")</f>
        <v>Boaz Yaari</v>
      </c>
      <c r="E326" s="10" t="str">
        <f>IFERROR(__xludf.DUMMYFUNCTION("""COMPUTED_VALUE"""),"Boaz Yaari")</f>
        <v>Boaz Yaari</v>
      </c>
      <c r="F326" s="10" t="str">
        <f>IFERROR(__xludf.DUMMYFUNCTION("""COMPUTED_VALUE"""),"2019/11/06 11:18:00")</f>
        <v>2019/11/06 11:18:00</v>
      </c>
      <c r="G326" s="10" t="str">
        <f>IFERROR(__xludf.DUMMYFUNCTION("""COMPUTED_VALUE"""),"2019/11/06 11:22:00")</f>
        <v>2019/11/06 11:22:00</v>
      </c>
      <c r="H326" s="10" t="str">
        <f>IFERROR(__xludf.DUMMYFUNCTION("""COMPUTED_VALUE"""),"53bc3899-fa38-449c-9767-57c8beb089ae")</f>
        <v>53bc3899-fa38-449c-9767-57c8beb089ae</v>
      </c>
      <c r="I326" s="10" t="str">
        <f>IFERROR(__xludf.DUMMYFUNCTION("""COMPUTED_VALUE"""),"53bc3899-fa38-449c-9767-57c8beb089ae")</f>
        <v>53bc3899-fa38-449c-9767-57c8beb089ae</v>
      </c>
    </row>
    <row r="327">
      <c r="A327" s="10" t="str">
        <f>IFERROR(__xludf.DUMMYFUNCTION("""COMPUTED_VALUE"""),"Closing the digital divide: the power of tech to drive change in the world ")</f>
        <v>Closing the digital divide: the power of tech to drive change in the world </v>
      </c>
      <c r="B327" s="10" t="str">
        <f>IFERROR(__xludf.DUMMYFUNCTION("""COMPUTED_VALUE"""),"As millions of people access mobile and internet for the first time, there is an unprecedented opportunity to connect them to the information and services they need to thrive. Realising the potential of internet access is no easy feat, especially in devel"&amp;"oping economies. On this panel we hear from three innovators, across government, development and industry, on pioneering mobile technology that is driving change in the world.")</f>
        <v>As millions of people access mobile and internet for the first time, there is an unprecedented opportunity to connect them to the information and services they need to thrive. Realising the potential of internet access is no easy feat, especially in developing economies. On this panel we hear from three innovators, across government, development and industry, on pioneering mobile technology that is driving change in the world.</v>
      </c>
      <c r="C327" s="10" t="str">
        <f>IFERROR(__xludf.DUMMYFUNCTION("""COMPUTED_VALUE"""),"Future Societies")</f>
        <v>Future Societies</v>
      </c>
      <c r="D327" s="10" t="str">
        <f>IFERROR(__xludf.DUMMYFUNCTION("""COMPUTED_VALUE"""),"Maya Horgan Famodu, Jonathan McKay, Sebastien Codeville and Philip Crowther")</f>
        <v>Maya Horgan Famodu, Jonathan McKay, Sebastien Codeville and Philip Crowther</v>
      </c>
      <c r="E327" s="10" t="str">
        <f>IFERROR(__xludf.DUMMYFUNCTION("""COMPUTED_VALUE"""),"Maya Horgan Famodu,Jonathan McKay,Sebastien Codeville,Philip Crowther")</f>
        <v>Maya Horgan Famodu,Jonathan McKay,Sebastien Codeville,Philip Crowther</v>
      </c>
      <c r="F327" s="10" t="str">
        <f>IFERROR(__xludf.DUMMYFUNCTION("""COMPUTED_VALUE"""),"2019/11/07 14:20:00")</f>
        <v>2019/11/07 14:20:00</v>
      </c>
      <c r="G327" s="10" t="str">
        <f>IFERROR(__xludf.DUMMYFUNCTION("""COMPUTED_VALUE"""),"2019/11/07 14:40:00")</f>
        <v>2019/11/07 14:40:00</v>
      </c>
      <c r="H327" s="10" t="str">
        <f>IFERROR(__xludf.DUMMYFUNCTION("""COMPUTED_VALUE"""),"bcb5c8d9-14d9-42ad-b67c-7a92cee4d4d3")</f>
        <v>bcb5c8d9-14d9-42ad-b67c-7a92cee4d4d3</v>
      </c>
      <c r="I327" s="10" t="str">
        <f>IFERROR(__xludf.DUMMYFUNCTION("""COMPUTED_VALUE"""),"bcb5c8d9-14d9-42ad-b67c-7a92cee4d4d3")</f>
        <v>bcb5c8d9-14d9-42ad-b67c-7a92cee4d4d3</v>
      </c>
    </row>
    <row r="328">
      <c r="A328" s="10" t="str">
        <f>IFERROR(__xludf.DUMMYFUNCTION("""COMPUTED_VALUE"""),"The startup challenge of transforming traditional industries")</f>
        <v>The startup challenge of transforming traditional industries</v>
      </c>
      <c r="B328" s="10" t="str">
        <f>IFERROR(__xludf.DUMMYFUNCTION("""COMPUTED_VALUE"""),"As CEO of digital ecosystem company VAKT, Etienne reflects on the lessons the company has learned after two years of operations and on the challenges of disrupting the global commodities trading industry.")</f>
        <v>As CEO of digital ecosystem company VAKT, Etienne reflects on the lessons the company has learned after two years of operations and on the challenges of disrupting the global commodities trading industry.</v>
      </c>
      <c r="C328" s="10" t="str">
        <f>IFERROR(__xludf.DUMMYFUNCTION("""COMPUTED_VALUE"""),"Growth Summit")</f>
        <v>Growth Summit</v>
      </c>
      <c r="D328" s="10" t="str">
        <f>IFERROR(__xludf.DUMMYFUNCTION("""COMPUTED_VALUE"""),"Etienne Amic")</f>
        <v>Etienne Amic</v>
      </c>
      <c r="E328" s="10" t="str">
        <f>IFERROR(__xludf.DUMMYFUNCTION("""COMPUTED_VALUE"""),"Etienne Amic")</f>
        <v>Etienne Amic</v>
      </c>
      <c r="F328" s="10" t="str">
        <f>IFERROR(__xludf.DUMMYFUNCTION("""COMPUTED_VALUE"""),"2019/11/05 10:18:00")</f>
        <v>2019/11/05 10:18:00</v>
      </c>
      <c r="G328" s="10" t="str">
        <f>IFERROR(__xludf.DUMMYFUNCTION("""COMPUTED_VALUE"""),"2019/11/05 10:22:00")</f>
        <v>2019/11/05 10:22:00</v>
      </c>
      <c r="H328" s="10" t="str">
        <f>IFERROR(__xludf.DUMMYFUNCTION("""COMPUTED_VALUE"""),"ec2598bd-9c94-47e2-8eac-21d90e1c2716")</f>
        <v>ec2598bd-9c94-47e2-8eac-21d90e1c2716</v>
      </c>
      <c r="I328" s="10" t="str">
        <f>IFERROR(__xludf.DUMMYFUNCTION("""COMPUTED_VALUE"""),"ec2598bd-9c94-47e2-8eac-21d90e1c2716")</f>
        <v>ec2598bd-9c94-47e2-8eac-21d90e1c2716</v>
      </c>
    </row>
    <row r="329">
      <c r="A329" s="10" t="str">
        <f>IFERROR(__xludf.DUMMYFUNCTION("""COMPUTED_VALUE"""),"Cris Cyborg: Exclusive pre-Bellator debut press conference")</f>
        <v>Cris Cyborg: Exclusive pre-Bellator debut press conference</v>
      </c>
      <c r="B329" s="10" t="str">
        <f>IFERROR(__xludf.DUMMYFUNCTION("""COMPUTED_VALUE"""),"")</f>
        <v/>
      </c>
      <c r="C329" s="10" t="str">
        <f>IFERROR(__xludf.DUMMYFUNCTION("""COMPUTED_VALUE"""),"")</f>
        <v/>
      </c>
      <c r="D329" s="10" t="str">
        <f>IFERROR(__xludf.DUMMYFUNCTION("""COMPUTED_VALUE"""),"Cris Cyborg")</f>
        <v>Cris Cyborg</v>
      </c>
      <c r="E329" s="10" t="str">
        <f>IFERROR(__xludf.DUMMYFUNCTION("""COMPUTED_VALUE"""),"Cris Cyborg")</f>
        <v>Cris Cyborg</v>
      </c>
      <c r="F329" s="10" t="str">
        <f>IFERROR(__xludf.DUMMYFUNCTION("""COMPUTED_VALUE"""),"")</f>
        <v/>
      </c>
      <c r="G329" s="10" t="str">
        <f>IFERROR(__xludf.DUMMYFUNCTION("""COMPUTED_VALUE"""),"")</f>
        <v/>
      </c>
      <c r="H329" s="10" t="str">
        <f>IFERROR(__xludf.DUMMYFUNCTION("""COMPUTED_VALUE"""),"bc85a37f-25d2-5a23-a833-3c0fb3aac7fd")</f>
        <v>bc85a37f-25d2-5a23-a833-3c0fb3aac7fd</v>
      </c>
      <c r="I329" s="10" t="str">
        <f>IFERROR(__xludf.DUMMYFUNCTION("""COMPUTED_VALUE"""),"bc85a37f-25d2-5a23-a833-3c0fb3aac7fd")</f>
        <v>bc85a37f-25d2-5a23-a833-3c0fb3aac7fd</v>
      </c>
    </row>
    <row r="330">
      <c r="A330" s="10" t="str">
        <f>IFERROR(__xludf.DUMMYFUNCTION("""COMPUTED_VALUE"""),"Lunch break")</f>
        <v>Lunch break</v>
      </c>
      <c r="B330" s="10" t="str">
        <f>IFERROR(__xludf.DUMMYFUNCTION("""COMPUTED_VALUE"""),"")</f>
        <v/>
      </c>
      <c r="C330" s="10" t="str">
        <f>IFERROR(__xludf.DUMMYFUNCTION("""COMPUTED_VALUE"""),"Startup University")</f>
        <v>Startup University</v>
      </c>
      <c r="D330" s="10" t="str">
        <f>IFERROR(__xludf.DUMMYFUNCTION("""COMPUTED_VALUE"""),"")</f>
        <v/>
      </c>
      <c r="E330" s="10" t="str">
        <f>IFERROR(__xludf.DUMMYFUNCTION("""COMPUTED_VALUE"""),"")</f>
        <v/>
      </c>
      <c r="F330" s="10" t="str">
        <f>IFERROR(__xludf.DUMMYFUNCTION("""COMPUTED_VALUE"""),"2019/11/05 13:00:00")</f>
        <v>2019/11/05 13:00:00</v>
      </c>
      <c r="G330" s="10" t="str">
        <f>IFERROR(__xludf.DUMMYFUNCTION("""COMPUTED_VALUE"""),"2019/11/05 13:45:00")</f>
        <v>2019/11/05 13:45:00</v>
      </c>
      <c r="H330" s="10" t="str">
        <f>IFERROR(__xludf.DUMMYFUNCTION("""COMPUTED_VALUE"""),"b7b13b0c-cb93-4a28-92f2-c64579221f57")</f>
        <v>b7b13b0c-cb93-4a28-92f2-c64579221f57</v>
      </c>
      <c r="I330" s="10" t="str">
        <f>IFERROR(__xludf.DUMMYFUNCTION("""COMPUTED_VALUE"""),"b7b13b0c-cb93-4a28-92f2-c64579221f57")</f>
        <v>b7b13b0c-cb93-4a28-92f2-c64579221f57</v>
      </c>
    </row>
    <row r="331">
      <c r="A331" s="10" t="str">
        <f>IFERROR(__xludf.DUMMYFUNCTION("""COMPUTED_VALUE"""),"Immutable and distributed transactions: Your ledger databases and blockchain in the cloud")</f>
        <v>Immutable and distributed transactions: Your ledger databases and blockchain in the cloud</v>
      </c>
      <c r="B331" s="10" t="str">
        <f>IFERROR(__xludf.DUMMYFUNCTION("""COMPUTED_VALUE"""),"Enterprises around the world have very different needs when it comes to keep an immutable and verifiable trace of business transactions. Some require the transaction log to be centralised, while others need distribution across multiple actors.  In this se"&amp;"ssion we will explore the different use cases and services built around the concept of immutable and cryptographically verifiable ledger databases. We will cover centralised scenarios with Amazon QLDB and distributed ones with Amazon Managed blockchain.")</f>
        <v>Enterprises around the world have very different needs when it comes to keep an immutable and verifiable trace of business transactions. Some require the transaction log to be centralised, while others need distribution across multiple actors.  In this session we will explore the different use cases and services built around the concept of immutable and cryptographically verifiable ledger databases. We will cover centralised scenarios with Amazon QLDB and distributed ones with Amazon Managed blockchain.</v>
      </c>
      <c r="C331" s="10" t="str">
        <f>IFERROR(__xludf.DUMMYFUNCTION("""COMPUTED_VALUE"""),"AWS Developer Workshops")</f>
        <v>AWS Developer Workshops</v>
      </c>
      <c r="D331" s="10" t="str">
        <f>IFERROR(__xludf.DUMMYFUNCTION("""COMPUTED_VALUE"""),"")</f>
        <v/>
      </c>
      <c r="E331" s="10" t="str">
        <f>IFERROR(__xludf.DUMMYFUNCTION("""COMPUTED_VALUE"""),"")</f>
        <v/>
      </c>
      <c r="F331" s="10" t="str">
        <f>IFERROR(__xludf.DUMMYFUNCTION("""COMPUTED_VALUE"""),"2019/11/07 14:00:00")</f>
        <v>2019/11/07 14:00:00</v>
      </c>
      <c r="G331" s="10" t="str">
        <f>IFERROR(__xludf.DUMMYFUNCTION("""COMPUTED_VALUE"""),"2019/11/07 14:50:00")</f>
        <v>2019/11/07 14:50:00</v>
      </c>
      <c r="H331" s="10" t="str">
        <f>IFERROR(__xludf.DUMMYFUNCTION("""COMPUTED_VALUE"""),"dbd3b407-e531-4903-b851-40ae835cbef1")</f>
        <v>dbd3b407-e531-4903-b851-40ae835cbef1</v>
      </c>
      <c r="I331" s="10" t="str">
        <f>IFERROR(__xludf.DUMMYFUNCTION("""COMPUTED_VALUE"""),"dbd3b407-e531-4903-b851-40ae835cbef1")</f>
        <v>dbd3b407-e531-4903-b851-40ae835cbef1</v>
      </c>
    </row>
    <row r="332">
      <c r="A332" s="10" t="str">
        <f>IFERROR(__xludf.DUMMYFUNCTION("""COMPUTED_VALUE"""),"Keeping open source open")</f>
        <v>Keeping open source open</v>
      </c>
      <c r="B332" s="10" t="str">
        <f>IFERROR(__xludf.DUMMYFUNCTION("""COMPUTED_VALUE"""),"Should we keep open source open? The benefits of doing so far outweigh the cons. Allowing developers from all backgrounds and training practices to review and modify code means that it is constantly being improved. Consequently, this allows the entirety o"&amp;"f the industry to benefit from innovation, better security and healthy competition. It also gives developers greater mobility. ")</f>
        <v>Should we keep open source open? The benefits of doing so far outweigh the cons. Allowing developers from all backgrounds and training practices to review and modify code means that it is constantly being improved. Consequently, this allows the entirety of the industry to benefit from innovation, better security and healthy competition. It also gives developers greater mobility. </v>
      </c>
      <c r="C332" s="10" t="str">
        <f>IFERROR(__xludf.DUMMYFUNCTION("""COMPUTED_VALUE"""),"FullSTK")</f>
        <v>FullSTK</v>
      </c>
      <c r="D332" s="10" t="str">
        <f>IFERROR(__xludf.DUMMYFUNCTION("""COMPUTED_VALUE"""),"Katharina Borchert, Rashmi Gopinath and John Rampton")</f>
        <v>Katharina Borchert, Rashmi Gopinath and John Rampton</v>
      </c>
      <c r="E332" s="10" t="str">
        <f>IFERROR(__xludf.DUMMYFUNCTION("""COMPUTED_VALUE"""),"Katharina Borchert,Rashmi Gopinath,John Rampton")</f>
        <v>Katharina Borchert,Rashmi Gopinath,John Rampton</v>
      </c>
      <c r="F332" s="10" t="str">
        <f>IFERROR(__xludf.DUMMYFUNCTION("""COMPUTED_VALUE"""),"2019/11/07 12:15:00")</f>
        <v>2019/11/07 12:15:00</v>
      </c>
      <c r="G332" s="10" t="str">
        <f>IFERROR(__xludf.DUMMYFUNCTION("""COMPUTED_VALUE"""),"2019/11/07 12:35:00")</f>
        <v>2019/11/07 12:35:00</v>
      </c>
      <c r="H332" s="10" t="str">
        <f>IFERROR(__xludf.DUMMYFUNCTION("""COMPUTED_VALUE"""),"2e5449ec-46ea-4bff-aabe-76c77c5da660")</f>
        <v>2e5449ec-46ea-4bff-aabe-76c77c5da660</v>
      </c>
      <c r="I332" s="10" t="str">
        <f>IFERROR(__xludf.DUMMYFUNCTION("""COMPUTED_VALUE"""),"2e5449ec-46ea-4bff-aabe-76c77c5da660")</f>
        <v>2e5449ec-46ea-4bff-aabe-76c77c5da660</v>
      </c>
    </row>
    <row r="333">
      <c r="A333" s="10" t="str">
        <f>IFERROR(__xludf.DUMMYFUNCTION("""COMPUTED_VALUE"""),"The long walk to peace")</f>
        <v>The long walk to peace</v>
      </c>
      <c r="B333" s="10" t="str">
        <f>IFERROR(__xludf.DUMMYFUNCTION("""COMPUTED_VALUE"""),"The path to peace for any society after a period of conflict is fraught with danger. The majority of civil conflicts backslide within 10 years of finishing. Shortening the path from conflict to peace is what this panel - including Nelson Mandela's grandso"&amp;"n - will explore.")</f>
        <v>The path to peace for any society after a period of conflict is fraught with danger. The majority of civil conflicts backslide within 10 years of finishing. Shortening the path from conflict to peace is what this panel - including Nelson Mandela's grandson - will explore.</v>
      </c>
      <c r="C333" s="10" t="str">
        <f>IFERROR(__xludf.DUMMYFUNCTION("""COMPUTED_VALUE"""),"Future Societies")</f>
        <v>Future Societies</v>
      </c>
      <c r="D333" s="10" t="str">
        <f>IFERROR(__xludf.DUMMYFUNCTION("""COMPUTED_VALUE"""),"Siyabulela Mandela, Peter Tatchell, John Jaeger and Tom Finn")</f>
        <v>Siyabulela Mandela, Peter Tatchell, John Jaeger and Tom Finn</v>
      </c>
      <c r="E333" s="10" t="str">
        <f>IFERROR(__xludf.DUMMYFUNCTION("""COMPUTED_VALUE"""),"Siyabulela Mandela,Peter Tatchell,John Jaeger,Tom Finn")</f>
        <v>Siyabulela Mandela,Peter Tatchell,John Jaeger,Tom Finn</v>
      </c>
      <c r="F333" s="10" t="str">
        <f>IFERROR(__xludf.DUMMYFUNCTION("""COMPUTED_VALUE"""),"2019/11/06 10:50:00")</f>
        <v>2019/11/06 10:50:00</v>
      </c>
      <c r="G333" s="10" t="str">
        <f>IFERROR(__xludf.DUMMYFUNCTION("""COMPUTED_VALUE"""),"2019/11/06 11:10:00")</f>
        <v>2019/11/06 11:10:00</v>
      </c>
      <c r="H333" s="10" t="str">
        <f>IFERROR(__xludf.DUMMYFUNCTION("""COMPUTED_VALUE"""),"0481dbc5-00f8-4433-ae3e-9e59c676bb60")</f>
        <v>0481dbc5-00f8-4433-ae3e-9e59c676bb60</v>
      </c>
      <c r="I333" s="10" t="str">
        <f>IFERROR(__xludf.DUMMYFUNCTION("""COMPUTED_VALUE"""),"0481dbc5-00f8-4433-ae3e-9e59c676bb60")</f>
        <v>0481dbc5-00f8-4433-ae3e-9e59c676bb60</v>
      </c>
    </row>
    <row r="334">
      <c r="A334" s="10" t="str">
        <f>IFERROR(__xludf.DUMMYFUNCTION("""COMPUTED_VALUE"""),"Q&amp;A with Garrett McNamara
")</f>
        <v>Q&amp;A with Garrett McNamara
</v>
      </c>
      <c r="B334" s="10" t="str">
        <f>IFERROR(__xludf.DUMMYFUNCTION("""COMPUTED_VALUE"""),"")</f>
        <v/>
      </c>
      <c r="C334" s="10" t="str">
        <f>IFERROR(__xludf.DUMMYFUNCTION("""COMPUTED_VALUE"""),"")</f>
        <v/>
      </c>
      <c r="D334" s="10" t="str">
        <f>IFERROR(__xludf.DUMMYFUNCTION("""COMPUTED_VALUE"""),"Garrett McNamara")</f>
        <v>Garrett McNamara</v>
      </c>
      <c r="E334" s="10" t="str">
        <f>IFERROR(__xludf.DUMMYFUNCTION("""COMPUTED_VALUE"""),"Garrett McNamara")</f>
        <v>Garrett McNamara</v>
      </c>
      <c r="F334" s="10" t="str">
        <f>IFERROR(__xludf.DUMMYFUNCTION("""COMPUTED_VALUE"""),"")</f>
        <v/>
      </c>
      <c r="G334" s="10" t="str">
        <f>IFERROR(__xludf.DUMMYFUNCTION("""COMPUTED_VALUE"""),"")</f>
        <v/>
      </c>
      <c r="H334" s="10" t="str">
        <f>IFERROR(__xludf.DUMMYFUNCTION("""COMPUTED_VALUE"""),"3b967284-534a-5639-909d-69f9cc0c3dfe")</f>
        <v>3b967284-534a-5639-909d-69f9cc0c3dfe</v>
      </c>
      <c r="I334" s="10" t="str">
        <f>IFERROR(__xludf.DUMMYFUNCTION("""COMPUTED_VALUE"""),"3b967284-534a-5639-909d-69f9cc0c3dfe")</f>
        <v>3b967284-534a-5639-909d-69f9cc0c3dfe</v>
      </c>
    </row>
    <row r="335">
      <c r="A335" s="10" t="str">
        <f>IFERROR(__xludf.DUMMYFUNCTION("""COMPUTED_VALUE"""),"Is there a future for TV?")</f>
        <v>Is there a future for TV?</v>
      </c>
      <c r="B335" s="10" t="str">
        <f>IFERROR(__xludf.DUMMYFUNCTION("""COMPUTED_VALUE"""),"This panel discussion looks at the shifting television landscape and the challenges facing the medium in 2019. ")</f>
        <v>This panel discussion looks at the shifting television landscape and the challenges facing the medium in 2019. </v>
      </c>
      <c r="C335" s="10" t="str">
        <f>IFERROR(__xludf.DUMMYFUNCTION("""COMPUTED_VALUE"""),"ContentMakers")</f>
        <v>ContentMakers</v>
      </c>
      <c r="D335" s="10" t="str">
        <f>IFERROR(__xludf.DUMMYFUNCTION("""COMPUTED_VALUE"""),"Patrick Holland, Juliet Mann and Ania Poullain-Majchrzak")</f>
        <v>Patrick Holland, Juliet Mann and Ania Poullain-Majchrzak</v>
      </c>
      <c r="E335" s="10" t="str">
        <f>IFERROR(__xludf.DUMMYFUNCTION("""COMPUTED_VALUE"""),"Patrick Holland,Juliet Mann,Ania Poullain-Majchrzak")</f>
        <v>Patrick Holland,Juliet Mann,Ania Poullain-Majchrzak</v>
      </c>
      <c r="F335" s="10" t="str">
        <f>IFERROR(__xludf.DUMMYFUNCTION("""COMPUTED_VALUE"""),"2019/11/07 12:15:00")</f>
        <v>2019/11/07 12:15:00</v>
      </c>
      <c r="G335" s="10" t="str">
        <f>IFERROR(__xludf.DUMMYFUNCTION("""COMPUTED_VALUE"""),"2019/11/07 12:35:00")</f>
        <v>2019/11/07 12:35:00</v>
      </c>
      <c r="H335" s="10" t="str">
        <f>IFERROR(__xludf.DUMMYFUNCTION("""COMPUTED_VALUE"""),"e5d32825-cddf-4932-8ee1-67a20d5318a7")</f>
        <v>e5d32825-cddf-4932-8ee1-67a20d5318a7</v>
      </c>
      <c r="I335" s="10" t="str">
        <f>IFERROR(__xludf.DUMMYFUNCTION("""COMPUTED_VALUE"""),"e5d32825-cddf-4932-8ee1-67a20d5318a7")</f>
        <v>e5d32825-cddf-4932-8ee1-67a20d5318a7</v>
      </c>
    </row>
    <row r="336">
      <c r="A336" s="10" t="str">
        <f>IFERROR(__xludf.DUMMYFUNCTION("""COMPUTED_VALUE"""),"Opening remarks")</f>
        <v>Opening remarks</v>
      </c>
      <c r="B336" s="10" t="str">
        <f>IFERROR(__xludf.DUMMYFUNCTION("""COMPUTED_VALUE"""),"")</f>
        <v/>
      </c>
      <c r="C336" s="10" t="str">
        <f>IFERROR(__xludf.DUMMYFUNCTION("""COMPUTED_VALUE"""),"MoneyConf")</f>
        <v>MoneyConf</v>
      </c>
      <c r="D336" s="10" t="str">
        <f>IFERROR(__xludf.DUMMYFUNCTION("""COMPUTED_VALUE"""),"Anna Scally")</f>
        <v>Anna Scally</v>
      </c>
      <c r="E336" s="10" t="str">
        <f>IFERROR(__xludf.DUMMYFUNCTION("""COMPUTED_VALUE"""),"Anna Scally")</f>
        <v>Anna Scally</v>
      </c>
      <c r="F336" s="10" t="str">
        <f>IFERROR(__xludf.DUMMYFUNCTION("""COMPUTED_VALUE"""),"2019/11/07 10:45:00")</f>
        <v>2019/11/07 10:45:00</v>
      </c>
      <c r="G336" s="10" t="str">
        <f>IFERROR(__xludf.DUMMYFUNCTION("""COMPUTED_VALUE"""),"2019/11/07 11:00:00")</f>
        <v>2019/11/07 11:00:00</v>
      </c>
      <c r="H336" s="10" t="str">
        <f>IFERROR(__xludf.DUMMYFUNCTION("""COMPUTED_VALUE"""),"4c0432e1-70f0-4142-9405-efa53da6f706")</f>
        <v>4c0432e1-70f0-4142-9405-efa53da6f706</v>
      </c>
      <c r="I336" s="10" t="str">
        <f>IFERROR(__xludf.DUMMYFUNCTION("""COMPUTED_VALUE"""),"4c0432e1-70f0-4142-9405-efa53da6f706")</f>
        <v>4c0432e1-70f0-4142-9405-efa53da6f706</v>
      </c>
    </row>
    <row r="337">
      <c r="A337" s="10" t="str">
        <f>IFERROR(__xludf.DUMMYFUNCTION("""COMPUTED_VALUE"""),"Opening remarks")</f>
        <v>Opening remarks</v>
      </c>
      <c r="B337" s="10" t="str">
        <f>IFERROR(__xludf.DUMMYFUNCTION("""COMPUTED_VALUE"""),"")</f>
        <v/>
      </c>
      <c r="C337" s="10" t="str">
        <f>IFERROR(__xludf.DUMMYFUNCTION("""COMPUTED_VALUE"""),"SportsTrade")</f>
        <v>SportsTrade</v>
      </c>
      <c r="D337" s="10" t="str">
        <f>IFERROR(__xludf.DUMMYFUNCTION("""COMPUTED_VALUE"""),"Bernard Brogan")</f>
        <v>Bernard Brogan</v>
      </c>
      <c r="E337" s="10" t="str">
        <f>IFERROR(__xludf.DUMMYFUNCTION("""COMPUTED_VALUE"""),"Bernard Brogan")</f>
        <v>Bernard Brogan</v>
      </c>
      <c r="F337" s="10" t="str">
        <f>IFERROR(__xludf.DUMMYFUNCTION("""COMPUTED_VALUE"""),"2019/11/05 13:10:00")</f>
        <v>2019/11/05 13:10:00</v>
      </c>
      <c r="G337" s="10" t="str">
        <f>IFERROR(__xludf.DUMMYFUNCTION("""COMPUTED_VALUE"""),"2019/11/05 13:15:00")</f>
        <v>2019/11/05 13:15:00</v>
      </c>
      <c r="H337" s="10" t="str">
        <f>IFERROR(__xludf.DUMMYFUNCTION("""COMPUTED_VALUE"""),"b6b29815-62f1-4ce8-b773-c4198035b84b")</f>
        <v>b6b29815-62f1-4ce8-b773-c4198035b84b</v>
      </c>
      <c r="I337" s="10" t="str">
        <f>IFERROR(__xludf.DUMMYFUNCTION("""COMPUTED_VALUE"""),"b6b29815-62f1-4ce8-b773-c4198035b84b")</f>
        <v>b6b29815-62f1-4ce8-b773-c4198035b84b</v>
      </c>
    </row>
    <row r="338">
      <c r="A338" s="10" t="str">
        <f>IFERROR(__xludf.DUMMYFUNCTION("""COMPUTED_VALUE"""),"Chaos Engineering: Why breaking things should be practiced")</f>
        <v>Chaos Engineering: Why breaking things should be practiced</v>
      </c>
      <c r="B338" s="10" t="str">
        <f>IFERROR(__xludf.DUMMYFUNCTION("""COMPUTED_VALUE"""),"Ever wondered how companies delivering global services like Amazon or Netflix are architecting and testing their software systems? If so, this session is for you.
 With the rise of microservices and large-scale distributed architectures, software systems"&amp;" have grown increasingly complex and hard to understand. Adding to that complexity, the velocity of software delivery has also dramatically increased, resulting in failures being harder to predict and contain. While the cloud allows for high availability,"&amp;" redundancy and fault tolerance, no single component can guarantee 100% uptime. Therefore, we have to understand availability but especially learn how to design architectures with failure in mind. And since failures have become more and more chaotic in na"&amp;"ture, we must turn to chaos engineering in order to identify failures before they become outages. In this talk, we will look into availability, reliability and large-scale architectures and make an introduction to chaos engineering, a discipline that prom"&amp;"otes breaking things on purpose in order to learn how to build more resilient systems.")</f>
        <v>Ever wondered how companies delivering global services like Amazon or Netflix are architecting and testing their software systems? If so, this session is for you.
 With the rise of microservices and large-scale distributed architectures, software systems have grown increasingly complex and hard to understand. Adding to that complexity, the velocity of software delivery has also dramatically increased, resulting in failures being harder to predict and contain. While the cloud allows for high availability, redundancy and fault tolerance, no single component can guarantee 100% uptime. Therefore, we have to understand availability but especially learn how to design architectures with failure in mind. And since failures have become more and more chaotic in nature, we must turn to chaos engineering in order to identify failures before they become outages. In this talk, we will look into availability, reliability and large-scale architectures and make an introduction to chaos engineering, a discipline that promotes breaking things on purpose in order to learn how to build more resilient systems.</v>
      </c>
      <c r="C338" s="10" t="str">
        <f>IFERROR(__xludf.DUMMYFUNCTION("""COMPUTED_VALUE"""),"AWS Developer Workshops")</f>
        <v>AWS Developer Workshops</v>
      </c>
      <c r="D338" s="10" t="str">
        <f>IFERROR(__xludf.DUMMYFUNCTION("""COMPUTED_VALUE"""),"")</f>
        <v/>
      </c>
      <c r="E338" s="10" t="str">
        <f>IFERROR(__xludf.DUMMYFUNCTION("""COMPUTED_VALUE"""),"")</f>
        <v/>
      </c>
      <c r="F338" s="10" t="str">
        <f>IFERROR(__xludf.DUMMYFUNCTION("""COMPUTED_VALUE"""),"2019/11/06 11:00:00")</f>
        <v>2019/11/06 11:00:00</v>
      </c>
      <c r="G338" s="10" t="str">
        <f>IFERROR(__xludf.DUMMYFUNCTION("""COMPUTED_VALUE"""),"2019/11/06 11:50:00")</f>
        <v>2019/11/06 11:50:00</v>
      </c>
      <c r="H338" s="10" t="str">
        <f>IFERROR(__xludf.DUMMYFUNCTION("""COMPUTED_VALUE"""),"e01cbf29-befc-4447-a60c-4c61d0a9068b")</f>
        <v>e01cbf29-befc-4447-a60c-4c61d0a9068b</v>
      </c>
      <c r="I338" s="10" t="str">
        <f>IFERROR(__xludf.DUMMYFUNCTION("""COMPUTED_VALUE"""),"e01cbf29-befc-4447-a60c-4c61d0a9068b")</f>
        <v>e01cbf29-befc-4447-a60c-4c61d0a9068b</v>
      </c>
    </row>
    <row r="339">
      <c r="A339" s="10" t="str">
        <f>IFERROR(__xludf.DUMMYFUNCTION("""COMPUTED_VALUE"""),"Fairness in blockchain and distributed ledger technology, hosted by Hedera Hashgraph ")</f>
        <v>Fairness in blockchain and distributed ledger technology, hosted by Hedera Hashgraph </v>
      </c>
      <c r="B339" s="10" t="str">
        <f>IFERROR(__xludf.DUMMYFUNCTION("""COMPUTED_VALUE"""),"Blockchain and DLT systems build trust by distributing agreement among people who are less trusted individually. This lets you trust that everyone will agree on which transactions are executed, and in what order. But will that order be fair? Can you trust"&amp;" that no individual will have too much influence on that order? We will talk about how this can be important for applications from stock markets to games, and discuss ways to define and ensure fairness.")</f>
        <v>Blockchain and DLT systems build trust by distributing agreement among people who are less trusted individually. This lets you trust that everyone will agree on which transactions are executed, and in what order. But will that order be fair? Can you trust that no individual will have too much influence on that order? We will talk about how this can be important for applications from stock markets to games, and discuss ways to define and ensure fairness.</v>
      </c>
      <c r="C339" s="10" t="str">
        <f>IFERROR(__xludf.DUMMYFUNCTION("""COMPUTED_VALUE"""),"Workshop 3")</f>
        <v>Workshop 3</v>
      </c>
      <c r="D339" s="10" t="str">
        <f>IFERROR(__xludf.DUMMYFUNCTION("""COMPUTED_VALUE"""),"Leemon Baird")</f>
        <v>Leemon Baird</v>
      </c>
      <c r="E339" s="10" t="str">
        <f>IFERROR(__xludf.DUMMYFUNCTION("""COMPUTED_VALUE"""),"Leemon Baird")</f>
        <v>Leemon Baird</v>
      </c>
      <c r="F339" s="10" t="str">
        <f>IFERROR(__xludf.DUMMYFUNCTION("""COMPUTED_VALUE"""),"2019/11/05 14:00:00")</f>
        <v>2019/11/05 14:00:00</v>
      </c>
      <c r="G339" s="10" t="str">
        <f>IFERROR(__xludf.DUMMYFUNCTION("""COMPUTED_VALUE"""),"2019/11/05 15:30:00")</f>
        <v>2019/11/05 15:30:00</v>
      </c>
      <c r="H339" s="10" t="str">
        <f>IFERROR(__xludf.DUMMYFUNCTION("""COMPUTED_VALUE"""),"ff4d5224-dc4d-4120-a61a-d3dae839d17d")</f>
        <v>ff4d5224-dc4d-4120-a61a-d3dae839d17d</v>
      </c>
      <c r="I339" s="10" t="str">
        <f>IFERROR(__xludf.DUMMYFUNCTION("""COMPUTED_VALUE"""),"ff4d5224-dc4d-4120-a61a-d3dae839d17d")</f>
        <v>ff4d5224-dc4d-4120-a61a-d3dae839d17d</v>
      </c>
    </row>
    <row r="340">
      <c r="A340" s="10" t="str">
        <f>IFERROR(__xludf.DUMMYFUNCTION("""COMPUTED_VALUE"""),"Technical structure of HMS core: A deep-dive and guided tour, hosted by Huawei")</f>
        <v>Technical structure of HMS core: A deep-dive and guided tour, hosted by Huawei</v>
      </c>
      <c r="B340" s="10" t="str">
        <f>IFERROR(__xludf.DUMMYFUNCTION("""COMPUTED_VALUE"""),"Developing with HMS Core. Explore 14 HMS Core capabilities (including in-app payment, maps, account and more) to boost your business and accelerate your app development using Huawei's all-in-one solution.")</f>
        <v>Developing with HMS Core. Explore 14 HMS Core capabilities (including in-app payment, maps, account and more) to boost your business and accelerate your app development using Huawei's all-in-one solution.</v>
      </c>
      <c r="C340" s="10" t="str">
        <f>IFERROR(__xludf.DUMMYFUNCTION("""COMPUTED_VALUE"""),"Workshop 1")</f>
        <v>Workshop 1</v>
      </c>
      <c r="D340" s="10" t="str">
        <f>IFERROR(__xludf.DUMMYFUNCTION("""COMPUTED_VALUE"""),"Andreas Zimmer")</f>
        <v>Andreas Zimmer</v>
      </c>
      <c r="E340" s="10" t="str">
        <f>IFERROR(__xludf.DUMMYFUNCTION("""COMPUTED_VALUE"""),"Andreas Zimmer")</f>
        <v>Andreas Zimmer</v>
      </c>
      <c r="F340" s="10" t="str">
        <f>IFERROR(__xludf.DUMMYFUNCTION("""COMPUTED_VALUE"""),"2019/11/05 13:45:00")</f>
        <v>2019/11/05 13:45:00</v>
      </c>
      <c r="G340" s="10" t="str">
        <f>IFERROR(__xludf.DUMMYFUNCTION("""COMPUTED_VALUE"""),"2019/11/05 14:25:00")</f>
        <v>2019/11/05 14:25:00</v>
      </c>
      <c r="H340" s="10" t="str">
        <f>IFERROR(__xludf.DUMMYFUNCTION("""COMPUTED_VALUE"""),"b8c0e856-ff9a-44fe-b019-befdfc3c3714")</f>
        <v>b8c0e856-ff9a-44fe-b019-befdfc3c3714</v>
      </c>
      <c r="I340" s="10" t="str">
        <f>IFERROR(__xludf.DUMMYFUNCTION("""COMPUTED_VALUE"""),"b8c0e856-ff9a-44fe-b019-befdfc3c3714")</f>
        <v>b8c0e856-ff9a-44fe-b019-befdfc3c3714</v>
      </c>
    </row>
    <row r="341">
      <c r="A341" s="10" t="str">
        <f>IFERROR(__xludf.DUMMYFUNCTION("""COMPUTED_VALUE"""),"GenZ consumers: What do they want?")</f>
        <v>GenZ consumers: What do they want?</v>
      </c>
      <c r="B341" s="10" t="str">
        <f>IFERROR(__xludf.DUMMYFUNCTION("""COMPUTED_VALUE"""),"Some of the biggest IPOs in recent years have been from consumer tech companies like Spotify, Lyft, Uber, Pinterest, etc. What tech does Gen Z want and where are investors placing their bets?")</f>
        <v>Some of the biggest IPOs in recent years have been from consumer tech companies like Spotify, Lyft, Uber, Pinterest, etc. What tech does Gen Z want and where are investors placing their bets?</v>
      </c>
      <c r="C341" s="10" t="str">
        <f>IFERROR(__xludf.DUMMYFUNCTION("""COMPUTED_VALUE"""),"Venture stage")</f>
        <v>Venture stage</v>
      </c>
      <c r="D341" s="10" t="str">
        <f>IFERROR(__xludf.DUMMYFUNCTION("""COMPUTED_VALUE"""),"Karen McCormick, Tara Reeves, Rob Lowe, Avi Eyal and Eva Baczynska")</f>
        <v>Karen McCormick, Tara Reeves, Rob Lowe, Avi Eyal and Eva Baczynska</v>
      </c>
      <c r="E341" s="10" t="str">
        <f>IFERROR(__xludf.DUMMYFUNCTION("""COMPUTED_VALUE"""),"Karen McCormick,Tara Reeves,Rob Lowe,Avi Eyal,Eva Baczynska")</f>
        <v>Karen McCormick,Tara Reeves,Rob Lowe,Avi Eyal,Eva Baczynska</v>
      </c>
      <c r="F341" s="10" t="str">
        <f>IFERROR(__xludf.DUMMYFUNCTION("""COMPUTED_VALUE"""),"2019/11/05 11:10:00")</f>
        <v>2019/11/05 11:10:00</v>
      </c>
      <c r="G341" s="10" t="str">
        <f>IFERROR(__xludf.DUMMYFUNCTION("""COMPUTED_VALUE"""),"2019/11/05 11:35:00")</f>
        <v>2019/11/05 11:35:00</v>
      </c>
      <c r="H341" s="10" t="str">
        <f>IFERROR(__xludf.DUMMYFUNCTION("""COMPUTED_VALUE"""),"b467dd67-e44c-46cd-9c69-dfca7ac8d677")</f>
        <v>b467dd67-e44c-46cd-9c69-dfca7ac8d677</v>
      </c>
      <c r="I341" s="10" t="str">
        <f>IFERROR(__xludf.DUMMYFUNCTION("""COMPUTED_VALUE"""),"b467dd67-e44c-46cd-9c69-dfca7ac8d677")</f>
        <v>b467dd67-e44c-46cd-9c69-dfca7ac8d677</v>
      </c>
    </row>
    <row r="342">
      <c r="A342" s="10" t="str">
        <f>IFERROR(__xludf.DUMMYFUNCTION("""COMPUTED_VALUE"""),"Tools for building your MVP on AWS")</f>
        <v>Tools for building your MVP on AWS</v>
      </c>
      <c r="B342" s="10" t="str">
        <f>IFERROR(__xludf.DUMMYFUNCTION("""COMPUTED_VALUE"""),"Early stage startups are time and resource constrained, and need to quickly get to product market fit. This session is for startups who want to find out about the best ways to build their minimal viable product (MVP) on AWS. You’ll get an overview of how "&amp;"startups build MVPs using services like API Gateway, Amplify, Lambda, Managed Kubernetes on AWS, Lightsail, and Database options. After this session you’ll be able to pick the right technologies and use pre-configured architectures to speed up your develo"&amp;"pment.")</f>
        <v>Early stage startups are time and resource constrained, and need to quickly get to product market fit. This session is for startups who want to find out about the best ways to build their minimal viable product (MVP) on AWS. You’ll get an overview of how startups build MVPs using services like API Gateway, Amplify, Lambda, Managed Kubernetes on AWS, Lightsail, and Database options. After this session you’ll be able to pick the right technologies and use pre-configured architectures to speed up your development.</v>
      </c>
      <c r="C342" s="10" t="str">
        <f>IFERROR(__xludf.DUMMYFUNCTION("""COMPUTED_VALUE"""),"AWS Developer Workshops")</f>
        <v>AWS Developer Workshops</v>
      </c>
      <c r="D342" s="10" t="str">
        <f>IFERROR(__xludf.DUMMYFUNCTION("""COMPUTED_VALUE"""),"")</f>
        <v/>
      </c>
      <c r="E342" s="10" t="str">
        <f>IFERROR(__xludf.DUMMYFUNCTION("""COMPUTED_VALUE"""),"")</f>
        <v/>
      </c>
      <c r="F342" s="10" t="str">
        <f>IFERROR(__xludf.DUMMYFUNCTION("""COMPUTED_VALUE"""),"2019/11/06 14:00:00")</f>
        <v>2019/11/06 14:00:00</v>
      </c>
      <c r="G342" s="10" t="str">
        <f>IFERROR(__xludf.DUMMYFUNCTION("""COMPUTED_VALUE"""),"2019/11/06 14:50:00")</f>
        <v>2019/11/06 14:50:00</v>
      </c>
      <c r="H342" s="10" t="str">
        <f>IFERROR(__xludf.DUMMYFUNCTION("""COMPUTED_VALUE"""),"d731a6ef-dd24-4d43-b4f9-f7209d784913")</f>
        <v>d731a6ef-dd24-4d43-b4f9-f7209d784913</v>
      </c>
      <c r="I342" s="10" t="str">
        <f>IFERROR(__xludf.DUMMYFUNCTION("""COMPUTED_VALUE"""),"d731a6ef-dd24-4d43-b4f9-f7209d784913")</f>
        <v>d731a6ef-dd24-4d43-b4f9-f7209d784913</v>
      </c>
    </row>
    <row r="343">
      <c r="A343" s="10" t="str">
        <f>IFERROR(__xludf.DUMMYFUNCTION("""COMPUTED_VALUE"""),"Apex.AI: Taking software from open source to products")</f>
        <v>Apex.AI: Taking software from open source to products</v>
      </c>
      <c r="B343" s="10" t="str">
        <f>IFERROR(__xludf.DUMMYFUNCTION("""COMPUTED_VALUE"""),"Jan, the CEO and co-founder of Apex.AI, will outline how the company brings open source software to products in the mobility space. He'll discuss the challenges they've faced along the way, as well as their business model and long term vision.")</f>
        <v>Jan, the CEO and co-founder of Apex.AI, will outline how the company brings open source software to products in the mobility space. He'll discuss the challenges they've faced along the way, as well as their business model and long term vision.</v>
      </c>
      <c r="C343" s="10" t="str">
        <f>IFERROR(__xludf.DUMMYFUNCTION("""COMPUTED_VALUE"""),"Growth Summit")</f>
        <v>Growth Summit</v>
      </c>
      <c r="D343" s="10" t="str">
        <f>IFERROR(__xludf.DUMMYFUNCTION("""COMPUTED_VALUE"""),"Jan Becker")</f>
        <v>Jan Becker</v>
      </c>
      <c r="E343" s="10" t="str">
        <f>IFERROR(__xludf.DUMMYFUNCTION("""COMPUTED_VALUE"""),"Jan Becker")</f>
        <v>Jan Becker</v>
      </c>
      <c r="F343" s="10" t="str">
        <f>IFERROR(__xludf.DUMMYFUNCTION("""COMPUTED_VALUE"""),"2019/11/05 12:52:00")</f>
        <v>2019/11/05 12:52:00</v>
      </c>
      <c r="G343" s="10" t="str">
        <f>IFERROR(__xludf.DUMMYFUNCTION("""COMPUTED_VALUE"""),"2019/11/05 13:03:00")</f>
        <v>2019/11/05 13:03:00</v>
      </c>
      <c r="H343" s="10" t="str">
        <f>IFERROR(__xludf.DUMMYFUNCTION("""COMPUTED_VALUE"""),"1010388a-88e1-4a97-9b9b-f212ca8b351c")</f>
        <v>1010388a-88e1-4a97-9b9b-f212ca8b351c</v>
      </c>
      <c r="I343" s="10" t="str">
        <f>IFERROR(__xludf.DUMMYFUNCTION("""COMPUTED_VALUE"""),"1010388a-88e1-4a97-9b9b-f212ca8b351c")</f>
        <v>1010388a-88e1-4a97-9b9b-f212ca8b351c</v>
      </c>
    </row>
    <row r="344">
      <c r="A344" s="10" t="str">
        <f>IFERROR(__xludf.DUMMYFUNCTION("""COMPUTED_VALUE"""),"Reaching for the Sky")</f>
        <v>Reaching for the Sky</v>
      </c>
      <c r="B344" s="10" t="str">
        <f>IFERROR(__xludf.DUMMYFUNCTION("""COMPUTED_VALUE"""),"We've never had so much content available to watch as we do today. Rising above the rest requires innovation and quality in production and distribution. Sky managed it this year with Chernobyl. Let's hear how they made recent history into must-see tv.")</f>
        <v>We've never had so much content available to watch as we do today. Rising above the rest requires innovation and quality in production and distribution. Sky managed it this year with Chernobyl. Let's hear how they made recent history into must-see tv.</v>
      </c>
      <c r="C344" s="10" t="str">
        <f>IFERROR(__xludf.DUMMYFUNCTION("""COMPUTED_VALUE"""),"PandaConf")</f>
        <v>PandaConf</v>
      </c>
      <c r="D344" s="10" t="str">
        <f>IFERROR(__xludf.DUMMYFUNCTION("""COMPUTED_VALUE"""),"Jeremy Darroch and Karen Tso")</f>
        <v>Jeremy Darroch and Karen Tso</v>
      </c>
      <c r="E344" s="10" t="str">
        <f>IFERROR(__xludf.DUMMYFUNCTION("""COMPUTED_VALUE"""),"Jeremy Darroch,Karen Tso")</f>
        <v>Jeremy Darroch,Karen Tso</v>
      </c>
      <c r="F344" s="10" t="str">
        <f>IFERROR(__xludf.DUMMYFUNCTION("""COMPUTED_VALUE"""),"2019/11/05 11:45:00")</f>
        <v>2019/11/05 11:45:00</v>
      </c>
      <c r="G344" s="10" t="str">
        <f>IFERROR(__xludf.DUMMYFUNCTION("""COMPUTED_VALUE"""),"2019/11/05 12:10:00")</f>
        <v>2019/11/05 12:10:00</v>
      </c>
      <c r="H344" s="10" t="str">
        <f>IFERROR(__xludf.DUMMYFUNCTION("""COMPUTED_VALUE"""),"6ccc45ad-1415-4f0e-9fa0-a50b2bcc87ec")</f>
        <v>6ccc45ad-1415-4f0e-9fa0-a50b2bcc87ec</v>
      </c>
      <c r="I344" s="10" t="str">
        <f>IFERROR(__xludf.DUMMYFUNCTION("""COMPUTED_VALUE"""),"6ccc45ad-1415-4f0e-9fa0-a50b2bcc87ec")</f>
        <v>6ccc45ad-1415-4f0e-9fa0-a50b2bcc87ec</v>
      </c>
    </row>
    <row r="345">
      <c r="A345" s="10" t="str">
        <f>IFERROR(__xludf.DUMMYFUNCTION("""COMPUTED_VALUE"""),"The king of capital")</f>
        <v>The king of capital</v>
      </c>
      <c r="B345" s="10" t="str">
        <f>IFERROR(__xludf.DUMMYFUNCTION("""COMPUTED_VALUE"""),"In this session, Stephen uses the lessons he's learned as the co-founder and CEO of the largest alternative investment firm in the world, an advisor to world leaders and a global education philanthropist to tell us what it takes in the pursuit of excellen"&amp;"ce.")</f>
        <v>In this session, Stephen uses the lessons he's learned as the co-founder and CEO of the largest alternative investment firm in the world, an advisor to world leaders and a global education philanthropist to tell us what it takes in the pursuit of excellence.</v>
      </c>
      <c r="C345" s="10" t="str">
        <f>IFERROR(__xludf.DUMMYFUNCTION("""COMPUTED_VALUE"""),"Centre Stage")</f>
        <v>Centre Stage</v>
      </c>
      <c r="D345" s="10" t="str">
        <f>IFERROR(__xludf.DUMMYFUNCTION("""COMPUTED_VALUE"""),"Stephen Schwarzman and Thorold Barker")</f>
        <v>Stephen Schwarzman and Thorold Barker</v>
      </c>
      <c r="E345" s="10" t="str">
        <f>IFERROR(__xludf.DUMMYFUNCTION("""COMPUTED_VALUE"""),"Stephen Schwarzman,Thorold Barker")</f>
        <v>Stephen Schwarzman,Thorold Barker</v>
      </c>
      <c r="F345" s="10" t="str">
        <f>IFERROR(__xludf.DUMMYFUNCTION("""COMPUTED_VALUE"""),"2019/11/05 14:50:00")</f>
        <v>2019/11/05 14:50:00</v>
      </c>
      <c r="G345" s="10" t="str">
        <f>IFERROR(__xludf.DUMMYFUNCTION("""COMPUTED_VALUE"""),"2019/11/05 15:10:00")</f>
        <v>2019/11/05 15:10:00</v>
      </c>
      <c r="H345" s="10" t="str">
        <f>IFERROR(__xludf.DUMMYFUNCTION("""COMPUTED_VALUE"""),"0bcc2520-c55a-4ac6-be76-43340bbf64c7")</f>
        <v>0bcc2520-c55a-4ac6-be76-43340bbf64c7</v>
      </c>
      <c r="I345" s="10" t="str">
        <f>IFERROR(__xludf.DUMMYFUNCTION("""COMPUTED_VALUE"""),"0bcc2520-c55a-4ac6-be76-43340bbf64c7")</f>
        <v>0bcc2520-c55a-4ac6-be76-43340bbf64c7</v>
      </c>
    </row>
    <row r="346">
      <c r="A346" s="10" t="str">
        <f>IFERROR(__xludf.DUMMYFUNCTION("""COMPUTED_VALUE"""),"Marketing in 2020")</f>
        <v>Marketing in 2020</v>
      </c>
      <c r="B346" s="10" t="str">
        <f>IFERROR(__xludf.DUMMYFUNCTION("""COMPUTED_VALUE"""),"Globally acclaimed and award-winning marketers reveal definitive trends and stories from the frontlines of marketing in a time of unprecedented disruption.")</f>
        <v>Globally acclaimed and award-winning marketers reveal definitive trends and stories from the frontlines of marketing in a time of unprecedented disruption.</v>
      </c>
      <c r="C346" s="10" t="str">
        <f>IFERROR(__xludf.DUMMYFUNCTION("""COMPUTED_VALUE"""),"Centre Stage")</f>
        <v>Centre Stage</v>
      </c>
      <c r="D346" s="10" t="str">
        <f>IFERROR(__xludf.DUMMYFUNCTION("""COMPUTED_VALUE"""),"Fernando Machado, Gail Heimann, Katia Bassi and Marty Swant")</f>
        <v>Fernando Machado, Gail Heimann, Katia Bassi and Marty Swant</v>
      </c>
      <c r="E346" s="10" t="str">
        <f>IFERROR(__xludf.DUMMYFUNCTION("""COMPUTED_VALUE"""),"Fernando Machado,Gail Heimann,Katia Bassi,Marty Swant")</f>
        <v>Fernando Machado,Gail Heimann,Katia Bassi,Marty Swant</v>
      </c>
      <c r="F346" s="10" t="str">
        <f>IFERROR(__xludf.DUMMYFUNCTION("""COMPUTED_VALUE"""),"2019/11/06 15:10:00")</f>
        <v>2019/11/06 15:10:00</v>
      </c>
      <c r="G346" s="10" t="str">
        <f>IFERROR(__xludf.DUMMYFUNCTION("""COMPUTED_VALUE"""),"2019/11/06 15:30:00")</f>
        <v>2019/11/06 15:30:00</v>
      </c>
      <c r="H346" s="10" t="str">
        <f>IFERROR(__xludf.DUMMYFUNCTION("""COMPUTED_VALUE"""),"49a0f370-3a9c-4823-a6c3-a5d98f482287")</f>
        <v>49a0f370-3a9c-4823-a6c3-a5d98f482287</v>
      </c>
      <c r="I346" s="10" t="str">
        <f>IFERROR(__xludf.DUMMYFUNCTION("""COMPUTED_VALUE"""),"49a0f370-3a9c-4823-a6c3-a5d98f482287")</f>
        <v>49a0f370-3a9c-4823-a6c3-a5d98f482287</v>
      </c>
    </row>
    <row r="347">
      <c r="A347" s="10" t="str">
        <f>IFERROR(__xludf.DUMMYFUNCTION("""COMPUTED_VALUE"""),"Designing your brand to disrupt")</f>
        <v>Designing your brand to disrupt</v>
      </c>
      <c r="B347" s="10" t="str">
        <f>IFERROR(__xludf.DUMMYFUNCTION("""COMPUTED_VALUE"""),"Meet the leader of one of the worlds leading brands as he provides unique insights into designing a brand that disrupts in 2019.")</f>
        <v>Meet the leader of one of the worlds leading brands as he provides unique insights into designing a brand that disrupts in 2019.</v>
      </c>
      <c r="C347" s="10" t="str">
        <f>IFERROR(__xludf.DUMMYFUNCTION("""COMPUTED_VALUE"""),"Centre Stage")</f>
        <v>Centre Stage</v>
      </c>
      <c r="D347" s="10" t="str">
        <f>IFERROR(__xludf.DUMMYFUNCTION("""COMPUTED_VALUE"""),"Daniel Grieder and Mark Russell")</f>
        <v>Daniel Grieder and Mark Russell</v>
      </c>
      <c r="E347" s="10" t="str">
        <f>IFERROR(__xludf.DUMMYFUNCTION("""COMPUTED_VALUE"""),"Daniel Grieder,Mark Russell")</f>
        <v>Daniel Grieder,Mark Russell</v>
      </c>
      <c r="F347" s="10" t="str">
        <f>IFERROR(__xludf.DUMMYFUNCTION("""COMPUTED_VALUE"""),"2019/11/07 11:15:00")</f>
        <v>2019/11/07 11:15:00</v>
      </c>
      <c r="G347" s="10" t="str">
        <f>IFERROR(__xludf.DUMMYFUNCTION("""COMPUTED_VALUE"""),"2019/11/07 11:30:00")</f>
        <v>2019/11/07 11:30:00</v>
      </c>
      <c r="H347" s="10" t="str">
        <f>IFERROR(__xludf.DUMMYFUNCTION("""COMPUTED_VALUE"""),"36549270-5f20-4a49-915f-aea0b4ff5e37")</f>
        <v>36549270-5f20-4a49-915f-aea0b4ff5e37</v>
      </c>
      <c r="I347" s="10" t="str">
        <f>IFERROR(__xludf.DUMMYFUNCTION("""COMPUTED_VALUE"""),"36549270-5f20-4a49-915f-aea0b4ff5e37")</f>
        <v>36549270-5f20-4a49-915f-aea0b4ff5e37</v>
      </c>
    </row>
    <row r="348">
      <c r="A348" s="10" t="str">
        <f>IFERROR(__xludf.DUMMYFUNCTION("""COMPUTED_VALUE"""),"What Plaid said: Fintech's next frontier ")</f>
        <v>What Plaid said: Fintech's next frontier </v>
      </c>
      <c r="B348" s="10" t="str">
        <f>IFERROR(__xludf.DUMMYFUNCTION("""COMPUTED_VALUE"""),"Plaid made headlines this year following leading investments from Mastercard and Visa. Join founder Zach as he shares his vision for a more inclusive, comprehensive fintech ecosystem, fuelled by a global data network. ")</f>
        <v>Plaid made headlines this year following leading investments from Mastercard and Visa. Join founder Zach as he shares his vision for a more inclusive, comprehensive fintech ecosystem, fuelled by a global data network. </v>
      </c>
      <c r="C348" s="10" t="str">
        <f>IFERROR(__xludf.DUMMYFUNCTION("""COMPUTED_VALUE"""),"MoneyConf")</f>
        <v>MoneyConf</v>
      </c>
      <c r="D348" s="10" t="str">
        <f>IFERROR(__xludf.DUMMYFUNCTION("""COMPUTED_VALUE"""),"Zach Perret and John Detrixhe")</f>
        <v>Zach Perret and John Detrixhe</v>
      </c>
      <c r="E348" s="10" t="str">
        <f>IFERROR(__xludf.DUMMYFUNCTION("""COMPUTED_VALUE"""),"Zach Perret,John Detrixhe")</f>
        <v>Zach Perret,John Detrixhe</v>
      </c>
      <c r="F348" s="10" t="str">
        <f>IFERROR(__xludf.DUMMYFUNCTION("""COMPUTED_VALUE"""),"2019/11/06 11:55:00")</f>
        <v>2019/11/06 11:55:00</v>
      </c>
      <c r="G348" s="10" t="str">
        <f>IFERROR(__xludf.DUMMYFUNCTION("""COMPUTED_VALUE"""),"2019/11/06 12:15:00")</f>
        <v>2019/11/06 12:15:00</v>
      </c>
      <c r="H348" s="10" t="str">
        <f>IFERROR(__xludf.DUMMYFUNCTION("""COMPUTED_VALUE"""),"98334037-9ce5-4ca0-a9ce-189be82bb314")</f>
        <v>98334037-9ce5-4ca0-a9ce-189be82bb314</v>
      </c>
      <c r="I348" s="10" t="str">
        <f>IFERROR(__xludf.DUMMYFUNCTION("""COMPUTED_VALUE"""),"98334037-9ce5-4ca0-a9ce-189be82bb314")</f>
        <v>98334037-9ce5-4ca0-a9ce-189be82bb314</v>
      </c>
    </row>
    <row r="349">
      <c r="A349" s="10" t="str">
        <f>IFERROR(__xludf.DUMMYFUNCTION("""COMPUTED_VALUE"""),"Robosexual: The future of human-robot relations")</f>
        <v>Robosexual: The future of human-robot relations</v>
      </c>
      <c r="B349" s="10" t="str">
        <f>IFERROR(__xludf.DUMMYFUNCTION("""COMPUTED_VALUE"""),"As the evolution of human-robot relations continues, we discuss whether we'll ever take our relationship to the next level. ")</f>
        <v>As the evolution of human-robot relations continues, we discuss whether we'll ever take our relationship to the next level. </v>
      </c>
      <c r="C349" s="10" t="str">
        <f>IFERROR(__xludf.DUMMYFUNCTION("""COMPUTED_VALUE"""),"DeepTech")</f>
        <v>DeepTech</v>
      </c>
      <c r="D349" s="10" t="str">
        <f>IFERROR(__xludf.DUMMYFUNCTION("""COMPUTED_VALUE"""),"Stephanie Alys, Marianne Brandon and Esther Paniagua")</f>
        <v>Stephanie Alys, Marianne Brandon and Esther Paniagua</v>
      </c>
      <c r="E349" s="10" t="str">
        <f>IFERROR(__xludf.DUMMYFUNCTION("""COMPUTED_VALUE"""),"Stephanie Alys,Marianne Brandon,Esther Paniagua")</f>
        <v>Stephanie Alys,Marianne Brandon,Esther Paniagua</v>
      </c>
      <c r="F349" s="10" t="str">
        <f>IFERROR(__xludf.DUMMYFUNCTION("""COMPUTED_VALUE"""),"2019/11/06 12:55:00")</f>
        <v>2019/11/06 12:55:00</v>
      </c>
      <c r="G349" s="10" t="str">
        <f>IFERROR(__xludf.DUMMYFUNCTION("""COMPUTED_VALUE"""),"2019/11/06 13:15:00")</f>
        <v>2019/11/06 13:15:00</v>
      </c>
      <c r="H349" s="10" t="str">
        <f>IFERROR(__xludf.DUMMYFUNCTION("""COMPUTED_VALUE"""),"e2859cde-d7fd-465c-a7c5-ca36e88fda84")</f>
        <v>e2859cde-d7fd-465c-a7c5-ca36e88fda84</v>
      </c>
      <c r="I349" s="10" t="str">
        <f>IFERROR(__xludf.DUMMYFUNCTION("""COMPUTED_VALUE"""),"e2859cde-d7fd-465c-a7c5-ca36e88fda84")</f>
        <v>e2859cde-d7fd-465c-a7c5-ca36e88fda84</v>
      </c>
    </row>
    <row r="350">
      <c r="A350" s="10" t="str">
        <f>IFERROR(__xludf.DUMMYFUNCTION("""COMPUTED_VALUE"""),"Featured venue: Collect - Food. Radio. Records")</f>
        <v>Featured venue: Collect - Food. Radio. Records</v>
      </c>
      <c r="B350" s="10" t="str">
        <f>IFERROR(__xludf.DUMMYFUNCTION("""COMPUTED_VALUE"""),"This electronic music venue is one for the cool kids. With an online radio and vinyl store, there will be a live DJ performance on the night. They will also be live streaming the whole event, so this is your chance to make the rest of the world jealous of"&amp;" the party! Food will also be served until 1am. 
Night Summit deals: 
20% discount on Portuguese liquors, red or white port wine, Amarguinha, Licor beirão, Ginja de Óbidos, or Moscatel de Setúbal")</f>
        <v>This electronic music venue is one for the cool kids. With an online radio and vinyl store, there will be a live DJ performance on the night. They will also be live streaming the whole event, so this is your chance to make the rest of the world jealous of the party! Food will also be served until 1am. 
Night Summit deals: 
20% discount on Portuguese liquors, red or white port wine, Amarguinha, Licor beirão, Ginja de Óbidos, or Moscatel de Setúbal</v>
      </c>
      <c r="C350" s="10" t="str">
        <f>IFERROR(__xludf.DUMMYFUNCTION("""COMPUTED_VALUE"""),"Collect - Food. Radio. Records")</f>
        <v>Collect - Food. Radio. Records</v>
      </c>
      <c r="D350" s="10" t="str">
        <f>IFERROR(__xludf.DUMMYFUNCTION("""COMPUTED_VALUE"""),"")</f>
        <v/>
      </c>
      <c r="E350" s="10" t="str">
        <f>IFERROR(__xludf.DUMMYFUNCTION("""COMPUTED_VALUE"""),"")</f>
        <v/>
      </c>
      <c r="F350" s="10" t="str">
        <f>IFERROR(__xludf.DUMMYFUNCTION("""COMPUTED_VALUE"""),"2019/11/05 20:00:00")</f>
        <v>2019/11/05 20:00:00</v>
      </c>
      <c r="G350" s="10" t="str">
        <f>IFERROR(__xludf.DUMMYFUNCTION("""COMPUTED_VALUE"""),"2019/11/06 00:00:00")</f>
        <v>2019/11/06 00:00:00</v>
      </c>
      <c r="H350" s="10" t="str">
        <f>IFERROR(__xludf.DUMMYFUNCTION("""COMPUTED_VALUE"""),"5b0e02f7-1995-458b-a9ea-aebbf7f5ba73")</f>
        <v>5b0e02f7-1995-458b-a9ea-aebbf7f5ba73</v>
      </c>
      <c r="I350" s="10" t="str">
        <f>IFERROR(__xludf.DUMMYFUNCTION("""COMPUTED_VALUE"""),"5b0e02f7-1995-458b-a9ea-aebbf7f5ba73")</f>
        <v>5b0e02f7-1995-458b-a9ea-aebbf7f5ba73</v>
      </c>
    </row>
    <row r="351">
      <c r="A351" s="10" t="str">
        <f>IFERROR(__xludf.DUMMYFUNCTION("""COMPUTED_VALUE"""),"Building modern APIs with GraphQL")</f>
        <v>Building modern APIs with GraphQL</v>
      </c>
      <c r="B351" s="10" t="str">
        <f>IFERROR(__xludf.DUMMYFUNCTION("""COMPUTED_VALUE""")," This session will provide an introduction to GraphQL, a declarative API query language that delivers great performance, type-safety, documentation, and more. It was created at Facebook and open sourced in 2015. It is now used at many other companies, inc"&amp;"luding Amazon, Microsoft, New York Times, Intuit, Coursera, Pinterest, and Twitter.")</f>
        <v> This session will provide an introduction to GraphQL, a declarative API query language that delivers great performance, type-safety, documentation, and more. It was created at Facebook and open sourced in 2015. It is now used at many other companies, including Amazon, Microsoft, New York Times, Intuit, Coursera, Pinterest, and Twitter.</v>
      </c>
      <c r="C351" s="10" t="str">
        <f>IFERROR(__xludf.DUMMYFUNCTION("""COMPUTED_VALUE"""),"AWS Developer Workshops")</f>
        <v>AWS Developer Workshops</v>
      </c>
      <c r="D351" s="10" t="str">
        <f>IFERROR(__xludf.DUMMYFUNCTION("""COMPUTED_VALUE"""),"")</f>
        <v/>
      </c>
      <c r="E351" s="10" t="str">
        <f>IFERROR(__xludf.DUMMYFUNCTION("""COMPUTED_VALUE"""),"")</f>
        <v/>
      </c>
      <c r="F351" s="10" t="str">
        <f>IFERROR(__xludf.DUMMYFUNCTION("""COMPUTED_VALUE"""),"2019/11/07 12:00:00")</f>
        <v>2019/11/07 12:00:00</v>
      </c>
      <c r="G351" s="10" t="str">
        <f>IFERROR(__xludf.DUMMYFUNCTION("""COMPUTED_VALUE"""),"2019/11/07 12:50:00")</f>
        <v>2019/11/07 12:50:00</v>
      </c>
      <c r="H351" s="10" t="str">
        <f>IFERROR(__xludf.DUMMYFUNCTION("""COMPUTED_VALUE"""),"77559b2c-793d-446e-9549-cb90c46bcd7e")</f>
        <v>77559b2c-793d-446e-9549-cb90c46bcd7e</v>
      </c>
      <c r="I351" s="10" t="str">
        <f>IFERROR(__xludf.DUMMYFUNCTION("""COMPUTED_VALUE"""),"77559b2c-793d-446e-9549-cb90c46bcd7e")</f>
        <v>77559b2c-793d-446e-9549-cb90c46bcd7e</v>
      </c>
    </row>
    <row r="352">
      <c r="A352" s="10" t="str">
        <f>IFERROR(__xludf.DUMMYFUNCTION("""COMPUTED_VALUE"""),"Hybrid cloud to rule them all")</f>
        <v>Hybrid cloud to rule them all</v>
      </c>
      <c r="B352" s="10" t="str">
        <f>IFERROR(__xludf.DUMMYFUNCTION("""COMPUTED_VALUE"""),"John Granger, IBM's SVP of Cloud Application discusses the advantages of shifting mission-critical business applications and workloads to hybrid cloud.")</f>
        <v>John Granger, IBM's SVP of Cloud Application discusses the advantages of shifting mission-critical business applications and workloads to hybrid cloud.</v>
      </c>
      <c r="C352" s="10" t="str">
        <f>IFERROR(__xludf.DUMMYFUNCTION("""COMPUTED_VALUE"""),"SaaS Monster")</f>
        <v>SaaS Monster</v>
      </c>
      <c r="D352" s="10" t="str">
        <f>IFERROR(__xludf.DUMMYFUNCTION("""COMPUTED_VALUE"""),"John Granger and John Rampton")</f>
        <v>John Granger and John Rampton</v>
      </c>
      <c r="E352" s="10" t="str">
        <f>IFERROR(__xludf.DUMMYFUNCTION("""COMPUTED_VALUE"""),"John Granger,John Rampton")</f>
        <v>John Granger,John Rampton</v>
      </c>
      <c r="F352" s="10" t="str">
        <f>IFERROR(__xludf.DUMMYFUNCTION("""COMPUTED_VALUE"""),"2019/11/06 15:25:00")</f>
        <v>2019/11/06 15:25:00</v>
      </c>
      <c r="G352" s="10" t="str">
        <f>IFERROR(__xludf.DUMMYFUNCTION("""COMPUTED_VALUE"""),"2019/11/06 15:45:00")</f>
        <v>2019/11/06 15:45:00</v>
      </c>
      <c r="H352" s="10" t="str">
        <f>IFERROR(__xludf.DUMMYFUNCTION("""COMPUTED_VALUE"""),"d6c9a225-360d-49ee-9130-92b024745e88")</f>
        <v>d6c9a225-360d-49ee-9130-92b024745e88</v>
      </c>
      <c r="I352" s="10" t="str">
        <f>IFERROR(__xludf.DUMMYFUNCTION("""COMPUTED_VALUE"""),"d6c9a225-360d-49ee-9130-92b024745e88")</f>
        <v>d6c9a225-360d-49ee-9130-92b024745e88</v>
      </c>
    </row>
    <row r="353">
      <c r="A353" s="10" t="str">
        <f>IFERROR(__xludf.DUMMYFUNCTION("""COMPUTED_VALUE"""),"Building a community of creators (at scale)")</f>
        <v>Building a community of creators (at scale)</v>
      </c>
      <c r="B353" s="10" t="str">
        <f>IFERROR(__xludf.DUMMYFUNCTION("""COMPUTED_VALUE"""),"In the last few years Roblox has grown into a massive online platform with over 100m users and a diverse global community of creators. In this talk, learn about some key principles that help the company create and nurture this thriving community and econo"&amp;"my at scale, and empower anyone to chase their dreams of creating and sharing games with the world. ")</f>
        <v>In the last few years Roblox has grown into a massive online platform with over 100m users and a diverse global community of creators. In this talk, learn about some key principles that help the company create and nurture this thriving community and economy at scale, and empower anyone to chase their dreams of creating and sharing games with the world. </v>
      </c>
      <c r="C353" s="10" t="str">
        <f>IFERROR(__xludf.DUMMYFUNCTION("""COMPUTED_VALUE"""),"ContentMakers")</f>
        <v>ContentMakers</v>
      </c>
      <c r="D353" s="10" t="str">
        <f>IFERROR(__xludf.DUMMYFUNCTION("""COMPUTED_VALUE"""),"Craig Donato")</f>
        <v>Craig Donato</v>
      </c>
      <c r="E353" s="10" t="str">
        <f>IFERROR(__xludf.DUMMYFUNCTION("""COMPUTED_VALUE"""),"Craig Donato")</f>
        <v>Craig Donato</v>
      </c>
      <c r="F353" s="10" t="str">
        <f>IFERROR(__xludf.DUMMYFUNCTION("""COMPUTED_VALUE"""),"2019/11/06 14:55:00")</f>
        <v>2019/11/06 14:55:00</v>
      </c>
      <c r="G353" s="10" t="str">
        <f>IFERROR(__xludf.DUMMYFUNCTION("""COMPUTED_VALUE"""),"2019/11/06 15:15:00")</f>
        <v>2019/11/06 15:15:00</v>
      </c>
      <c r="H353" s="10" t="str">
        <f>IFERROR(__xludf.DUMMYFUNCTION("""COMPUTED_VALUE"""),"db4c4448-5611-49c8-b8be-e621294585f3")</f>
        <v>db4c4448-5611-49c8-b8be-e621294585f3</v>
      </c>
      <c r="I353" s="10" t="str">
        <f>IFERROR(__xludf.DUMMYFUNCTION("""COMPUTED_VALUE"""),"db4c4448-5611-49c8-b8be-e621294585f3")</f>
        <v>db4c4448-5611-49c8-b8be-e621294585f3</v>
      </c>
    </row>
    <row r="354">
      <c r="A354" s="10" t="str">
        <f>IFERROR(__xludf.DUMMYFUNCTION("""COMPUTED_VALUE"""),"Using technology to push boundaries")</f>
        <v>Using technology to push boundaries</v>
      </c>
      <c r="B354" s="10" t="str">
        <f>IFERROR(__xludf.DUMMYFUNCTION("""COMPUTED_VALUE"""),"Aba, CEO of Dorae, will talk about using technology to push boundaries and improve the world")</f>
        <v>Aba, CEO of Dorae, will talk about using technology to push boundaries and improve the world</v>
      </c>
      <c r="C354" s="10" t="str">
        <f>IFERROR(__xludf.DUMMYFUNCTION("""COMPUTED_VALUE"""),"Growth Summit")</f>
        <v>Growth Summit</v>
      </c>
      <c r="D354" s="10" t="str">
        <f>IFERROR(__xludf.DUMMYFUNCTION("""COMPUTED_VALUE"""),"Aba Schubert")</f>
        <v>Aba Schubert</v>
      </c>
      <c r="E354" s="10" t="str">
        <f>IFERROR(__xludf.DUMMYFUNCTION("""COMPUTED_VALUE"""),"Aba Schubert")</f>
        <v>Aba Schubert</v>
      </c>
      <c r="F354" s="10" t="str">
        <f>IFERROR(__xludf.DUMMYFUNCTION("""COMPUTED_VALUE"""),"2019/11/06 14:20:00")</f>
        <v>2019/11/06 14:20:00</v>
      </c>
      <c r="G354" s="10" t="str">
        <f>IFERROR(__xludf.DUMMYFUNCTION("""COMPUTED_VALUE"""),"2019/11/06 14:31:00")</f>
        <v>2019/11/06 14:31:00</v>
      </c>
      <c r="H354" s="10" t="str">
        <f>IFERROR(__xludf.DUMMYFUNCTION("""COMPUTED_VALUE"""),"89c451fb-c4ed-4680-9547-f61fad20ca6d")</f>
        <v>89c451fb-c4ed-4680-9547-f61fad20ca6d</v>
      </c>
      <c r="I354" s="10" t="str">
        <f>IFERROR(__xludf.DUMMYFUNCTION("""COMPUTED_VALUE"""),"89c451fb-c4ed-4680-9547-f61fad20ca6d")</f>
        <v>89c451fb-c4ed-4680-9547-f61fad20ca6d</v>
      </c>
    </row>
    <row r="355">
      <c r="A355" s="10" t="str">
        <f>IFERROR(__xludf.DUMMYFUNCTION("""COMPUTED_VALUE"""),"Opening remarks")</f>
        <v>Opening remarks</v>
      </c>
      <c r="B355" s="10" t="str">
        <f>IFERROR(__xludf.DUMMYFUNCTION("""COMPUTED_VALUE"""),"")</f>
        <v/>
      </c>
      <c r="C355" s="10" t="str">
        <f>IFERROR(__xludf.DUMMYFUNCTION("""COMPUTED_VALUE"""),"Growth Summit")</f>
        <v>Growth Summit</v>
      </c>
      <c r="D355" s="10" t="str">
        <f>IFERROR(__xludf.DUMMYFUNCTION("""COMPUTED_VALUE"""),"Fatima Zaidi")</f>
        <v>Fatima Zaidi</v>
      </c>
      <c r="E355" s="10" t="str">
        <f>IFERROR(__xludf.DUMMYFUNCTION("""COMPUTED_VALUE"""),"Fatima Zaidi")</f>
        <v>Fatima Zaidi</v>
      </c>
      <c r="F355" s="10" t="str">
        <f>IFERROR(__xludf.DUMMYFUNCTION("""COMPUTED_VALUE"""),"2019/11/05 10:00:00")</f>
        <v>2019/11/05 10:00:00</v>
      </c>
      <c r="G355" s="10" t="str">
        <f>IFERROR(__xludf.DUMMYFUNCTION("""COMPUTED_VALUE"""),"2019/11/05 10:02:00")</f>
        <v>2019/11/05 10:02:00</v>
      </c>
      <c r="H355" s="10" t="str">
        <f>IFERROR(__xludf.DUMMYFUNCTION("""COMPUTED_VALUE"""),"8e97beed-8cde-4f3d-9019-3e346185de2c")</f>
        <v>8e97beed-8cde-4f3d-9019-3e346185de2c</v>
      </c>
      <c r="I355" s="10" t="str">
        <f>IFERROR(__xludf.DUMMYFUNCTION("""COMPUTED_VALUE"""),"8e97beed-8cde-4f3d-9019-3e346185de2c")</f>
        <v>8e97beed-8cde-4f3d-9019-3e346185de2c</v>
      </c>
    </row>
    <row r="356">
      <c r="A356" s="10" t="str">
        <f>IFERROR(__xludf.DUMMYFUNCTION("""COMPUTED_VALUE"""),"Opening remarks")</f>
        <v>Opening remarks</v>
      </c>
      <c r="B356" s="10" t="str">
        <f>IFERROR(__xludf.DUMMYFUNCTION("""COMPUTED_VALUE"""),"")</f>
        <v/>
      </c>
      <c r="C356" s="10" t="str">
        <f>IFERROR(__xludf.DUMMYFUNCTION("""COMPUTED_VALUE"""),"Future Societies")</f>
        <v>Future Societies</v>
      </c>
      <c r="D356" s="10" t="str">
        <f>IFERROR(__xludf.DUMMYFUNCTION("""COMPUTED_VALUE"""),"Chris Yiu")</f>
        <v>Chris Yiu</v>
      </c>
      <c r="E356" s="10" t="str">
        <f>IFERROR(__xludf.DUMMYFUNCTION("""COMPUTED_VALUE"""),"Chris Yiu")</f>
        <v>Chris Yiu</v>
      </c>
      <c r="F356" s="10" t="str">
        <f>IFERROR(__xludf.DUMMYFUNCTION("""COMPUTED_VALUE"""),"2019/11/06 13:25:00")</f>
        <v>2019/11/06 13:25:00</v>
      </c>
      <c r="G356" s="10" t="str">
        <f>IFERROR(__xludf.DUMMYFUNCTION("""COMPUTED_VALUE"""),"2019/11/06 13:35:00")</f>
        <v>2019/11/06 13:35:00</v>
      </c>
      <c r="H356" s="10" t="str">
        <f>IFERROR(__xludf.DUMMYFUNCTION("""COMPUTED_VALUE"""),"0219bff6-577b-4392-9faa-63a93b2a024b")</f>
        <v>0219bff6-577b-4392-9faa-63a93b2a024b</v>
      </c>
      <c r="I356" s="10" t="str">
        <f>IFERROR(__xludf.DUMMYFUNCTION("""COMPUTED_VALUE"""),"0219bff6-577b-4392-9faa-63a93b2a024b")</f>
        <v>0219bff6-577b-4392-9faa-63a93b2a024b</v>
      </c>
    </row>
    <row r="357">
      <c r="A357" s="10" t="str">
        <f>IFERROR(__xludf.DUMMYFUNCTION("""COMPUTED_VALUE"""),"Unlocking the true potential of AI")</f>
        <v>Unlocking the true potential of AI</v>
      </c>
      <c r="B357" s="10" t="str">
        <f>IFERROR(__xludf.DUMMYFUNCTION("""COMPUTED_VALUE"""),"The phenomenal potential of artificial intelligence is unfolding, but a rather quaint reality has emerged - we arent as far along as we think. With much more to do, we'll ask the tech leaders of three of the worlds largest companies what they're using AI "&amp;"for today, what they plan to use it for tomorrow, and what they need to do to get there. ")</f>
        <v>The phenomenal potential of artificial intelligence is unfolding, but a rather quaint reality has emerged - we arent as far along as we think. With much more to do, we'll ask the tech leaders of three of the worlds largest companies what they're using AI for today, what they plan to use it for tomorrow, and what they need to do to get there. </v>
      </c>
      <c r="C357" s="10" t="str">
        <f>IFERROR(__xludf.DUMMYFUNCTION("""COMPUTED_VALUE"""),"Corporate Innovation Summit")</f>
        <v>Corporate Innovation Summit</v>
      </c>
      <c r="D357" s="10" t="str">
        <f>IFERROR(__xludf.DUMMYFUNCTION("""COMPUTED_VALUE"""),"Ulli Waltinger, Ursula Soritsch-Renier, Ian Massingham and Philippe Bournhonesque")</f>
        <v>Ulli Waltinger, Ursula Soritsch-Renier, Ian Massingham and Philippe Bournhonesque</v>
      </c>
      <c r="E357" s="10" t="str">
        <f>IFERROR(__xludf.DUMMYFUNCTION("""COMPUTED_VALUE"""),"Ulli Waltinger,Ursula Soritsch-Renier,Ian Massingham,Philippe Bournhonesque")</f>
        <v>Ulli Waltinger,Ursula Soritsch-Renier,Ian Massingham,Philippe Bournhonesque</v>
      </c>
      <c r="F357" s="10" t="str">
        <f>IFERROR(__xludf.DUMMYFUNCTION("""COMPUTED_VALUE"""),"2019/11/06 15:00:00")</f>
        <v>2019/11/06 15:00:00</v>
      </c>
      <c r="G357" s="10" t="str">
        <f>IFERROR(__xludf.DUMMYFUNCTION("""COMPUTED_VALUE"""),"2019/11/06 15:25:00")</f>
        <v>2019/11/06 15:25:00</v>
      </c>
      <c r="H357" s="10" t="str">
        <f>IFERROR(__xludf.DUMMYFUNCTION("""COMPUTED_VALUE"""),"b537042e-852a-4cf8-9eea-a7b970a253ca")</f>
        <v>b537042e-852a-4cf8-9eea-a7b970a253ca</v>
      </c>
      <c r="I357" s="10" t="str">
        <f>IFERROR(__xludf.DUMMYFUNCTION("""COMPUTED_VALUE"""),"b537042e-852a-4cf8-9eea-a7b970a253ca")</f>
        <v>b537042e-852a-4cf8-9eea-a7b970a253ca</v>
      </c>
    </row>
    <row r="358">
      <c r="A358" s="10" t="str">
        <f>IFERROR(__xludf.DUMMYFUNCTION("""COMPUTED_VALUE"""),"Lunch break")</f>
        <v>Lunch break</v>
      </c>
      <c r="B358" s="10" t="str">
        <f>IFERROR(__xludf.DUMMYFUNCTION("""COMPUTED_VALUE"""),"")</f>
        <v/>
      </c>
      <c r="C358" s="10" t="str">
        <f>IFERROR(__xludf.DUMMYFUNCTION("""COMPUTED_VALUE"""),"creatiff")</f>
        <v>creatiff</v>
      </c>
      <c r="D358" s="10" t="str">
        <f>IFERROR(__xludf.DUMMYFUNCTION("""COMPUTED_VALUE"""),"")</f>
        <v/>
      </c>
      <c r="E358" s="10" t="str">
        <f>IFERROR(__xludf.DUMMYFUNCTION("""COMPUTED_VALUE"""),"")</f>
        <v/>
      </c>
      <c r="F358" s="10" t="str">
        <f>IFERROR(__xludf.DUMMYFUNCTION("""COMPUTED_VALUE"""),"2019/11/05 13:25:00")</f>
        <v>2019/11/05 13:25:00</v>
      </c>
      <c r="G358" s="10" t="str">
        <f>IFERROR(__xludf.DUMMYFUNCTION("""COMPUTED_VALUE"""),"2019/11/05 14:20:00")</f>
        <v>2019/11/05 14:20:00</v>
      </c>
      <c r="H358" s="10" t="str">
        <f>IFERROR(__xludf.DUMMYFUNCTION("""COMPUTED_VALUE"""),"1a0b0cbf-027d-4c1d-a142-ce4ec843bf64")</f>
        <v>1a0b0cbf-027d-4c1d-a142-ce4ec843bf64</v>
      </c>
      <c r="I358" s="10" t="str">
        <f>IFERROR(__xludf.DUMMYFUNCTION("""COMPUTED_VALUE"""),"1a0b0cbf-027d-4c1d-a142-ce4ec843bf64")</f>
        <v>1a0b0cbf-027d-4c1d-a142-ce4ec843bf64</v>
      </c>
    </row>
    <row r="359">
      <c r="A359" s="10" t="str">
        <f>IFERROR(__xludf.DUMMYFUNCTION("""COMPUTED_VALUE"""),"Opening remarks")</f>
        <v>Opening remarks</v>
      </c>
      <c r="B359" s="10" t="str">
        <f>IFERROR(__xludf.DUMMYFUNCTION("""COMPUTED_VALUE"""),"")</f>
        <v/>
      </c>
      <c r="C359" s="10" t="str">
        <f>IFERROR(__xludf.DUMMYFUNCTION("""COMPUTED_VALUE"""),"Growth Summit")</f>
        <v>Growth Summit</v>
      </c>
      <c r="D359" s="10" t="str">
        <f>IFERROR(__xludf.DUMMYFUNCTION("""COMPUTED_VALUE"""),"Brendan Yell")</f>
        <v>Brendan Yell</v>
      </c>
      <c r="E359" s="10" t="str">
        <f>IFERROR(__xludf.DUMMYFUNCTION("""COMPUTED_VALUE"""),"Brendan Yell")</f>
        <v>Brendan Yell</v>
      </c>
      <c r="F359" s="10" t="str">
        <f>IFERROR(__xludf.DUMMYFUNCTION("""COMPUTED_VALUE"""),"2019/11/06 10:00:00")</f>
        <v>2019/11/06 10:00:00</v>
      </c>
      <c r="G359" s="10" t="str">
        <f>IFERROR(__xludf.DUMMYFUNCTION("""COMPUTED_VALUE"""),"2019/11/06 10:02:00")</f>
        <v>2019/11/06 10:02:00</v>
      </c>
      <c r="H359" s="10" t="str">
        <f>IFERROR(__xludf.DUMMYFUNCTION("""COMPUTED_VALUE"""),"4930ed09-80e7-4ba5-8d3d-ddf2e9d7f812")</f>
        <v>4930ed09-80e7-4ba5-8d3d-ddf2e9d7f812</v>
      </c>
      <c r="I359" s="10" t="str">
        <f>IFERROR(__xludf.DUMMYFUNCTION("""COMPUTED_VALUE"""),"4930ed09-80e7-4ba5-8d3d-ddf2e9d7f812")</f>
        <v>4930ed09-80e7-4ba5-8d3d-ddf2e9d7f812</v>
      </c>
    </row>
    <row r="360">
      <c r="A360" s="10" t="str">
        <f>IFERROR(__xludf.DUMMYFUNCTION("""COMPUTED_VALUE"""),"No driver, no problem ")</f>
        <v>No driver, no problem </v>
      </c>
      <c r="B360" s="10" t="str">
        <f>IFERROR(__xludf.DUMMYFUNCTION("""COMPUTED_VALUE"""),"Self-driving cars aren't just going to revolutionise the consumer market — they're going to redefine how we commute... and race! In this panel, we'll discuss the self-driving future as we speed into it.")</f>
        <v>Self-driving cars aren't just going to revolutionise the consumer market — they're going to redefine how we commute... and race! In this panel, we'll discuss the self-driving future as we speed into it.</v>
      </c>
      <c r="C360" s="10" t="str">
        <f>IFERROR(__xludf.DUMMYFUNCTION("""COMPUTED_VALUE"""),"Auto/Tech &amp; TalkRobot")</f>
        <v>Auto/Tech &amp; TalkRobot</v>
      </c>
      <c r="D360" s="10" t="str">
        <f>IFERROR(__xludf.DUMMYFUNCTION("""COMPUTED_VALUE"""),"Lucas Di Grassi, Bryn Balcombe, Avinash Rugoobur and Jim Motavalli")</f>
        <v>Lucas Di Grassi, Bryn Balcombe, Avinash Rugoobur and Jim Motavalli</v>
      </c>
      <c r="E360" s="10" t="str">
        <f>IFERROR(__xludf.DUMMYFUNCTION("""COMPUTED_VALUE"""),"Lucas Di Grassi,Bryn Balcombe,Avinash Rugoobur,Jim Motavalli")</f>
        <v>Lucas Di Grassi,Bryn Balcombe,Avinash Rugoobur,Jim Motavalli</v>
      </c>
      <c r="F360" s="10" t="str">
        <f>IFERROR(__xludf.DUMMYFUNCTION("""COMPUTED_VALUE"""),"2019/11/07 12:35:00")</f>
        <v>2019/11/07 12:35:00</v>
      </c>
      <c r="G360" s="10" t="str">
        <f>IFERROR(__xludf.DUMMYFUNCTION("""COMPUTED_VALUE"""),"2019/11/07 12:55:00")</f>
        <v>2019/11/07 12:55:00</v>
      </c>
      <c r="H360" s="10" t="str">
        <f>IFERROR(__xludf.DUMMYFUNCTION("""COMPUTED_VALUE"""),"58dd8772-6df4-47bd-892c-ea741579c005")</f>
        <v>58dd8772-6df4-47bd-892c-ea741579c005</v>
      </c>
      <c r="I360" s="10" t="str">
        <f>IFERROR(__xludf.DUMMYFUNCTION("""COMPUTED_VALUE"""),"58dd8772-6df4-47bd-892c-ea741579c005")</f>
        <v>58dd8772-6df4-47bd-892c-ea741579c005</v>
      </c>
    </row>
    <row r="361">
      <c r="A361" s="10" t="str">
        <f>IFERROR(__xludf.DUMMYFUNCTION("""COMPUTED_VALUE"""),"A job in 24 hours: The reinvention of blue collar hiring")</f>
        <v>A job in 24 hours: The reinvention of blue collar hiring</v>
      </c>
      <c r="B361" s="10" t="str">
        <f>IFERROR(__xludf.DUMMYFUNCTION("""COMPUTED_VALUE"""),"CEO of JobToday, Polina will cover the revolution that is currently happening on the blue labour market, as well as key elements of successful growth for mobile solutions such as her own company.")</f>
        <v>CEO of JobToday, Polina will cover the revolution that is currently happening on the blue labour market, as well as key elements of successful growth for mobile solutions such as her own company.</v>
      </c>
      <c r="C361" s="10" t="str">
        <f>IFERROR(__xludf.DUMMYFUNCTION("""COMPUTED_VALUE"""),"Growth Summit")</f>
        <v>Growth Summit</v>
      </c>
      <c r="D361" s="10" t="str">
        <f>IFERROR(__xludf.DUMMYFUNCTION("""COMPUTED_VALUE"""),"Polina Montano")</f>
        <v>Polina Montano</v>
      </c>
      <c r="E361" s="10" t="str">
        <f>IFERROR(__xludf.DUMMYFUNCTION("""COMPUTED_VALUE"""),"Polina Montano")</f>
        <v>Polina Montano</v>
      </c>
      <c r="F361" s="10" t="str">
        <f>IFERROR(__xludf.DUMMYFUNCTION("""COMPUTED_VALUE"""),"2019/11/05 15:37:00")</f>
        <v>2019/11/05 15:37:00</v>
      </c>
      <c r="G361" s="10" t="str">
        <f>IFERROR(__xludf.DUMMYFUNCTION("""COMPUTED_VALUE"""),"2019/11/05 15:48:00")</f>
        <v>2019/11/05 15:48:00</v>
      </c>
      <c r="H361" s="10" t="str">
        <f>IFERROR(__xludf.DUMMYFUNCTION("""COMPUTED_VALUE"""),"366dfa7a-9cc6-48ac-8004-d054096b2b51")</f>
        <v>366dfa7a-9cc6-48ac-8004-d054096b2b51</v>
      </c>
      <c r="I361" s="10" t="str">
        <f>IFERROR(__xludf.DUMMYFUNCTION("""COMPUTED_VALUE"""),"366dfa7a-9cc6-48ac-8004-d054096b2b51")</f>
        <v>366dfa7a-9cc6-48ac-8004-d054096b2b51</v>
      </c>
    </row>
    <row r="362">
      <c r="A362" s="10" t="str">
        <f>IFERROR(__xludf.DUMMYFUNCTION("""COMPUTED_VALUE"""),"Opening remarks")</f>
        <v>Opening remarks</v>
      </c>
      <c r="B362" s="10" t="str">
        <f>IFERROR(__xludf.DUMMYFUNCTION("""COMPUTED_VALUE"""),"")</f>
        <v/>
      </c>
      <c r="C362" s="10" t="str">
        <f>IFERROR(__xludf.DUMMYFUNCTION("""COMPUTED_VALUE"""),"Venture stage")</f>
        <v>Venture stage</v>
      </c>
      <c r="D362" s="10" t="str">
        <f>IFERROR(__xludf.DUMMYFUNCTION("""COMPUTED_VALUE"""),"Hugo Augusto")</f>
        <v>Hugo Augusto</v>
      </c>
      <c r="E362" s="10" t="str">
        <f>IFERROR(__xludf.DUMMYFUNCTION("""COMPUTED_VALUE"""),"Hugo Augusto")</f>
        <v>Hugo Augusto</v>
      </c>
      <c r="F362" s="10" t="str">
        <f>IFERROR(__xludf.DUMMYFUNCTION("""COMPUTED_VALUE"""),"2019/11/06 10:30:00")</f>
        <v>2019/11/06 10:30:00</v>
      </c>
      <c r="G362" s="10" t="str">
        <f>IFERROR(__xludf.DUMMYFUNCTION("""COMPUTED_VALUE"""),"2019/11/06 10:45:00")</f>
        <v>2019/11/06 10:45:00</v>
      </c>
      <c r="H362" s="10" t="str">
        <f>IFERROR(__xludf.DUMMYFUNCTION("""COMPUTED_VALUE"""),"35e59c51-246e-4008-bbf5-1cffdb271cd0")</f>
        <v>35e59c51-246e-4008-bbf5-1cffdb271cd0</v>
      </c>
      <c r="I362" s="10" t="str">
        <f>IFERROR(__xludf.DUMMYFUNCTION("""COMPUTED_VALUE"""),"35e59c51-246e-4008-bbf5-1cffdb271cd0")</f>
        <v>35e59c51-246e-4008-bbf5-1cffdb271cd0</v>
      </c>
    </row>
    <row r="363">
      <c r="A363" s="10" t="str">
        <f>IFERROR(__xludf.DUMMYFUNCTION("""COMPUTED_VALUE"""),"Majority world report 2019")</f>
        <v>Majority world report 2019</v>
      </c>
      <c r="B363" s="10" t="str">
        <f>IFERROR(__xludf.DUMMYFUNCTION("""COMPUTED_VALUE"""),"Tune in as Seedcamp founder Saul Klein shares his annual report on where the majority of the world's opportunities lie for the year ahead.")</f>
        <v>Tune in as Seedcamp founder Saul Klein shares his annual report on where the majority of the world's opportunities lie for the year ahead.</v>
      </c>
      <c r="C363" s="10" t="str">
        <f>IFERROR(__xludf.DUMMYFUNCTION("""COMPUTED_VALUE"""),"Startup University")</f>
        <v>Startup University</v>
      </c>
      <c r="D363" s="10" t="str">
        <f>IFERROR(__xludf.DUMMYFUNCTION("""COMPUTED_VALUE"""),"Saul Klein")</f>
        <v>Saul Klein</v>
      </c>
      <c r="E363" s="10" t="str">
        <f>IFERROR(__xludf.DUMMYFUNCTION("""COMPUTED_VALUE"""),"Saul Klein")</f>
        <v>Saul Klein</v>
      </c>
      <c r="F363" s="10" t="str">
        <f>IFERROR(__xludf.DUMMYFUNCTION("""COMPUTED_VALUE"""),"2019/11/05 12:20:00")</f>
        <v>2019/11/05 12:20:00</v>
      </c>
      <c r="G363" s="10" t="str">
        <f>IFERROR(__xludf.DUMMYFUNCTION("""COMPUTED_VALUE"""),"2019/11/05 12:40:00")</f>
        <v>2019/11/05 12:40:00</v>
      </c>
      <c r="H363" s="10" t="str">
        <f>IFERROR(__xludf.DUMMYFUNCTION("""COMPUTED_VALUE"""),"6461ef29-06a4-405c-adf8-7a4c5dd298f4")</f>
        <v>6461ef29-06a4-405c-adf8-7a4c5dd298f4</v>
      </c>
      <c r="I363" s="10" t="str">
        <f>IFERROR(__xludf.DUMMYFUNCTION("""COMPUTED_VALUE"""),"6461ef29-06a4-405c-adf8-7a4c5dd298f4")</f>
        <v>6461ef29-06a4-405c-adf8-7a4c5dd298f4</v>
      </c>
    </row>
    <row r="364">
      <c r="A364" s="10" t="str">
        <f>IFERROR(__xludf.DUMMYFUNCTION("""COMPUTED_VALUE"""),"Airport registration")</f>
        <v>Airport registration</v>
      </c>
      <c r="B364" s="10" t="str">
        <f>IFERROR(__xludf.DUMMYFUNCTION("""COMPUTED_VALUE"""),"Beat the queues and register at the airport. You can register from 7am to 11pm. All you need to do is head out of the terminal and follow the signs to our registration marquee. You’ll be done in a few minutes. 
If you need more information about regist"&amp;"ration go to websummit.com/essentials/registration. ")</f>
        <v>Beat the queues and register at the airport. You can register from 7am to 11pm. All you need to do is head out of the terminal and follow the signs to our registration marquee. You’ll be done in a few minutes. 
If you need more information about registration go to websummit.com/essentials/registration. </v>
      </c>
      <c r="C364" s="10" t="str">
        <f>IFERROR(__xludf.DUMMYFUNCTION("""COMPUTED_VALUE"""),"Airport registration")</f>
        <v>Airport registration</v>
      </c>
      <c r="D364" s="10" t="str">
        <f>IFERROR(__xludf.DUMMYFUNCTION("""COMPUTED_VALUE"""),"")</f>
        <v/>
      </c>
      <c r="E364" s="10" t="str">
        <f>IFERROR(__xludf.DUMMYFUNCTION("""COMPUTED_VALUE"""),"")</f>
        <v/>
      </c>
      <c r="F364" s="10" t="str">
        <f>IFERROR(__xludf.DUMMYFUNCTION("""COMPUTED_VALUE"""),"2019/11/04 07:00:00")</f>
        <v>2019/11/04 07:00:00</v>
      </c>
      <c r="G364" s="10" t="str">
        <f>IFERROR(__xludf.DUMMYFUNCTION("""COMPUTED_VALUE"""),"2019/11/04 23:00:00")</f>
        <v>2019/11/04 23:00:00</v>
      </c>
      <c r="H364" s="10" t="str">
        <f>IFERROR(__xludf.DUMMYFUNCTION("""COMPUTED_VALUE"""),"eb8bbdea-1406-440e-bb86-81a788432166")</f>
        <v>eb8bbdea-1406-440e-bb86-81a788432166</v>
      </c>
      <c r="I364" s="10" t="str">
        <f>IFERROR(__xludf.DUMMYFUNCTION("""COMPUTED_VALUE"""),"eb8bbdea-1406-440e-bb86-81a788432166")</f>
        <v>eb8bbdea-1406-440e-bb86-81a788432166</v>
      </c>
    </row>
    <row r="365">
      <c r="A365" s="10" t="str">
        <f>IFERROR(__xludf.DUMMYFUNCTION("""COMPUTED_VALUE"""),"Startup Showcase")</f>
        <v>Startup Showcase</v>
      </c>
      <c r="B365" s="10" t="str">
        <f>IFERROR(__xludf.DUMMYFUNCTION("""COMPUTED_VALUE"""),"On this brand new stage, expect quickfire presentations where startups will showcase their solutions to the future's biggest challenges. This hour focuses on mobility, covering topics like transport, autotech, logistics, and delivery solutions.
")</f>
        <v>On this brand new stage, expect quickfire presentations where startups will showcase their solutions to the future's biggest challenges. This hour focuses on mobility, covering topics like transport, autotech, logistics, and delivery solutions.
</v>
      </c>
      <c r="C365" s="10" t="str">
        <f>IFERROR(__xludf.DUMMYFUNCTION("""COMPUTED_VALUE"""),"Startup Showcase 2")</f>
        <v>Startup Showcase 2</v>
      </c>
      <c r="D365" s="10" t="str">
        <f>IFERROR(__xludf.DUMMYFUNCTION("""COMPUTED_VALUE"""),"Brendan Yell, Pawel Opozda, Tarek Martínez, Kamornwan Srikullayakorn, Laszlo Török, Jony Jung, AlterMobili Marketing, Walid Nagy, Dollie Sahertian, Maciej Węgrzynek, Carma Khatib, JEONGYOON JANG, Tolga Varol, Katharina Mueller, Katharina Mueller, Ciprian "&amp;"Paltineanu, SLAWEK POTASZ, JINYOUNG CHAE, IL Suk Park, Dorina Páll, Ammar Akhtar, Ádám Dohár, José Xavier, Ilsan Mohamed, Hendrik Kramer, Juan Eduardo Herrera, Jean-Michael Georg, Stella Setyiadi, Pawel Postupalski, Adam Kutyłowski, Jarosław Gawroński, Do"&amp;"eun Kim, Insik Baek, Rosa Lee, José Valente, Octavian Iosif, Rafał Budweil, Marko Nugraha, Roman Prytkov, Zhang Andy, Sittisak Wongsomnuk, Katharina Mueller, Rui Gomes, SEONGCHEOL SHIN, Stefan Toma, Maximilian Fisser, Saad Selim, Shivan Ramachandran, MICH"&amp;"AEL JASCHKE and Tauseef Ahmed Qadri")</f>
        <v>Brendan Yell, Pawel Opozda, Tarek Martínez, Kamornwan Srikullayakorn, Laszlo Török, Jony Jung, AlterMobili Marketing, Walid Nagy, Dollie Sahertian, Maciej Węgrzynek, Carma Khatib, JEONGYOON JANG, Tolga Varol, Katharina Mueller, Katharina Mueller, Ciprian Paltineanu, SLAWEK POTASZ, JINYOUNG CHAE, IL Suk Park, Dorina Páll, Ammar Akhtar, Ádám Dohár, José Xavier, Ilsan Mohamed, Hendrik Kramer, Juan Eduardo Herrera, Jean-Michael Georg, Stella Setyiadi, Pawel Postupalski, Adam Kutyłowski, Jarosław Gawroński, Doeun Kim, Insik Baek, Rosa Lee, José Valente, Octavian Iosif, Rafał Budweil, Marko Nugraha, Roman Prytkov, Zhang Andy, Sittisak Wongsomnuk, Katharina Mueller, Rui Gomes, SEONGCHEOL SHIN, Stefan Toma, Maximilian Fisser, Saad Selim, Shivan Ramachandran, MICHAEL JASCHKE and Tauseef Ahmed Qadri</v>
      </c>
      <c r="E365" s="10" t="str">
        <f>IFERROR(__xludf.DUMMYFUNCTION("""COMPUTED_VALUE"""),"Brendan Yell,Pawel Opozda,Tarek Martínez,Kamornwan Srikullayakorn,Laszlo Török,Jony Jung,AlterMobili Marketing,Walid Nagy,Dollie Sahertian,Maciej Węgrzynek,Carma Khatib,JEONGYOON JANG,Tolga Varol,Katharina Mueller,Katharina Mueller,Ciprian Paltineanu,SLAW"&amp;"EK POTASZ,JINYOUNG CHAE,IL Suk Park,Dorina Páll,Ammar Akhtar,Ádám Dohár,José Xavier,Ilsan Mohamed,Hendrik Kramer,Juan Eduardo Herrera,Jean-Michael Georg,Stella Setyiadi,Pawel Postupalski,Adam Kutyłowski,Jarosław Gawroński,Doeun Kim,Insik Baek,Rosa Lee,Jos"&amp;"é Valente,Octavian Iosif,Rafał Budweil,Marko Nugraha,Roman Prytkov,Zhang Andy,Sittisak Wongsomnuk,Katharina Mueller,Rui Gomes,SEONGCHEOL SHIN,Stefan Toma,Maximilian Fisser,Saad Selim,Shivan Ramachandran,MICHAEL JASCHKE,Tauseef Ahmed Qadri")</f>
        <v>Brendan Yell,Pawel Opozda,Tarek Martínez,Kamornwan Srikullayakorn,Laszlo Török,Jony Jung,AlterMobili Marketing,Walid Nagy,Dollie Sahertian,Maciej Węgrzynek,Carma Khatib,JEONGYOON JANG,Tolga Varol,Katharina Mueller,Katharina Mueller,Ciprian Paltineanu,SLAWEK POTASZ,JINYOUNG CHAE,IL Suk Park,Dorina Páll,Ammar Akhtar,Ádám Dohár,José Xavier,Ilsan Mohamed,Hendrik Kramer,Juan Eduardo Herrera,Jean-Michael Georg,Stella Setyiadi,Pawel Postupalski,Adam Kutyłowski,Jarosław Gawroński,Doeun Kim,Insik Baek,Rosa Lee,José Valente,Octavian Iosif,Rafał Budweil,Marko Nugraha,Roman Prytkov,Zhang Andy,Sittisak Wongsomnuk,Katharina Mueller,Rui Gomes,SEONGCHEOL SHIN,Stefan Toma,Maximilian Fisser,Saad Selim,Shivan Ramachandran,MICHAEL JASCHKE,Tauseef Ahmed Qadri</v>
      </c>
      <c r="F365" s="10" t="str">
        <f>IFERROR(__xludf.DUMMYFUNCTION("""COMPUTED_VALUE"""),"2019/11/07 14:15:00")</f>
        <v>2019/11/07 14:15:00</v>
      </c>
      <c r="G365" s="10" t="str">
        <f>IFERROR(__xludf.DUMMYFUNCTION("""COMPUTED_VALUE"""),"2019/11/07 15:15:00")</f>
        <v>2019/11/07 15:15:00</v>
      </c>
      <c r="H365" s="10" t="str">
        <f>IFERROR(__xludf.DUMMYFUNCTION("""COMPUTED_VALUE"""),"64ad82e1-e9a1-450c-94d5-fe9621ac60b1")</f>
        <v>64ad82e1-e9a1-450c-94d5-fe9621ac60b1</v>
      </c>
      <c r="I365" s="10" t="str">
        <f>IFERROR(__xludf.DUMMYFUNCTION("""COMPUTED_VALUE"""),"64ad82e1-e9a1-450c-94d5-fe9621ac60b1")</f>
        <v>64ad82e1-e9a1-450c-94d5-fe9621ac60b1</v>
      </c>
    </row>
    <row r="366">
      <c r="A366" s="10" t="str">
        <f>IFERROR(__xludf.DUMMYFUNCTION("""COMPUTED_VALUE"""),"Life as the fourth major")</f>
        <v>Life as the fourth major</v>
      </c>
      <c r="B366" s="10" t="str">
        <f>IFERROR(__xludf.DUMMYFUNCTION("""COMPUTED_VALUE"""),"Industry heavyweight Hartwig  talks about the last 10 years and how BMG have developed and thrived in a new digital landscape. Digital transformation, publishing, streaming, acquisitions and diversification will all be covered in this wide ranging firesid"&amp;"e.")</f>
        <v>Industry heavyweight Hartwig  talks about the last 10 years and how BMG have developed and thrived in a new digital landscape. Digital transformation, publishing, streaming, acquisitions and diversification will all be covered in this wide ranging fireside.</v>
      </c>
      <c r="C366" s="10" t="str">
        <f>IFERROR(__xludf.DUMMYFUNCTION("""COMPUTED_VALUE"""),"MusicNotes")</f>
        <v>MusicNotes</v>
      </c>
      <c r="D366" s="10" t="str">
        <f>IFERROR(__xludf.DUMMYFUNCTION("""COMPUTED_VALUE"""),"Hartwig Masuch and Mark Savage")</f>
        <v>Hartwig Masuch and Mark Savage</v>
      </c>
      <c r="E366" s="10" t="str">
        <f>IFERROR(__xludf.DUMMYFUNCTION("""COMPUTED_VALUE"""),"Hartwig Masuch,Mark Savage")</f>
        <v>Hartwig Masuch,Mark Savage</v>
      </c>
      <c r="F366" s="10" t="str">
        <f>IFERROR(__xludf.DUMMYFUNCTION("""COMPUTED_VALUE"""),"2019/11/07 12:15:00")</f>
        <v>2019/11/07 12:15:00</v>
      </c>
      <c r="G366" s="10" t="str">
        <f>IFERROR(__xludf.DUMMYFUNCTION("""COMPUTED_VALUE"""),"2019/11/07 12:35:00")</f>
        <v>2019/11/07 12:35:00</v>
      </c>
      <c r="H366" s="10" t="str">
        <f>IFERROR(__xludf.DUMMYFUNCTION("""COMPUTED_VALUE"""),"146a3ec7-5517-4d81-b735-78a9239e71fc")</f>
        <v>146a3ec7-5517-4d81-b735-78a9239e71fc</v>
      </c>
      <c r="I366" s="10" t="str">
        <f>IFERROR(__xludf.DUMMYFUNCTION("""COMPUTED_VALUE"""),"146a3ec7-5517-4d81-b735-78a9239e71fc")</f>
        <v>146a3ec7-5517-4d81-b735-78a9239e71fc</v>
      </c>
    </row>
    <row r="367">
      <c r="A367" s="10" t="str">
        <f>IFERROR(__xludf.DUMMYFUNCTION("""COMPUTED_VALUE"""),"Microservices and containers")</f>
        <v>Microservices and containers</v>
      </c>
      <c r="B367" s="10" t="str">
        <f>IFERROR(__xludf.DUMMYFUNCTION("""COMPUTED_VALUE"""),"Simply starting your microservices in a Docker container is not enough for a robust architecture! This session starts with microservices and container basics and explains how to do it right. We'll look at why you should run your containers in the cloud, h"&amp;"ow you do so, and what options you have. There will be a demonstration of the AWS container services you can choose from, such as Amazon EKS and ECS, with advice and guidance on which one you should use. There will also be a discussion on best practices a"&amp;"nd useful open source tools. If you care about container workloads, then this session is for you.")</f>
        <v>Simply starting your microservices in a Docker container is not enough for a robust architecture! This session starts with microservices and container basics and explains how to do it right. We'll look at why you should run your containers in the cloud, how you do so, and what options you have. There will be a demonstration of the AWS container services you can choose from, such as Amazon EKS and ECS, with advice and guidance on which one you should use. There will also be a discussion on best practices and useful open source tools. If you care about container workloads, then this session is for you.</v>
      </c>
      <c r="C367" s="10" t="str">
        <f>IFERROR(__xludf.DUMMYFUNCTION("""COMPUTED_VALUE"""),"AWS Developer Workshops")</f>
        <v>AWS Developer Workshops</v>
      </c>
      <c r="D367" s="10" t="str">
        <f>IFERROR(__xludf.DUMMYFUNCTION("""COMPUTED_VALUE"""),"")</f>
        <v/>
      </c>
      <c r="E367" s="10" t="str">
        <f>IFERROR(__xludf.DUMMYFUNCTION("""COMPUTED_VALUE"""),"")</f>
        <v/>
      </c>
      <c r="F367" s="10" t="str">
        <f>IFERROR(__xludf.DUMMYFUNCTION("""COMPUTED_VALUE"""),"2019/11/07 11:00:00")</f>
        <v>2019/11/07 11:00:00</v>
      </c>
      <c r="G367" s="10" t="str">
        <f>IFERROR(__xludf.DUMMYFUNCTION("""COMPUTED_VALUE"""),"2019/11/07 11:50:00")</f>
        <v>2019/11/07 11:50:00</v>
      </c>
      <c r="H367" s="10" t="str">
        <f>IFERROR(__xludf.DUMMYFUNCTION("""COMPUTED_VALUE"""),"a2d5f81d-177d-4a25-87d3-529d7e276c07")</f>
        <v>a2d5f81d-177d-4a25-87d3-529d7e276c07</v>
      </c>
      <c r="I367" s="10" t="str">
        <f>IFERROR(__xludf.DUMMYFUNCTION("""COMPUTED_VALUE"""),"a2d5f81d-177d-4a25-87d3-529d7e276c07")</f>
        <v>a2d5f81d-177d-4a25-87d3-529d7e276c07</v>
      </c>
    </row>
    <row r="368">
      <c r="A368" s="10" t="str">
        <f>IFERROR(__xludf.DUMMYFUNCTION("""COMPUTED_VALUE"""),"The upside of obsession")</f>
        <v>The upside of obsession</v>
      </c>
      <c r="B368" s="10" t="str">
        <f>IFERROR(__xludf.DUMMYFUNCTION("""COMPUTED_VALUE"""),"In modern society obsession can be often viewed as a negative thing. But what does obsession mean to those who have reached the peak, and what role did it play in them getting to where they are now?")</f>
        <v>In modern society obsession can be often viewed as a negative thing. But what does obsession mean to those who have reached the peak, and what role did it play in them getting to where they are now?</v>
      </c>
      <c r="C368" s="10" t="str">
        <f>IFERROR(__xludf.DUMMYFUNCTION("""COMPUTED_VALUE"""),"Centre Stage")</f>
        <v>Centre Stage</v>
      </c>
      <c r="D368" s="10" t="str">
        <f>IFERROR(__xludf.DUMMYFUNCTION("""COMPUTED_VALUE"""),"Des Traynor,  , Paige VanZant,   and David Rowan")</f>
        <v>Des Traynor,  , Paige VanZant,   and David Rowan</v>
      </c>
      <c r="E368" s="10" t="str">
        <f>IFERROR(__xludf.DUMMYFUNCTION("""COMPUTED_VALUE"""),"Des Traynor, ,Paige VanZant, ,David Rowan")</f>
        <v>Des Traynor, ,Paige VanZant, ,David Rowan</v>
      </c>
      <c r="F368" s="10" t="str">
        <f>IFERROR(__xludf.DUMMYFUNCTION("""COMPUTED_VALUE"""),"2019/11/06 16:15:00")</f>
        <v>2019/11/06 16:15:00</v>
      </c>
      <c r="G368" s="10" t="str">
        <f>IFERROR(__xludf.DUMMYFUNCTION("""COMPUTED_VALUE"""),"2019/11/06 16:40:00")</f>
        <v>2019/11/06 16:40:00</v>
      </c>
      <c r="H368" s="10" t="str">
        <f>IFERROR(__xludf.DUMMYFUNCTION("""COMPUTED_VALUE"""),"5cec1916-6d6d-44ba-8b45-d12c9fb4212a")</f>
        <v>5cec1916-6d6d-44ba-8b45-d12c9fb4212a</v>
      </c>
      <c r="I368" s="10" t="str">
        <f>IFERROR(__xludf.DUMMYFUNCTION("""COMPUTED_VALUE"""),"5cec1916-6d6d-44ba-8b45-d12c9fb4212a")</f>
        <v>5cec1916-6d6d-44ba-8b45-d12c9fb4212a</v>
      </c>
    </row>
    <row r="369">
      <c r="A369" s="10" t="str">
        <f>IFERROR(__xludf.DUMMYFUNCTION("""COMPUTED_VALUE"""),"Data lakes and analytics in the cloud for developers and founders")</f>
        <v>Data lakes and analytics in the cloud for developers and founders</v>
      </c>
      <c r="B369" s="10" t="str">
        <f>IFERROR(__xludf.DUMMYFUNCTION("""COMPUTED_VALUE"""),"A typical application generates large amounts of data in different shapes at different speeds. Making sense of that data has its own sets of challenges and pitfalls. In this session we will explore the problem of data engineering and data lakes in general"&amp;", and learn how to use the cloud to get insights from your data in a powerful, flexible, and scalable way.")</f>
        <v>A typical application generates large amounts of data in different shapes at different speeds. Making sense of that data has its own sets of challenges and pitfalls. In this session we will explore the problem of data engineering and data lakes in general, and learn how to use the cloud to get insights from your data in a powerful, flexible, and scalable way.</v>
      </c>
      <c r="C369" s="10" t="str">
        <f>IFERROR(__xludf.DUMMYFUNCTION("""COMPUTED_VALUE"""),"AWS Developer Workshops")</f>
        <v>AWS Developer Workshops</v>
      </c>
      <c r="D369" s="10" t="str">
        <f>IFERROR(__xludf.DUMMYFUNCTION("""COMPUTED_VALUE"""),"")</f>
        <v/>
      </c>
      <c r="E369" s="10" t="str">
        <f>IFERROR(__xludf.DUMMYFUNCTION("""COMPUTED_VALUE"""),"")</f>
        <v/>
      </c>
      <c r="F369" s="10" t="str">
        <f>IFERROR(__xludf.DUMMYFUNCTION("""COMPUTED_VALUE"""),"2019/11/06 12:00:00")</f>
        <v>2019/11/06 12:00:00</v>
      </c>
      <c r="G369" s="10" t="str">
        <f>IFERROR(__xludf.DUMMYFUNCTION("""COMPUTED_VALUE"""),"2019/11/06 12:50:00")</f>
        <v>2019/11/06 12:50:00</v>
      </c>
      <c r="H369" s="10" t="str">
        <f>IFERROR(__xludf.DUMMYFUNCTION("""COMPUTED_VALUE"""),"865b6204-7d5a-4e88-9a71-ce3f4e969f79")</f>
        <v>865b6204-7d5a-4e88-9a71-ce3f4e969f79</v>
      </c>
      <c r="I369" s="10" t="str">
        <f>IFERROR(__xludf.DUMMYFUNCTION("""COMPUTED_VALUE"""),"865b6204-7d5a-4e88-9a71-ce3f4e969f79")</f>
        <v>865b6204-7d5a-4e88-9a71-ce3f4e969f79</v>
      </c>
    </row>
    <row r="370">
      <c r="A370" s="10" t="str">
        <f>IFERROR(__xludf.DUMMYFUNCTION("""COMPUTED_VALUE"""),"A formula for customer experience")</f>
        <v>A formula for customer experience</v>
      </c>
      <c r="B370" s="10" t="str">
        <f>IFERROR(__xludf.DUMMYFUNCTION("""COMPUTED_VALUE"""),"Customers have never had it so good. With revolutions in marketing analytics and how we use data, the customer experience is now a seamless personalised process. However, this presents a new issue - sameness. In this interview, SAPs CMO will explain to us"&amp;" what strategies she is employing to ensure that her brand is doing things a little differently.")</f>
        <v>Customers have never had it so good. With revolutions in marketing analytics and how we use data, the customer experience is now a seamless personalised process. However, this presents a new issue - sameness. In this interview, SAPs CMO will explain to us what strategies she is employing to ensure that her brand is doing things a little differently.</v>
      </c>
      <c r="C370" s="10" t="str">
        <f>IFERROR(__xludf.DUMMYFUNCTION("""COMPUTED_VALUE"""),"Corporate Innovation Summit")</f>
        <v>Corporate Innovation Summit</v>
      </c>
      <c r="D370" s="10" t="str">
        <f>IFERROR(__xludf.DUMMYFUNCTION("""COMPUTED_VALUE"""),"Alicia Tillman and Xavier Oliver")</f>
        <v>Alicia Tillman and Xavier Oliver</v>
      </c>
      <c r="E370" s="10" t="str">
        <f>IFERROR(__xludf.DUMMYFUNCTION("""COMPUTED_VALUE"""),"Alicia Tillman,Xavier Oliver")</f>
        <v>Alicia Tillman,Xavier Oliver</v>
      </c>
      <c r="F370" s="10" t="str">
        <f>IFERROR(__xludf.DUMMYFUNCTION("""COMPUTED_VALUE"""),"2019/11/06 16:05:00")</f>
        <v>2019/11/06 16:05:00</v>
      </c>
      <c r="G370" s="10" t="str">
        <f>IFERROR(__xludf.DUMMYFUNCTION("""COMPUTED_VALUE"""),"2019/11/06 16:25:00")</f>
        <v>2019/11/06 16:25:00</v>
      </c>
      <c r="H370" s="10" t="str">
        <f>IFERROR(__xludf.DUMMYFUNCTION("""COMPUTED_VALUE"""),"3c213a4c-f1a9-4840-bd25-76f333eb7641")</f>
        <v>3c213a4c-f1a9-4840-bd25-76f333eb7641</v>
      </c>
      <c r="I370" s="10" t="str">
        <f>IFERROR(__xludf.DUMMYFUNCTION("""COMPUTED_VALUE"""),"3c213a4c-f1a9-4840-bd25-76f333eb7641")</f>
        <v>3c213a4c-f1a9-4840-bd25-76f333eb7641</v>
      </c>
    </row>
    <row r="371">
      <c r="A371" s="10" t="str">
        <f>IFERROR(__xludf.DUMMYFUNCTION("""COMPUTED_VALUE"""),"Preventing crashes by predicting the future")</f>
        <v>Preventing crashes by predicting the future</v>
      </c>
      <c r="B371" s="10" t="str">
        <f>IFERROR(__xludf.DUMMYFUNCTION("""COMPUTED_VALUE"""),"Nobody wants to crash. What if we had software that would make it an impossibility?")</f>
        <v>Nobody wants to crash. What if we had software that would make it an impossibility?</v>
      </c>
      <c r="C371" s="10" t="str">
        <f>IFERROR(__xludf.DUMMYFUNCTION("""COMPUTED_VALUE"""),"Auto/Tech &amp; TalkRobot")</f>
        <v>Auto/Tech &amp; TalkRobot</v>
      </c>
      <c r="D371" s="10" t="str">
        <f>IFERROR(__xludf.DUMMYFUNCTION("""COMPUTED_VALUE"""),"Jennifer Haroon, Stefan Heck and Jim Motavalli")</f>
        <v>Jennifer Haroon, Stefan Heck and Jim Motavalli</v>
      </c>
      <c r="E371" s="10" t="str">
        <f>IFERROR(__xludf.DUMMYFUNCTION("""COMPUTED_VALUE"""),"Jennifer Haroon,Stefan Heck,Jim Motavalli")</f>
        <v>Jennifer Haroon,Stefan Heck,Jim Motavalli</v>
      </c>
      <c r="F371" s="10" t="str">
        <f>IFERROR(__xludf.DUMMYFUNCTION("""COMPUTED_VALUE"""),"2019/11/06 16:00:00")</f>
        <v>2019/11/06 16:00:00</v>
      </c>
      <c r="G371" s="10" t="str">
        <f>IFERROR(__xludf.DUMMYFUNCTION("""COMPUTED_VALUE"""),"2019/11/06 16:20:00")</f>
        <v>2019/11/06 16:20:00</v>
      </c>
      <c r="H371" s="10" t="str">
        <f>IFERROR(__xludf.DUMMYFUNCTION("""COMPUTED_VALUE"""),"c71dc235-d1c7-4e31-8fbb-69a91eceb87a")</f>
        <v>c71dc235-d1c7-4e31-8fbb-69a91eceb87a</v>
      </c>
      <c r="I371" s="10" t="str">
        <f>IFERROR(__xludf.DUMMYFUNCTION("""COMPUTED_VALUE"""),"c71dc235-d1c7-4e31-8fbb-69a91eceb87a")</f>
        <v>c71dc235-d1c7-4e31-8fbb-69a91eceb87a</v>
      </c>
    </row>
    <row r="372">
      <c r="A372" s="10" t="str">
        <f>IFERROR(__xludf.DUMMYFUNCTION("""COMPUTED_VALUE"""),"Live music: Getting fans out more")</f>
        <v>Live music: Getting fans out more</v>
      </c>
      <c r="B372" s="10" t="str">
        <f>IFERROR(__xludf.DUMMYFUNCTION("""COMPUTED_VALUE"""),"With the advent of streaming and its impact on record sales, live music has never been more important. In this session we take a look at the live music scene and ask what the future could look like. Come find out about the next generation of live music sh"&amp;"ows and learn how a combination of tout-beating digital tech and smart event recommendation is making the live music industry fairer for all.")</f>
        <v>With the advent of streaming and its impact on record sales, live music has never been more important. In this session we take a look at the live music scene and ask what the future could look like. Come find out about the next generation of live music shows and learn how a combination of tout-beating digital tech and smart event recommendation is making the live music industry fairer for all.</v>
      </c>
      <c r="C372" s="10" t="str">
        <f>IFERROR(__xludf.DUMMYFUNCTION("""COMPUTED_VALUE"""),"MusicNotes")</f>
        <v>MusicNotes</v>
      </c>
      <c r="D372" s="10" t="str">
        <f>IFERROR(__xludf.DUMMYFUNCTION("""COMPUTED_VALUE"""),"Phil Hutcheon, Gabrielle Jenks and Kieran Yates")</f>
        <v>Phil Hutcheon, Gabrielle Jenks and Kieran Yates</v>
      </c>
      <c r="E372" s="10" t="str">
        <f>IFERROR(__xludf.DUMMYFUNCTION("""COMPUTED_VALUE"""),"Phil Hutcheon,Gabrielle Jenks,Kieran Yates")</f>
        <v>Phil Hutcheon,Gabrielle Jenks,Kieran Yates</v>
      </c>
      <c r="F372" s="10" t="str">
        <f>IFERROR(__xludf.DUMMYFUNCTION("""COMPUTED_VALUE"""),"2019/11/07 11:55:00")</f>
        <v>2019/11/07 11:55:00</v>
      </c>
      <c r="G372" s="10" t="str">
        <f>IFERROR(__xludf.DUMMYFUNCTION("""COMPUTED_VALUE"""),"2019/11/07 12:15:00")</f>
        <v>2019/11/07 12:15:00</v>
      </c>
      <c r="H372" s="10" t="str">
        <f>IFERROR(__xludf.DUMMYFUNCTION("""COMPUTED_VALUE"""),"46662c4d-efc2-4bc7-965b-96faa2abbe9b")</f>
        <v>46662c4d-efc2-4bc7-965b-96faa2abbe9b</v>
      </c>
      <c r="I372" s="10" t="str">
        <f>IFERROR(__xludf.DUMMYFUNCTION("""COMPUTED_VALUE"""),"46662c4d-efc2-4bc7-965b-96faa2abbe9b")</f>
        <v>46662c4d-efc2-4bc7-965b-96faa2abbe9b</v>
      </c>
    </row>
    <row r="373">
      <c r="A373" s="10" t="str">
        <f>IFERROR(__xludf.DUMMYFUNCTION("""COMPUTED_VALUE"""),"Is it too late to save the world?")</f>
        <v>Is it too late to save the world?</v>
      </c>
      <c r="B373" s="10" t="str">
        <f>IFERROR(__xludf.DUMMYFUNCTION("""COMPUTED_VALUE"""),"With America pulling out of the Paris climate accord and climate scientists issuing increasingly pessimistic forecasts about the climate crisis, we ask whether it is now too late to change course. If we can avoid a catastrophe, how are we going to do it?")</f>
        <v>With America pulling out of the Paris climate accord and climate scientists issuing increasingly pessimistic forecasts about the climate crisis, we ask whether it is now too late to change course. If we can avoid a catastrophe, how are we going to do it?</v>
      </c>
      <c r="C373" s="10" t="str">
        <f>IFERROR(__xludf.DUMMYFUNCTION("""COMPUTED_VALUE"""),"Centre Stage")</f>
        <v>Centre Stage</v>
      </c>
      <c r="D373" s="10" t="str">
        <f>IFERROR(__xludf.DUMMYFUNCTION("""COMPUTED_VALUE"""),"Christiana Figueres, Kate Brandt and Cheng Lei")</f>
        <v>Christiana Figueres, Kate Brandt and Cheng Lei</v>
      </c>
      <c r="E373" s="10" t="str">
        <f>IFERROR(__xludf.DUMMYFUNCTION("""COMPUTED_VALUE"""),"Christiana Figueres,Kate Brandt,Cheng Lei")</f>
        <v>Christiana Figueres,Kate Brandt,Cheng Lei</v>
      </c>
      <c r="F373" s="10" t="str">
        <f>IFERROR(__xludf.DUMMYFUNCTION("""COMPUTED_VALUE"""),"2019/11/06 14:45:00")</f>
        <v>2019/11/06 14:45:00</v>
      </c>
      <c r="G373" s="10" t="str">
        <f>IFERROR(__xludf.DUMMYFUNCTION("""COMPUTED_VALUE"""),"2019/11/06 15:10:00")</f>
        <v>2019/11/06 15:10:00</v>
      </c>
      <c r="H373" s="10" t="str">
        <f>IFERROR(__xludf.DUMMYFUNCTION("""COMPUTED_VALUE"""),"a5516898-7b73-4be8-b22e-289dd02334f1")</f>
        <v>a5516898-7b73-4be8-b22e-289dd02334f1</v>
      </c>
      <c r="I373" s="10" t="str">
        <f>IFERROR(__xludf.DUMMYFUNCTION("""COMPUTED_VALUE"""),"a5516898-7b73-4be8-b22e-289dd02334f1")</f>
        <v>a5516898-7b73-4be8-b22e-289dd02334f1</v>
      </c>
    </row>
    <row r="374">
      <c r="A374" s="10" t="str">
        <f>IFERROR(__xludf.DUMMYFUNCTION("""COMPUTED_VALUE"""),"The Appier story: Making business impact with AI")</f>
        <v>The Appier story: Making business impact with AI</v>
      </c>
      <c r="B374" s="10" t="str">
        <f>IFERROR(__xludf.DUMMYFUNCTION("""COMPUTED_VALUE"""),"Winnie Lee, COO of Appier, will share Appier's growth story. From its origins in a small apartment as an artificial intelligence engine for online games, to an AI powerhouse, helping its global clients solve some of their most challenging business problem"&amp;"s through effective implementation of AI.")</f>
        <v>Winnie Lee, COO of Appier, will share Appier's growth story. From its origins in a small apartment as an artificial intelligence engine for online games, to an AI powerhouse, helping its global clients solve some of their most challenging business problems through effective implementation of AI.</v>
      </c>
      <c r="C374" s="10" t="str">
        <f>IFERROR(__xludf.DUMMYFUNCTION("""COMPUTED_VALUE"""),"Growth Summit")</f>
        <v>Growth Summit</v>
      </c>
      <c r="D374" s="10" t="str">
        <f>IFERROR(__xludf.DUMMYFUNCTION("""COMPUTED_VALUE"""),"Winnie Lee")</f>
        <v>Winnie Lee</v>
      </c>
      <c r="E374" s="10" t="str">
        <f>IFERROR(__xludf.DUMMYFUNCTION("""COMPUTED_VALUE"""),"Winnie Lee")</f>
        <v>Winnie Lee</v>
      </c>
      <c r="F374" s="10" t="str">
        <f>IFERROR(__xludf.DUMMYFUNCTION("""COMPUTED_VALUE"""),"2019/11/06 13:14:00")</f>
        <v>2019/11/06 13:14:00</v>
      </c>
      <c r="G374" s="10" t="str">
        <f>IFERROR(__xludf.DUMMYFUNCTION("""COMPUTED_VALUE"""),"2019/11/06 13:25:00")</f>
        <v>2019/11/06 13:25:00</v>
      </c>
      <c r="H374" s="10" t="str">
        <f>IFERROR(__xludf.DUMMYFUNCTION("""COMPUTED_VALUE"""),"5d494c27-fbd2-4e99-b5e5-c6b46d5aa076")</f>
        <v>5d494c27-fbd2-4e99-b5e5-c6b46d5aa076</v>
      </c>
      <c r="I374" s="10" t="str">
        <f>IFERROR(__xludf.DUMMYFUNCTION("""COMPUTED_VALUE"""),"5d494c27-fbd2-4e99-b5e5-c6b46d5aa076")</f>
        <v>5d494c27-fbd2-4e99-b5e5-c6b46d5aa076</v>
      </c>
    </row>
    <row r="375">
      <c r="A375" s="10" t="str">
        <f>IFERROR(__xludf.DUMMYFUNCTION("""COMPUTED_VALUE"""),"Lessons from 3000 days of struggle")</f>
        <v>Lessons from 3000 days of struggle</v>
      </c>
      <c r="B375" s="10" t="str">
        <f>IFERROR(__xludf.DUMMYFUNCTION("""COMPUTED_VALUE"""),"In 2010, Augusto Marietti and Marco Palladino moved from Milan to San Francisco with a few hundred bucks of cash and a dream to make it big in tech. Through grit, determination, dumb luck and the relentless ability to pivot when necessary,  they succeeded"&amp;", and sold their first company (Mashape) and founded their second (Kong Inc.). Marco will share lessons learned, how the early struggles as an entrepreneur fueled his future success and advice for other entrepreneurs.")</f>
        <v>In 2010, Augusto Marietti and Marco Palladino moved from Milan to San Francisco with a few hundred bucks of cash and a dream to make it big in tech. Through grit, determination, dumb luck and the relentless ability to pivot when necessary,  they succeeded, and sold their first company (Mashape) and founded their second (Kong Inc.). Marco will share lessons learned, how the early struggles as an entrepreneur fueled his future success and advice for other entrepreneurs.</v>
      </c>
      <c r="C375" s="10" t="str">
        <f>IFERROR(__xludf.DUMMYFUNCTION("""COMPUTED_VALUE"""),"Growth Summit")</f>
        <v>Growth Summit</v>
      </c>
      <c r="D375" s="10" t="str">
        <f>IFERROR(__xludf.DUMMYFUNCTION("""COMPUTED_VALUE"""),"Marco Palladino")</f>
        <v>Marco Palladino</v>
      </c>
      <c r="E375" s="10" t="str">
        <f>IFERROR(__xludf.DUMMYFUNCTION("""COMPUTED_VALUE"""),"Marco Palladino")</f>
        <v>Marco Palladino</v>
      </c>
      <c r="F375" s="10" t="str">
        <f>IFERROR(__xludf.DUMMYFUNCTION("""COMPUTED_VALUE"""),"2019/11/07 15:59:00")</f>
        <v>2019/11/07 15:59:00</v>
      </c>
      <c r="G375" s="10" t="str">
        <f>IFERROR(__xludf.DUMMYFUNCTION("""COMPUTED_VALUE"""),"2019/11/07 16:10:00")</f>
        <v>2019/11/07 16:10:00</v>
      </c>
      <c r="H375" s="10" t="str">
        <f>IFERROR(__xludf.DUMMYFUNCTION("""COMPUTED_VALUE"""),"97fb1a87-6575-4dd8-9f7c-e0193c799658")</f>
        <v>97fb1a87-6575-4dd8-9f7c-e0193c799658</v>
      </c>
      <c r="I375" s="10" t="str">
        <f>IFERROR(__xludf.DUMMYFUNCTION("""COMPUTED_VALUE"""),"97fb1a87-6575-4dd8-9f7c-e0193c799658")</f>
        <v>97fb1a87-6575-4dd8-9f7c-e0193c799658</v>
      </c>
    </row>
    <row r="376">
      <c r="A376" s="10" t="str">
        <f>IFERROR(__xludf.DUMMYFUNCTION("""COMPUTED_VALUE"""),"The good, the bad and the future of big data")</f>
        <v>The good, the bad and the future of big data</v>
      </c>
      <c r="B376" s="10" t="str">
        <f>IFERROR(__xludf.DUMMYFUNCTION("""COMPUTED_VALUE"""),"As we enter the age of artificial intelligence and micro-marketing, how corporations use data has never been closer to the forefront of our thinking. In this session, the data leaders of WalllGreen Boots Alliance, JC Decaux and Xandr will guide us on wher"&amp;"e we go from here.")</f>
        <v>As we enter the age of artificial intelligence and micro-marketing, how corporations use data has never been closer to the forefront of our thinking. In this session, the data leaders of WalllGreen Boots Alliance, JC Decaux and Xandr will guide us on where we go from here.</v>
      </c>
      <c r="C376" s="10" t="str">
        <f>IFERROR(__xludf.DUMMYFUNCTION("""COMPUTED_VALUE"""),"Corporate Innovation Summit")</f>
        <v>Corporate Innovation Summit</v>
      </c>
      <c r="D376" s="10" t="str">
        <f>IFERROR(__xludf.DUMMYFUNCTION("""COMPUTED_VALUE"""),"François-Xavier Pierrel, Steve Rempel, Lori Fink and Joaquim Bretcha Boix")</f>
        <v>François-Xavier Pierrel, Steve Rempel, Lori Fink and Joaquim Bretcha Boix</v>
      </c>
      <c r="E376" s="10" t="str">
        <f>IFERROR(__xludf.DUMMYFUNCTION("""COMPUTED_VALUE"""),"François-Xavier Pierrel,Steve Rempel,Lori Fink,Joaquim Bretcha Boix")</f>
        <v>François-Xavier Pierrel,Steve Rempel,Lori Fink,Joaquim Bretcha Boix</v>
      </c>
      <c r="F376" s="10" t="str">
        <f>IFERROR(__xludf.DUMMYFUNCTION("""COMPUTED_VALUE"""),"2019/11/05 11:15:00")</f>
        <v>2019/11/05 11:15:00</v>
      </c>
      <c r="G376" s="10" t="str">
        <f>IFERROR(__xludf.DUMMYFUNCTION("""COMPUTED_VALUE"""),"2019/11/05 11:40:00")</f>
        <v>2019/11/05 11:40:00</v>
      </c>
      <c r="H376" s="10" t="str">
        <f>IFERROR(__xludf.DUMMYFUNCTION("""COMPUTED_VALUE"""),"a73787b3-c882-46bc-a562-93cc0e79cec7")</f>
        <v>a73787b3-c882-46bc-a562-93cc0e79cec7</v>
      </c>
      <c r="I376" s="10" t="str">
        <f>IFERROR(__xludf.DUMMYFUNCTION("""COMPUTED_VALUE"""),"a73787b3-c882-46bc-a562-93cc0e79cec7")</f>
        <v>a73787b3-c882-46bc-a562-93cc0e79cec7</v>
      </c>
    </row>
    <row r="377">
      <c r="A377" s="10" t="str">
        <f>IFERROR(__xludf.DUMMYFUNCTION("""COMPUTED_VALUE"""),"The truth behind the founder-VC relationship ")</f>
        <v>The truth behind the founder-VC relationship </v>
      </c>
      <c r="B377" s="10" t="str">
        <f>IFERROR(__xludf.DUMMYFUNCTION("""COMPUTED_VALUE"""),"Two heads are better than one, or too many cooks in the kitchen? A frank discussion about the delicate relationship between CEOs and their backing VCs. ")</f>
        <v>Two heads are better than one, or too many cooks in the kitchen? A frank discussion about the delicate relationship between CEOs and their backing VCs. </v>
      </c>
      <c r="C377" s="10" t="str">
        <f>IFERROR(__xludf.DUMMYFUNCTION("""COMPUTED_VALUE"""),"Startup University")</f>
        <v>Startup University</v>
      </c>
      <c r="D377" s="10" t="str">
        <f>IFERROR(__xludf.DUMMYFUNCTION("""COMPUTED_VALUE"""),"Nikki Lannen, Timo Soininen, Lars Jornow and Cynthia Johnson")</f>
        <v>Nikki Lannen, Timo Soininen, Lars Jornow and Cynthia Johnson</v>
      </c>
      <c r="E377" s="10" t="str">
        <f>IFERROR(__xludf.DUMMYFUNCTION("""COMPUTED_VALUE"""),"Nikki Lannen,Timo Soininen,Lars Jornow,Cynthia Johnson")</f>
        <v>Nikki Lannen,Timo Soininen,Lars Jornow,Cynthia Johnson</v>
      </c>
      <c r="F377" s="10" t="str">
        <f>IFERROR(__xludf.DUMMYFUNCTION("""COMPUTED_VALUE"""),"2019/11/06 12:10:00")</f>
        <v>2019/11/06 12:10:00</v>
      </c>
      <c r="G377" s="10" t="str">
        <f>IFERROR(__xludf.DUMMYFUNCTION("""COMPUTED_VALUE"""),"2019/11/06 12:35:00")</f>
        <v>2019/11/06 12:35:00</v>
      </c>
      <c r="H377" s="10" t="str">
        <f>IFERROR(__xludf.DUMMYFUNCTION("""COMPUTED_VALUE"""),"f0f2e556-3c47-44bc-8a2a-5bb5dd21a73a")</f>
        <v>f0f2e556-3c47-44bc-8a2a-5bb5dd21a73a</v>
      </c>
      <c r="I377" s="10" t="str">
        <f>IFERROR(__xludf.DUMMYFUNCTION("""COMPUTED_VALUE"""),"f0f2e556-3c47-44bc-8a2a-5bb5dd21a73a")</f>
        <v>f0f2e556-3c47-44bc-8a2a-5bb5dd21a73a</v>
      </c>
    </row>
    <row r="378">
      <c r="A378" s="10" t="str">
        <f>IFERROR(__xludf.DUMMYFUNCTION("""COMPUTED_VALUE"""),"Creating new worlds: Technology, innovation and storytelling")</f>
        <v>Creating new worlds: Technology, innovation and storytelling</v>
      </c>
      <c r="B378" s="10" t="str">
        <f>IFERROR(__xludf.DUMMYFUNCTION("""COMPUTED_VALUE"""),"Today’s unprecedented rate of technological development is opening new worlds in moviemaking. We can now bring far off galaxies to a soundstage near you, in real-time, leveraging technology to tell compelling stories in new and interesting ways. An Oscar®"&amp;" nominated content creator from Lucasfilm’s immersive entertainment studio will pull back the curtain on technology and techniques that are changing the way filmmakers tell their stories.")</f>
        <v>Today’s unprecedented rate of technological development is opening new worlds in moviemaking. We can now bring far off galaxies to a soundstage near you, in real-time, leveraging technology to tell compelling stories in new and interesting ways. An Oscar® nominated content creator from Lucasfilm’s immersive entertainment studio will pull back the curtain on technology and techniques that are changing the way filmmakers tell their stories.</v>
      </c>
      <c r="C378" s="10" t="str">
        <f>IFERROR(__xludf.DUMMYFUNCTION("""COMPUTED_VALUE"""),"ContentMakers")</f>
        <v>ContentMakers</v>
      </c>
      <c r="D378" s="10" t="str">
        <f>IFERROR(__xludf.DUMMYFUNCTION("""COMPUTED_VALUE"""),"Mohen Leo")</f>
        <v>Mohen Leo</v>
      </c>
      <c r="E378" s="10" t="str">
        <f>IFERROR(__xludf.DUMMYFUNCTION("""COMPUTED_VALUE"""),"Mohen Leo")</f>
        <v>Mohen Leo</v>
      </c>
      <c r="F378" s="10" t="str">
        <f>IFERROR(__xludf.DUMMYFUNCTION("""COMPUTED_VALUE"""),"2019/11/07 15:55:00")</f>
        <v>2019/11/07 15:55:00</v>
      </c>
      <c r="G378" s="10" t="str">
        <f>IFERROR(__xludf.DUMMYFUNCTION("""COMPUTED_VALUE"""),"2019/11/07 16:20:00")</f>
        <v>2019/11/07 16:20:00</v>
      </c>
      <c r="H378" s="10" t="str">
        <f>IFERROR(__xludf.DUMMYFUNCTION("""COMPUTED_VALUE"""),"5be544cf-3d3b-44bc-93a7-45ab95f353a7")</f>
        <v>5be544cf-3d3b-44bc-93a7-45ab95f353a7</v>
      </c>
      <c r="I378" s="10" t="str">
        <f>IFERROR(__xludf.DUMMYFUNCTION("""COMPUTED_VALUE"""),"5be544cf-3d3b-44bc-93a7-45ab95f353a7")</f>
        <v>5be544cf-3d3b-44bc-93a7-45ab95f353a7</v>
      </c>
    </row>
    <row r="379">
      <c r="A379" s="10" t="str">
        <f>IFERROR(__xludf.DUMMYFUNCTION("""COMPUTED_VALUE"""),"Powering your branded content on Instagram workshop, hosted by Shutterstock")</f>
        <v>Powering your branded content on Instagram workshop, hosted by Shutterstock</v>
      </c>
      <c r="B379" s="10" t="str">
        <f>IFERROR(__xludf.DUMMYFUNCTION("""COMPUTED_VALUE"""),"The rise of photo and video sharing platforms, coupled with decreasing attention spans and budgets, means brands and agencies have struggled to keep up with the production of visual content. How have leading brands, with new technology, streamlined and sc"&amp;"aled their branded visual content production? Join this workshop to learn how to drastically simplify the creative briefing process, while also increasing speed of delivery and reducing costs.
*Please bring a laptop for this workshop")</f>
        <v>The rise of photo and video sharing platforms, coupled with decreasing attention spans and budgets, means brands and agencies have struggled to keep up with the production of visual content. How have leading brands, with new technology, streamlined and scaled their branded visual content production? Join this workshop to learn how to drastically simplify the creative briefing process, while also increasing speed of delivery and reducing costs.
*Please bring a laptop for this workshop</v>
      </c>
      <c r="C379" s="10" t="str">
        <f>IFERROR(__xludf.DUMMYFUNCTION("""COMPUTED_VALUE"""),"Workshop 3")</f>
        <v>Workshop 3</v>
      </c>
      <c r="D379" s="10" t="str">
        <f>IFERROR(__xludf.DUMMYFUNCTION("""COMPUTED_VALUE"""),"Luc Berlin")</f>
        <v>Luc Berlin</v>
      </c>
      <c r="E379" s="10" t="str">
        <f>IFERROR(__xludf.DUMMYFUNCTION("""COMPUTED_VALUE"""),"Luc Berlin")</f>
        <v>Luc Berlin</v>
      </c>
      <c r="F379" s="10" t="str">
        <f>IFERROR(__xludf.DUMMYFUNCTION("""COMPUTED_VALUE"""),"2019/11/05 10:00:00")</f>
        <v>2019/11/05 10:00:00</v>
      </c>
      <c r="G379" s="10" t="str">
        <f>IFERROR(__xludf.DUMMYFUNCTION("""COMPUTED_VALUE"""),"2019/11/05 10:45:00")</f>
        <v>2019/11/05 10:45:00</v>
      </c>
      <c r="H379" s="10" t="str">
        <f>IFERROR(__xludf.DUMMYFUNCTION("""COMPUTED_VALUE"""),"e604b28f-cefe-4ecd-8026-64d5a5dcbdd1")</f>
        <v>e604b28f-cefe-4ecd-8026-64d5a5dcbdd1</v>
      </c>
      <c r="I379" s="10" t="str">
        <f>IFERROR(__xludf.DUMMYFUNCTION("""COMPUTED_VALUE"""),"e604b28f-cefe-4ecd-8026-64d5a5dcbdd1")</f>
        <v>e604b28f-cefe-4ecd-8026-64d5a5dcbdd1</v>
      </c>
    </row>
    <row r="380">
      <c r="A380" s="10" t="str">
        <f>IFERROR(__xludf.DUMMYFUNCTION("""COMPUTED_VALUE"""),"Startup Showcase")</f>
        <v>Startup Showcase</v>
      </c>
      <c r="B380" s="10" t="str">
        <f>IFERROR(__xludf.DUMMYFUNCTION("""COMPUTED_VALUE"""),"On this brand new stage, expect quickfire presentations where startups will showcase their solutions to the future's biggest challenges. This hour focuses on the future of content, covering topics like VR/AR, front-end infrastructure, content creators, st"&amp;"reaming services, and video.
")</f>
        <v>On this brand new stage, expect quickfire presentations where startups will showcase their solutions to the future's biggest challenges. This hour focuses on the future of content, covering topics like VR/AR, front-end infrastructure, content creators, streaming services, and video.
</v>
      </c>
      <c r="C380" s="10" t="str">
        <f>IFERROR(__xludf.DUMMYFUNCTION("""COMPUTED_VALUE"""),"Startup Showcase 1")</f>
        <v>Startup Showcase 1</v>
      </c>
      <c r="D380" s="10" t="str">
        <f>IFERROR(__xludf.DUMMYFUNCTION("""COMPUTED_VALUE"""),"Susana Chaves, Bilall Memedi, Guillaume Pineau-Valencienne, Christof Wallner, Raymond Calis, Nurlan Tlegenov, Mattia Fosci, Mehmet Nisanci, Dmytro Baklan, Olga Troian, Mellat Shegre, Eric van Hall, Maciej Sawicki, Barbara Molendijk, Murphy Chang, Enno Bas"&amp;"sen, Hirbod Bigvand, Matthew Kempa, Wiktoria Wojcik, Michael Pallotto, Slawomir Olszynski, Jeroen Mol, Ariel Lin, Jill Beytin, Allison Gorecki, Antonio Puleo, Dawid Cichy, Samuel Haertl, Rahinee Ratnagobal, Tobias Kehrein, Ekaterina Bakhova, Muriel Kuan, "&amp;"Adam Jastrzebski, Mara Kuesters, Rhiannon Ross, Daniel Teuschl, Melanie Hartl, Szymon Kubiak, Vinh Ngu, Anastasiia Horban, Alessandro La Rosa, ERSIN GENCER, Pierre ADDOUM, Alexander Lachinger, Wilco Verdoold, Igor Menshchykov, Suzanne Robbe, Sebastian Zac"&amp;"h, Federico Tudisco and Alison Costa")</f>
        <v>Susana Chaves, Bilall Memedi, Guillaume Pineau-Valencienne, Christof Wallner, Raymond Calis, Nurlan Tlegenov, Mattia Fosci, Mehmet Nisanci, Dmytro Baklan, Olga Troian, Mellat Shegre, Eric van Hall, Maciej Sawicki, Barbara Molendijk, Murphy Chang, Enno Bassen, Hirbod Bigvand, Matthew Kempa, Wiktoria Wojcik, Michael Pallotto, Slawomir Olszynski, Jeroen Mol, Ariel Lin, Jill Beytin, Allison Gorecki, Antonio Puleo, Dawid Cichy, Samuel Haertl, Rahinee Ratnagobal, Tobias Kehrein, Ekaterina Bakhova, Muriel Kuan, Adam Jastrzebski, Mara Kuesters, Rhiannon Ross, Daniel Teuschl, Melanie Hartl, Szymon Kubiak, Vinh Ngu, Anastasiia Horban, Alessandro La Rosa, ERSIN GENCER, Pierre ADDOUM, Alexander Lachinger, Wilco Verdoold, Igor Menshchykov, Suzanne Robbe, Sebastian Zach, Federico Tudisco and Alison Costa</v>
      </c>
      <c r="E380" s="10" t="str">
        <f>IFERROR(__xludf.DUMMYFUNCTION("""COMPUTED_VALUE"""),"Susana Chaves,Bilall Memedi,Guillaume Pineau-Valencienne,Christof Wallner,Raymond Calis,Nurlan Tlegenov,Mattia Fosci,Mehmet Nisanci,Dmytro Baklan,Olga Troian,Mellat Shegre,Eric van Hall,Maciej Sawicki,Barbara Molendijk,Murphy Chang,Enno Bassen,Hirbod Bigv"&amp;"and,Matthew Kempa,Wiktoria Wojcik,Michael Pallotto,Slawomir Olszynski,Jeroen Mol,Ariel Lin,Jill Beytin,Allison Gorecki,Antonio Puleo,Dawid Cichy,Samuel Haertl,Rahinee Ratnagobal,Tobias Kehrein,Ekaterina Bakhova,Muriel Kuan,Adam Jastrzebski,Mara Kuesters,R"&amp;"hiannon Ross,Daniel Teuschl,Melanie Hartl,Szymon Kubiak,Vinh Ngu,Anastasiia Horban,Alessandro La Rosa,ERSIN GENCER,Pierre ADDOUM,Alexander Lachinger,Wilco Verdoold,Igor Menshchykov,Suzanne Robbe,Sebastian Zach,Federico Tudisco,Alison Costa")</f>
        <v>Susana Chaves,Bilall Memedi,Guillaume Pineau-Valencienne,Christof Wallner,Raymond Calis,Nurlan Tlegenov,Mattia Fosci,Mehmet Nisanci,Dmytro Baklan,Olga Troian,Mellat Shegre,Eric van Hall,Maciej Sawicki,Barbara Molendijk,Murphy Chang,Enno Bassen,Hirbod Bigvand,Matthew Kempa,Wiktoria Wojcik,Michael Pallotto,Slawomir Olszynski,Jeroen Mol,Ariel Lin,Jill Beytin,Allison Gorecki,Antonio Puleo,Dawid Cichy,Samuel Haertl,Rahinee Ratnagobal,Tobias Kehrein,Ekaterina Bakhova,Muriel Kuan,Adam Jastrzebski,Mara Kuesters,Rhiannon Ross,Daniel Teuschl,Melanie Hartl,Szymon Kubiak,Vinh Ngu,Anastasiia Horban,Alessandro La Rosa,ERSIN GENCER,Pierre ADDOUM,Alexander Lachinger,Wilco Verdoold,Igor Menshchykov,Suzanne Robbe,Sebastian Zach,Federico Tudisco,Alison Costa</v>
      </c>
      <c r="F380" s="10" t="str">
        <f>IFERROR(__xludf.DUMMYFUNCTION("""COMPUTED_VALUE"""),"2019/11/06 11:15:00")</f>
        <v>2019/11/06 11:15:00</v>
      </c>
      <c r="G380" s="10" t="str">
        <f>IFERROR(__xludf.DUMMYFUNCTION("""COMPUTED_VALUE"""),"2019/11/06 12:15:00")</f>
        <v>2019/11/06 12:15:00</v>
      </c>
      <c r="H380" s="10" t="str">
        <f>IFERROR(__xludf.DUMMYFUNCTION("""COMPUTED_VALUE"""),"29eb5ec6-b0f4-4315-8b8a-96ed710a9256")</f>
        <v>29eb5ec6-b0f4-4315-8b8a-96ed710a9256</v>
      </c>
      <c r="I380" s="10" t="str">
        <f>IFERROR(__xludf.DUMMYFUNCTION("""COMPUTED_VALUE"""),"29eb5ec6-b0f4-4315-8b8a-96ed710a9256")</f>
        <v>29eb5ec6-b0f4-4315-8b8a-96ed710a9256</v>
      </c>
    </row>
    <row r="381">
      <c r="A381" s="10" t="str">
        <f>IFERROR(__xludf.DUMMYFUNCTION("""COMPUTED_VALUE"""),"Microsoft’s vision for transforming the web for businesses")</f>
        <v>Microsoft’s vision for transforming the web for businesses</v>
      </c>
      <c r="B381" s="10" t="str">
        <f>IFERROR(__xludf.DUMMYFUNCTION("""COMPUTED_VALUE"""),"Liat Ben-Zur, Corporate Vice President of Modern Life, Search &amp; Devices at Microsoft, will share how the company is renewing its investment in the web to deliver the best browser and search experiences for business.")</f>
        <v>Liat Ben-Zur, Corporate Vice President of Modern Life, Search &amp; Devices at Microsoft, will share how the company is renewing its investment in the web to deliver the best browser and search experiences for business.</v>
      </c>
      <c r="C381" s="10" t="str">
        <f>IFERROR(__xludf.DUMMYFUNCTION("""COMPUTED_VALUE"""),"PandaConf")</f>
        <v>PandaConf</v>
      </c>
      <c r="D381" s="10" t="str">
        <f>IFERROR(__xludf.DUMMYFUNCTION("""COMPUTED_VALUE"""),"Liat Ben Zur")</f>
        <v>Liat Ben Zur</v>
      </c>
      <c r="E381" s="10" t="str">
        <f>IFERROR(__xludf.DUMMYFUNCTION("""COMPUTED_VALUE"""),"Liat Ben Zur")</f>
        <v>Liat Ben Zur</v>
      </c>
      <c r="F381" s="10" t="str">
        <f>IFERROR(__xludf.DUMMYFUNCTION("""COMPUTED_VALUE"""),"2019/11/05 13:50:00")</f>
        <v>2019/11/05 13:50:00</v>
      </c>
      <c r="G381" s="10" t="str">
        <f>IFERROR(__xludf.DUMMYFUNCTION("""COMPUTED_VALUE"""),"2019/11/05 14:10:00")</f>
        <v>2019/11/05 14:10:00</v>
      </c>
      <c r="H381" s="10" t="str">
        <f>IFERROR(__xludf.DUMMYFUNCTION("""COMPUTED_VALUE"""),"7c7842c9-3e52-4ef8-bfde-6c626eee847e")</f>
        <v>7c7842c9-3e52-4ef8-bfde-6c626eee847e</v>
      </c>
      <c r="I381" s="10" t="str">
        <f>IFERROR(__xludf.DUMMYFUNCTION("""COMPUTED_VALUE"""),"7c7842c9-3e52-4ef8-bfde-6c626eee847e")</f>
        <v>7c7842c9-3e52-4ef8-bfde-6c626eee847e</v>
      </c>
    </row>
    <row r="382">
      <c r="A382" s="10" t="str">
        <f>IFERROR(__xludf.DUMMYFUNCTION("""COMPUTED_VALUE"""),"Starting and scaling in Europe")</f>
        <v>Starting and scaling in Europe</v>
      </c>
      <c r="B382" s="10" t="str">
        <f>IFERROR(__xludf.DUMMYFUNCTION("""COMPUTED_VALUE"""),"Doing business in Europe? Our panel of investors, incubators and founders shed light on the most decisive trends spanning the EU.")</f>
        <v>Doing business in Europe? Our panel of investors, incubators and founders shed light on the most decisive trends spanning the EU.</v>
      </c>
      <c r="C382" s="10" t="str">
        <f>IFERROR(__xludf.DUMMYFUNCTION("""COMPUTED_VALUE"""),"Startup University")</f>
        <v>Startup University</v>
      </c>
      <c r="D382" s="10" t="str">
        <f>IFERROR(__xludf.DUMMYFUNCTION("""COMPUTED_VALUE"""),"Roxanne Varza, Nico Gramenz, Philippe Botteri, Peter Mühlmann and Alex Deane")</f>
        <v>Roxanne Varza, Nico Gramenz, Philippe Botteri, Peter Mühlmann and Alex Deane</v>
      </c>
      <c r="E382" s="10" t="str">
        <f>IFERROR(__xludf.DUMMYFUNCTION("""COMPUTED_VALUE"""),"Roxanne Varza,Nico Gramenz,Philippe Botteri,Peter Mühlmann,Alex Deane")</f>
        <v>Roxanne Varza,Nico Gramenz,Philippe Botteri,Peter Mühlmann,Alex Deane</v>
      </c>
      <c r="F382" s="10" t="str">
        <f>IFERROR(__xludf.DUMMYFUNCTION("""COMPUTED_VALUE"""),"2019/11/06 15:35:00")</f>
        <v>2019/11/06 15:35:00</v>
      </c>
      <c r="G382" s="10" t="str">
        <f>IFERROR(__xludf.DUMMYFUNCTION("""COMPUTED_VALUE"""),"2019/11/06 16:00:00")</f>
        <v>2019/11/06 16:00:00</v>
      </c>
      <c r="H382" s="10" t="str">
        <f>IFERROR(__xludf.DUMMYFUNCTION("""COMPUTED_VALUE"""),"5d890594-4e28-423d-98e8-cd4397228c08")</f>
        <v>5d890594-4e28-423d-98e8-cd4397228c08</v>
      </c>
      <c r="I382" s="10" t="str">
        <f>IFERROR(__xludf.DUMMYFUNCTION("""COMPUTED_VALUE"""),"5d890594-4e28-423d-98e8-cd4397228c08")</f>
        <v>5d890594-4e28-423d-98e8-cd4397228c08</v>
      </c>
    </row>
    <row r="383">
      <c r="A383" s="10" t="str">
        <f>IFERROR(__xludf.DUMMYFUNCTION("""COMPUTED_VALUE"""),"Lunch break")</f>
        <v>Lunch break</v>
      </c>
      <c r="B383" s="10" t="str">
        <f>IFERROR(__xludf.DUMMYFUNCTION("""COMPUTED_VALUE"""),"")</f>
        <v/>
      </c>
      <c r="C383" s="10" t="str">
        <f>IFERROR(__xludf.DUMMYFUNCTION("""COMPUTED_VALUE"""),"Corporate Innovation Summit")</f>
        <v>Corporate Innovation Summit</v>
      </c>
      <c r="D383" s="10" t="str">
        <f>IFERROR(__xludf.DUMMYFUNCTION("""COMPUTED_VALUE"""),"")</f>
        <v/>
      </c>
      <c r="E383" s="10" t="str">
        <f>IFERROR(__xludf.DUMMYFUNCTION("""COMPUTED_VALUE"""),"")</f>
        <v/>
      </c>
      <c r="F383" s="10" t="str">
        <f>IFERROR(__xludf.DUMMYFUNCTION("""COMPUTED_VALUE"""),"2019/11/05 12:20:00")</f>
        <v>2019/11/05 12:20:00</v>
      </c>
      <c r="G383" s="10" t="str">
        <f>IFERROR(__xludf.DUMMYFUNCTION("""COMPUTED_VALUE"""),"2019/11/05 13:05:00")</f>
        <v>2019/11/05 13:05:00</v>
      </c>
      <c r="H383" s="10" t="str">
        <f>IFERROR(__xludf.DUMMYFUNCTION("""COMPUTED_VALUE"""),"7d8ded41-38a2-46b6-aa76-5860532c8e53")</f>
        <v>7d8ded41-38a2-46b6-aa76-5860532c8e53</v>
      </c>
      <c r="I383" s="10" t="str">
        <f>IFERROR(__xludf.DUMMYFUNCTION("""COMPUTED_VALUE"""),"7d8ded41-38a2-46b6-aa76-5860532c8e53")</f>
        <v>7d8ded41-38a2-46b6-aa76-5860532c8e53</v>
      </c>
    </row>
    <row r="384">
      <c r="A384" s="10" t="str">
        <f>IFERROR(__xludf.DUMMYFUNCTION("""COMPUTED_VALUE"""),"Porsche's vision for mobility")</f>
        <v>Porsche's vision for mobility</v>
      </c>
      <c r="B384" s="10" t="str">
        <f>IFERROR(__xludf.DUMMYFUNCTION("""COMPUTED_VALUE"""),"In-car entertainment systems? How do we develop different modes for mobility? In this panel, we'll discuss all this and more as we discuss the future of mobility.")</f>
        <v>In-car entertainment systems? How do we develop different modes for mobility? In this panel, we'll discuss all this and more as we discuss the future of mobility.</v>
      </c>
      <c r="C384" s="10" t="str">
        <f>IFERROR(__xludf.DUMMYFUNCTION("""COMPUTED_VALUE"""),"Auto/Tech &amp; TalkRobot")</f>
        <v>Auto/Tech &amp; TalkRobot</v>
      </c>
      <c r="D384" s="10" t="str">
        <f>IFERROR(__xludf.DUMMYFUNCTION("""COMPUTED_VALUE"""),"Nils Wollny, Christian Knörle, Laurens Laudowicz and Alison Griswold")</f>
        <v>Nils Wollny, Christian Knörle, Laurens Laudowicz and Alison Griswold</v>
      </c>
      <c r="E384" s="10" t="str">
        <f>IFERROR(__xludf.DUMMYFUNCTION("""COMPUTED_VALUE"""),"Nils Wollny,Christian Knörle,Laurens Laudowicz,Alison Griswold")</f>
        <v>Nils Wollny,Christian Knörle,Laurens Laudowicz,Alison Griswold</v>
      </c>
      <c r="F384" s="10" t="str">
        <f>IFERROR(__xludf.DUMMYFUNCTION("""COMPUTED_VALUE"""),"2019/11/05 13:00:00")</f>
        <v>2019/11/05 13:00:00</v>
      </c>
      <c r="G384" s="10" t="str">
        <f>IFERROR(__xludf.DUMMYFUNCTION("""COMPUTED_VALUE"""),"2019/11/05 13:20:00")</f>
        <v>2019/11/05 13:20:00</v>
      </c>
      <c r="H384" s="10" t="str">
        <f>IFERROR(__xludf.DUMMYFUNCTION("""COMPUTED_VALUE"""),"0d4c2baf-2227-4339-9e95-89fb976d3579")</f>
        <v>0d4c2baf-2227-4339-9e95-89fb976d3579</v>
      </c>
      <c r="I384" s="10" t="str">
        <f>IFERROR(__xludf.DUMMYFUNCTION("""COMPUTED_VALUE"""),"0d4c2baf-2227-4339-9e95-89fb976d3579")</f>
        <v>0d4c2baf-2227-4339-9e95-89fb976d3579</v>
      </c>
    </row>
    <row r="385">
      <c r="A385" s="10" t="str">
        <f>IFERROR(__xludf.DUMMYFUNCTION("""COMPUTED_VALUE"""),"Science as a catalyst for growth")</f>
        <v>Science as a catalyst for growth</v>
      </c>
      <c r="B385" s="10" t="str">
        <f>IFERROR(__xludf.DUMMYFUNCTION("""COMPUTED_VALUE"""),"GenePlanet founder Marko Bitenc will present how a company became an important biotech player through innovative solutions and unique sales channels.")</f>
        <v>GenePlanet founder Marko Bitenc will present how a company became an important biotech player through innovative solutions and unique sales channels.</v>
      </c>
      <c r="C385" s="10" t="str">
        <f>IFERROR(__xludf.DUMMYFUNCTION("""COMPUTED_VALUE"""),"Growth Summit")</f>
        <v>Growth Summit</v>
      </c>
      <c r="D385" s="10" t="str">
        <f>IFERROR(__xludf.DUMMYFUNCTION("""COMPUTED_VALUE"""),"Marko Bitenc")</f>
        <v>Marko Bitenc</v>
      </c>
      <c r="E385" s="10" t="str">
        <f>IFERROR(__xludf.DUMMYFUNCTION("""COMPUTED_VALUE"""),"Marko Bitenc")</f>
        <v>Marko Bitenc</v>
      </c>
      <c r="F385" s="10" t="str">
        <f>IFERROR(__xludf.DUMMYFUNCTION("""COMPUTED_VALUE"""),"2019/11/05 10:54:00")</f>
        <v>2019/11/05 10:54:00</v>
      </c>
      <c r="G385" s="10" t="str">
        <f>IFERROR(__xludf.DUMMYFUNCTION("""COMPUTED_VALUE"""),"2019/11/05 10:58:00")</f>
        <v>2019/11/05 10:58:00</v>
      </c>
      <c r="H385" s="10" t="str">
        <f>IFERROR(__xludf.DUMMYFUNCTION("""COMPUTED_VALUE"""),"71933006-4db8-4414-8c46-051cc4d0e225")</f>
        <v>71933006-4db8-4414-8c46-051cc4d0e225</v>
      </c>
      <c r="I385" s="10" t="str">
        <f>IFERROR(__xludf.DUMMYFUNCTION("""COMPUTED_VALUE"""),"71933006-4db8-4414-8c46-051cc4d0e225")</f>
        <v>71933006-4db8-4414-8c46-051cc4d0e225</v>
      </c>
    </row>
    <row r="386">
      <c r="A386" s="10" t="str">
        <f>IFERROR(__xludf.DUMMYFUNCTION("""COMPUTED_VALUE"""),"Are data rights human rights?")</f>
        <v>Are data rights human rights?</v>
      </c>
      <c r="B386" s="10" t="str">
        <f>IFERROR(__xludf.DUMMYFUNCTION("""COMPUTED_VALUE"""),"Human rights are a key component of our modern international order. However, the world has changed dramatically since the Universal Declaration of Human Rights was adopted in 1948. Our personal data has never been more vulnerable. In this session we will "&amp;"discuss whether the human rights regime needs to be updated to account for these changes and to better protect our data.")</f>
        <v>Human rights are a key component of our modern international order. However, the world has changed dramatically since the Universal Declaration of Human Rights was adopted in 1948. Our personal data has never been more vulnerable. In this session we will discuss whether the human rights regime needs to be updated to account for these changes and to better protect our data.</v>
      </c>
      <c r="C386" s="10" t="str">
        <f>IFERROR(__xludf.DUMMYFUNCTION("""COMPUTED_VALUE"""),"Future Societies")</f>
        <v>Future Societies</v>
      </c>
      <c r="D386" s="10" t="str">
        <f>IFERROR(__xludf.DUMMYFUNCTION("""COMPUTED_VALUE"""),"Regan Ralph, Michael O'Flaherty, Arthur Hu and Rani Molla")</f>
        <v>Regan Ralph, Michael O'Flaherty, Arthur Hu and Rani Molla</v>
      </c>
      <c r="E386" s="10" t="str">
        <f>IFERROR(__xludf.DUMMYFUNCTION("""COMPUTED_VALUE"""),"Regan Ralph,Michael O'Flaherty,Arthur Hu,Rani Molla")</f>
        <v>Regan Ralph,Michael O'Flaherty,Arthur Hu,Rani Molla</v>
      </c>
      <c r="F386" s="10" t="str">
        <f>IFERROR(__xludf.DUMMYFUNCTION("""COMPUTED_VALUE"""),"2019/11/07 13:40:00")</f>
        <v>2019/11/07 13:40:00</v>
      </c>
      <c r="G386" s="10" t="str">
        <f>IFERROR(__xludf.DUMMYFUNCTION("""COMPUTED_VALUE"""),"2019/11/07 14:00:00")</f>
        <v>2019/11/07 14:00:00</v>
      </c>
      <c r="H386" s="10" t="str">
        <f>IFERROR(__xludf.DUMMYFUNCTION("""COMPUTED_VALUE"""),"1ce1a88d-c78a-4f9d-9276-85a0d8e1d3c7")</f>
        <v>1ce1a88d-c78a-4f9d-9276-85a0d8e1d3c7</v>
      </c>
      <c r="I386" s="10" t="str">
        <f>IFERROR(__xludf.DUMMYFUNCTION("""COMPUTED_VALUE"""),"1ce1a88d-c78a-4f9d-9276-85a0d8e1d3c7")</f>
        <v>1ce1a88d-c78a-4f9d-9276-85a0d8e1d3c7</v>
      </c>
    </row>
    <row r="387">
      <c r="A387" s="10" t="str">
        <f>IFERROR(__xludf.DUMMYFUNCTION("""COMPUTED_VALUE"""),"Beyond diversity: Making tech truly inclusive")</f>
        <v>Beyond diversity: Making tech truly inclusive</v>
      </c>
      <c r="B387" s="10" t="str">
        <f>IFERROR(__xludf.DUMMYFUNCTION("""COMPUTED_VALUE"""),"It's a well known fact that the tech industry has problems with diversity. For a long time this was understood to mean getting more women involved. Good work has been done in addressing this but is it time to broaden our understanding of what we mean by d"&amp;"iversity? ")</f>
        <v>It's a well known fact that the tech industry has problems with diversity. For a long time this was understood to mean getting more women involved. Good work has been done in addressing this but is it time to broaden our understanding of what we mean by diversity? </v>
      </c>
      <c r="C387" s="10" t="str">
        <f>IFERROR(__xludf.DUMMYFUNCTION("""COMPUTED_VALUE"""),"PandaConf")</f>
        <v>PandaConf</v>
      </c>
      <c r="D387" s="10" t="str">
        <f>IFERROR(__xludf.DUMMYFUNCTION("""COMPUTED_VALUE"""),"Andrew O' Dell, Belinda Smith and Leisha Santorelli")</f>
        <v>Andrew O' Dell, Belinda Smith and Leisha Santorelli</v>
      </c>
      <c r="E387" s="10" t="str">
        <f>IFERROR(__xludf.DUMMYFUNCTION("""COMPUTED_VALUE"""),"Andrew O' Dell,Belinda Smith,Leisha Santorelli")</f>
        <v>Andrew O' Dell,Belinda Smith,Leisha Santorelli</v>
      </c>
      <c r="F387" s="10" t="str">
        <f>IFERROR(__xludf.DUMMYFUNCTION("""COMPUTED_VALUE"""),"2019/11/07 14:35:00")</f>
        <v>2019/11/07 14:35:00</v>
      </c>
      <c r="G387" s="10" t="str">
        <f>IFERROR(__xludf.DUMMYFUNCTION("""COMPUTED_VALUE"""),"2019/11/07 14:55:00")</f>
        <v>2019/11/07 14:55:00</v>
      </c>
      <c r="H387" s="10" t="str">
        <f>IFERROR(__xludf.DUMMYFUNCTION("""COMPUTED_VALUE"""),"be97d141-7fd0-4ad9-be6d-853a7f54934d")</f>
        <v>be97d141-7fd0-4ad9-be6d-853a7f54934d</v>
      </c>
      <c r="I387" s="10" t="str">
        <f>IFERROR(__xludf.DUMMYFUNCTION("""COMPUTED_VALUE"""),"be97d141-7fd0-4ad9-be6d-853a7f54934d")</f>
        <v>be97d141-7fd0-4ad9-be6d-853a7f54934d</v>
      </c>
    </row>
    <row r="388">
      <c r="A388" s="10" t="str">
        <f>IFERROR(__xludf.DUMMYFUNCTION("""COMPUTED_VALUE"""),"Why startups need corporate VC to thrive")</f>
        <v>Why startups need corporate VC to thrive</v>
      </c>
      <c r="B388" s="10" t="str">
        <f>IFERROR(__xludf.DUMMYFUNCTION("""COMPUTED_VALUE"""),"Entrepreneurs and startup executives have many options when raising capital for their fast moving companies so they can stay ahead of innovations in 5G, mobility and AI. This session's speakers come from the world's largest corporations and will make the "&amp;"case for corporate venture capital, discuss what entrepreneurs should know before accepting it, and what CVCs can offer besides money.")</f>
        <v>Entrepreneurs and startup executives have many options when raising capital for their fast moving companies so they can stay ahead of innovations in 5G, mobility and AI. This session's speakers come from the world's largest corporations and will make the case for corporate venture capital, discuss what entrepreneurs should know before accepting it, and what CVCs can offer besides money.</v>
      </c>
      <c r="C388" s="10" t="str">
        <f>IFERROR(__xludf.DUMMYFUNCTION("""COMPUTED_VALUE"""),"Venture stage")</f>
        <v>Venture stage</v>
      </c>
      <c r="D388" s="10" t="str">
        <f>IFERROR(__xludf.DUMMYFUNCTION("""COMPUTED_VALUE"""),"Gen Tsuchikawa, Deborah Magid, Colleen Cunniffe and Alex Irwin-Hunt")</f>
        <v>Gen Tsuchikawa, Deborah Magid, Colleen Cunniffe and Alex Irwin-Hunt</v>
      </c>
      <c r="E388" s="10" t="str">
        <f>IFERROR(__xludf.DUMMYFUNCTION("""COMPUTED_VALUE"""),"Gen Tsuchikawa,Deborah Magid,Colleen Cunniffe,Alex Irwin-Hunt")</f>
        <v>Gen Tsuchikawa,Deborah Magid,Colleen Cunniffe,Alex Irwin-Hunt</v>
      </c>
      <c r="F388" s="10" t="str">
        <f>IFERROR(__xludf.DUMMYFUNCTION("""COMPUTED_VALUE"""),"2019/11/05 14:25:00")</f>
        <v>2019/11/05 14:25:00</v>
      </c>
      <c r="G388" s="10" t="str">
        <f>IFERROR(__xludf.DUMMYFUNCTION("""COMPUTED_VALUE"""),"2019/11/05 14:45:00")</f>
        <v>2019/11/05 14:45:00</v>
      </c>
      <c r="H388" s="10" t="str">
        <f>IFERROR(__xludf.DUMMYFUNCTION("""COMPUTED_VALUE"""),"573fd2e9-29bc-4dc8-93f9-847fb54ce7a1")</f>
        <v>573fd2e9-29bc-4dc8-93f9-847fb54ce7a1</v>
      </c>
      <c r="I388" s="10" t="str">
        <f>IFERROR(__xludf.DUMMYFUNCTION("""COMPUTED_VALUE"""),"573fd2e9-29bc-4dc8-93f9-847fb54ce7a1")</f>
        <v>573fd2e9-29bc-4dc8-93f9-847fb54ce7a1</v>
      </c>
    </row>
    <row r="389">
      <c r="A389" s="10" t="str">
        <f>IFERROR(__xludf.DUMMYFUNCTION("""COMPUTED_VALUE"""),"How to build on AWS without knowing much about AWS")</f>
        <v>How to build on AWS without knowing much about AWS</v>
      </c>
      <c r="B389" s="10"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389" s="10" t="str">
        <f>IFERROR(__xludf.DUMMYFUNCTION("""COMPUTED_VALUE"""),"AWS Developer Workshops")</f>
        <v>AWS Developer Workshops</v>
      </c>
      <c r="D389" s="10" t="str">
        <f>IFERROR(__xludf.DUMMYFUNCTION("""COMPUTED_VALUE"""),"")</f>
        <v/>
      </c>
      <c r="E389" s="10" t="str">
        <f>IFERROR(__xludf.DUMMYFUNCTION("""COMPUTED_VALUE"""),"")</f>
        <v/>
      </c>
      <c r="F389" s="10" t="str">
        <f>IFERROR(__xludf.DUMMYFUNCTION("""COMPUTED_VALUE"""),"2019/11/05 10:00:00")</f>
        <v>2019/11/05 10:00:00</v>
      </c>
      <c r="G389" s="10" t="str">
        <f>IFERROR(__xludf.DUMMYFUNCTION("""COMPUTED_VALUE"""),"2019/11/05 10:50:00")</f>
        <v>2019/11/05 10:50:00</v>
      </c>
      <c r="H389" s="10" t="str">
        <f>IFERROR(__xludf.DUMMYFUNCTION("""COMPUTED_VALUE"""),"bd2c9ca3-d8ec-4717-b701-f72a443cd892")</f>
        <v>bd2c9ca3-d8ec-4717-b701-f72a443cd892</v>
      </c>
      <c r="I389" s="10" t="str">
        <f>IFERROR(__xludf.DUMMYFUNCTION("""COMPUTED_VALUE"""),"bd2c9ca3-d8ec-4717-b701-f72a443cd892")</f>
        <v>bd2c9ca3-d8ec-4717-b701-f72a443cd892</v>
      </c>
    </row>
    <row r="390">
      <c r="A390" s="10" t="str">
        <f>IFERROR(__xludf.DUMMYFUNCTION("""COMPUTED_VALUE"""),"Go global or die trying: The changing reality of fintech startups")</f>
        <v>Go global or die trying: The changing reality of fintech startups</v>
      </c>
      <c r="B390" s="10" t="str">
        <f>IFERROR(__xludf.DUMMYFUNCTION("""COMPUTED_VALUE"""),"Taking a business global is not what it used to be. In an era of worldwide opportunities, startups cannot spend years in reaching out to new markets. How do companies go global from day one? What are the challenges involved? And what's the impact of block"&amp;"chain technology in this process?")</f>
        <v>Taking a business global is not what it used to be. In an era of worldwide opportunities, startups cannot spend years in reaching out to new markets. How do companies go global from day one? What are the challenges involved? And what's the impact of blockchain technology in this process?</v>
      </c>
      <c r="C390" s="10" t="str">
        <f>IFERROR(__xludf.DUMMYFUNCTION("""COMPUTED_VALUE"""),"Growth Summit")</f>
        <v>Growth Summit</v>
      </c>
      <c r="D390" s="10" t="str">
        <f>IFERROR(__xludf.DUMMYFUNCTION("""COMPUTED_VALUE"""),"Austin Kimm")</f>
        <v>Austin Kimm</v>
      </c>
      <c r="E390" s="10" t="str">
        <f>IFERROR(__xludf.DUMMYFUNCTION("""COMPUTED_VALUE"""),"Austin Kimm")</f>
        <v>Austin Kimm</v>
      </c>
      <c r="F390" s="10" t="str">
        <f>IFERROR(__xludf.DUMMYFUNCTION("""COMPUTED_VALUE"""),"2019/11/06 15:37:00")</f>
        <v>2019/11/06 15:37:00</v>
      </c>
      <c r="G390" s="10" t="str">
        <f>IFERROR(__xludf.DUMMYFUNCTION("""COMPUTED_VALUE"""),"2019/11/06 15:48:00")</f>
        <v>2019/11/06 15:48:00</v>
      </c>
      <c r="H390" s="10" t="str">
        <f>IFERROR(__xludf.DUMMYFUNCTION("""COMPUTED_VALUE"""),"bb7146b2-21a5-4834-9e0f-0eab92c628c9")</f>
        <v>bb7146b2-21a5-4834-9e0f-0eab92c628c9</v>
      </c>
      <c r="I390" s="10" t="str">
        <f>IFERROR(__xludf.DUMMYFUNCTION("""COMPUTED_VALUE"""),"bb7146b2-21a5-4834-9e0f-0eab92c628c9")</f>
        <v>bb7146b2-21a5-4834-9e0f-0eab92c628c9</v>
      </c>
    </row>
    <row r="391">
      <c r="A391" s="10" t="str">
        <f>IFERROR(__xludf.DUMMYFUNCTION("""COMPUTED_VALUE"""),"Trade wars: A new world order?")</f>
        <v>Trade wars: A new world order?</v>
      </c>
      <c r="B391" s="10" t="str">
        <f>IFERROR(__xludf.DUMMYFUNCTION("""COMPUTED_VALUE"""),"Trade is the lifeblood of the world economy. Free trade, it is argued, brings peace, prosperity, and economic growth. However, we have seen a proliferation of tariffs and trade wars in recent years. Has the global economic structure shifted or is this mer"&amp;"ely a mercantilist blip in an otherwise unfettered era of free trade? Come to this session to find out.")</f>
        <v>Trade is the lifeblood of the world economy. Free trade, it is argued, brings peace, prosperity, and economic growth. However, we have seen a proliferation of tariffs and trade wars in recent years. Has the global economic structure shifted or is this merely a mercantilist blip in an otherwise unfettered era of free trade? Come to this session to find out.</v>
      </c>
      <c r="C391" s="10" t="str">
        <f>IFERROR(__xludf.DUMMYFUNCTION("""COMPUTED_VALUE"""),"Centre Stage")</f>
        <v>Centre Stage</v>
      </c>
      <c r="D391" s="10" t="str">
        <f>IFERROR(__xludf.DUMMYFUNCTION("""COMPUTED_VALUE"""),"Michael Pillsbury, Juan Branco and David Rowan")</f>
        <v>Michael Pillsbury, Juan Branco and David Rowan</v>
      </c>
      <c r="E391" s="10" t="str">
        <f>IFERROR(__xludf.DUMMYFUNCTION("""COMPUTED_VALUE"""),"Michael Pillsbury,Juan Branco,David Rowan")</f>
        <v>Michael Pillsbury,Juan Branco,David Rowan</v>
      </c>
      <c r="F391" s="10" t="str">
        <f>IFERROR(__xludf.DUMMYFUNCTION("""COMPUTED_VALUE"""),"2019/11/06 14:25:00")</f>
        <v>2019/11/06 14:25:00</v>
      </c>
      <c r="G391" s="10" t="str">
        <f>IFERROR(__xludf.DUMMYFUNCTION("""COMPUTED_VALUE"""),"2019/11/06 14:45:00")</f>
        <v>2019/11/06 14:45:00</v>
      </c>
      <c r="H391" s="10" t="str">
        <f>IFERROR(__xludf.DUMMYFUNCTION("""COMPUTED_VALUE"""),"8810b318-8638-4e54-ae92-d10c473d1741")</f>
        <v>8810b318-8638-4e54-ae92-d10c473d1741</v>
      </c>
      <c r="I391" s="10" t="str">
        <f>IFERROR(__xludf.DUMMYFUNCTION("""COMPUTED_VALUE"""),"8810b318-8638-4e54-ae92-d10c473d1741")</f>
        <v>8810b318-8638-4e54-ae92-d10c473d1741</v>
      </c>
    </row>
    <row r="392">
      <c r="A392" s="10" t="str">
        <f>IFERROR(__xludf.DUMMYFUNCTION("""COMPUTED_VALUE"""),"The auto industry's diversity problem")</f>
        <v>The auto industry's diversity problem</v>
      </c>
      <c r="B392" s="10" t="str">
        <f>IFERROR(__xludf.DUMMYFUNCTION("""COMPUTED_VALUE"""),"Every executive board in the auto industry is dominated by men. Why hasn't that changed yet?")</f>
        <v>Every executive board in the auto industry is dominated by men. Why hasn't that changed yet?</v>
      </c>
      <c r="C392" s="10" t="str">
        <f>IFERROR(__xludf.DUMMYFUNCTION("""COMPUTED_VALUE"""),"Auto/Tech &amp; TalkRobot")</f>
        <v>Auto/Tech &amp; TalkRobot</v>
      </c>
      <c r="D392" s="10" t="str">
        <f>IFERROR(__xludf.DUMMYFUNCTION("""COMPUTED_VALUE"""),"Michelle Fang and Jared Lindzon")</f>
        <v>Michelle Fang and Jared Lindzon</v>
      </c>
      <c r="E392" s="10" t="str">
        <f>IFERROR(__xludf.DUMMYFUNCTION("""COMPUTED_VALUE"""),"Michelle Fang,Jared Lindzon")</f>
        <v>Michelle Fang,Jared Lindzon</v>
      </c>
      <c r="F392" s="10" t="str">
        <f>IFERROR(__xludf.DUMMYFUNCTION("""COMPUTED_VALUE"""),"2019/11/07 15:30:00")</f>
        <v>2019/11/07 15:30:00</v>
      </c>
      <c r="G392" s="10" t="str">
        <f>IFERROR(__xludf.DUMMYFUNCTION("""COMPUTED_VALUE"""),"2019/11/07 15:50:00")</f>
        <v>2019/11/07 15:50:00</v>
      </c>
      <c r="H392" s="10" t="str">
        <f>IFERROR(__xludf.DUMMYFUNCTION("""COMPUTED_VALUE"""),"9c700166-004f-4324-ae90-fd1e121b58f0")</f>
        <v>9c700166-004f-4324-ae90-fd1e121b58f0</v>
      </c>
      <c r="I392" s="10" t="str">
        <f>IFERROR(__xludf.DUMMYFUNCTION("""COMPUTED_VALUE"""),"9c700166-004f-4324-ae90-fd1e121b58f0")</f>
        <v>9c700166-004f-4324-ae90-fd1e121b58f0</v>
      </c>
    </row>
    <row r="393">
      <c r="A393" s="10" t="str">
        <f>IFERROR(__xludf.DUMMYFUNCTION("""COMPUTED_VALUE"""),"Improving UX through observability")</f>
        <v>Improving UX through observability</v>
      </c>
      <c r="B393" s="10" t="str">
        <f>IFERROR(__xludf.DUMMYFUNCTION("""COMPUTED_VALUE"""),"Performance matters when it comes to user experience. Startup websites and apps need to provide a great experience to attract end users and to maintain them, engaged. In this session we will dive into why performance matters and the importance of observab"&amp;"ility in measuring performance through tools like Amazon Cloudwatch or AWS X-Ray. We'll also examine how developers can improve last mile performance using edge caching and processing with Amazon CloudFront and Lambda@Edge to reduce requests, transferred "&amp;"bytes and expedite processing.")</f>
        <v>Performance matters when it comes to user experience. Startup websites and apps need to provide a great experience to attract end users and to maintain them, engaged. In this session we will dive into why performance matters and the importance of observability in measuring performance through tools like Amazon Cloudwatch or AWS X-Ray. We'll also examine how developers can improve last mile performance using edge caching and processing with Amazon CloudFront and Lambda@Edge to reduce requests, transferred bytes and expedite processing.</v>
      </c>
      <c r="C393" s="10" t="str">
        <f>IFERROR(__xludf.DUMMYFUNCTION("""COMPUTED_VALUE"""),"AWS Developer Workshops")</f>
        <v>AWS Developer Workshops</v>
      </c>
      <c r="D393" s="10" t="str">
        <f>IFERROR(__xludf.DUMMYFUNCTION("""COMPUTED_VALUE"""),"")</f>
        <v/>
      </c>
      <c r="E393" s="10" t="str">
        <f>IFERROR(__xludf.DUMMYFUNCTION("""COMPUTED_VALUE"""),"")</f>
        <v/>
      </c>
      <c r="F393" s="10" t="str">
        <f>IFERROR(__xludf.DUMMYFUNCTION("""COMPUTED_VALUE"""),"2019/11/07 15:00:00")</f>
        <v>2019/11/07 15:00:00</v>
      </c>
      <c r="G393" s="10" t="str">
        <f>IFERROR(__xludf.DUMMYFUNCTION("""COMPUTED_VALUE"""),"2019/11/07 15:50:00")</f>
        <v>2019/11/07 15:50:00</v>
      </c>
      <c r="H393" s="10" t="str">
        <f>IFERROR(__xludf.DUMMYFUNCTION("""COMPUTED_VALUE"""),"d4f4f338-947f-480c-998a-5a584e646fd0")</f>
        <v>d4f4f338-947f-480c-998a-5a584e646fd0</v>
      </c>
      <c r="I393" s="10" t="str">
        <f>IFERROR(__xludf.DUMMYFUNCTION("""COMPUTED_VALUE"""),"d4f4f338-947f-480c-998a-5a584e646fd0")</f>
        <v>d4f4f338-947f-480c-998a-5a584e646fd0</v>
      </c>
    </row>
    <row r="394">
      <c r="A394" s="10" t="str">
        <f>IFERROR(__xludf.DUMMYFUNCTION("""COMPUTED_VALUE"""),"The future of mobility is bigger than cars: disruption is coming to city transport")</f>
        <v>The future of mobility is bigger than cars: disruption is coming to city transport</v>
      </c>
      <c r="B394" s="10" t="str">
        <f>IFERROR(__xludf.DUMMYFUNCTION("""COMPUTED_VALUE"""),"The IoT will revolutionize urban transport and enable cities to reconfigure their transport networks to prioritize personal mobility. Autonomous cars will be one of many choices in a smart, integrated multi-modal system.")</f>
        <v>The IoT will revolutionize urban transport and enable cities to reconfigure their transport networks to prioritize personal mobility. Autonomous cars will be one of many choices in a smart, integrated multi-modal system.</v>
      </c>
      <c r="C394" s="10" t="str">
        <f>IFERROR(__xludf.DUMMYFUNCTION("""COMPUTED_VALUE"""),"Auto/Tech &amp; TalkRobot")</f>
        <v>Auto/Tech &amp; TalkRobot</v>
      </c>
      <c r="D394" s="10" t="str">
        <f>IFERROR(__xludf.DUMMYFUNCTION("""COMPUTED_VALUE"""),"Sabrina Soussan")</f>
        <v>Sabrina Soussan</v>
      </c>
      <c r="E394" s="10" t="str">
        <f>IFERROR(__xludf.DUMMYFUNCTION("""COMPUTED_VALUE"""),"Sabrina Soussan")</f>
        <v>Sabrina Soussan</v>
      </c>
      <c r="F394" s="10" t="str">
        <f>IFERROR(__xludf.DUMMYFUNCTION("""COMPUTED_VALUE"""),"2019/11/07 11:35:00")</f>
        <v>2019/11/07 11:35:00</v>
      </c>
      <c r="G394" s="10" t="str">
        <f>IFERROR(__xludf.DUMMYFUNCTION("""COMPUTED_VALUE"""),"2019/11/07 11:55:00")</f>
        <v>2019/11/07 11:55:00</v>
      </c>
      <c r="H394" s="10" t="str">
        <f>IFERROR(__xludf.DUMMYFUNCTION("""COMPUTED_VALUE"""),"8ebf9bd5-877b-4433-a33a-0c84c37d997b")</f>
        <v>8ebf9bd5-877b-4433-a33a-0c84c37d997b</v>
      </c>
      <c r="I394" s="10" t="str">
        <f>IFERROR(__xludf.DUMMYFUNCTION("""COMPUTED_VALUE"""),"8ebf9bd5-877b-4433-a33a-0c84c37d997b")</f>
        <v>8ebf9bd5-877b-4433-a33a-0c84c37d997b</v>
      </c>
    </row>
    <row r="395">
      <c r="A395" s="10" t="str">
        <f>IFERROR(__xludf.DUMMYFUNCTION("""COMPUTED_VALUE"""),"Chasing clouds: An immigrant story")</f>
        <v>Chasing clouds: An immigrant story</v>
      </c>
      <c r="B395" s="10" t="str">
        <f>IFERROR(__xludf.DUMMYFUNCTION("""COMPUTED_VALUE"""),"Are you interested in hearing about how smaller industry players can compete against cloud giants? Join this session to hear the story of relentless passion of two brothers and their love for cloud infrastructure.")</f>
        <v>Are you interested in hearing about how smaller industry players can compete against cloud giants? Join this session to hear the story of relentless passion of two brothers and their love for cloud infrastructure.</v>
      </c>
      <c r="C395" s="10" t="str">
        <f>IFERROR(__xludf.DUMMYFUNCTION("""COMPUTED_VALUE"""),"FullSTK")</f>
        <v>FullSTK</v>
      </c>
      <c r="D395" s="10" t="str">
        <f>IFERROR(__xludf.DUMMYFUNCTION("""COMPUTED_VALUE"""),"Ben Uretsky, Moisey Uretskey and Andrei Brasoveanu")</f>
        <v>Ben Uretsky, Moisey Uretskey and Andrei Brasoveanu</v>
      </c>
      <c r="E395" s="10" t="str">
        <f>IFERROR(__xludf.DUMMYFUNCTION("""COMPUTED_VALUE"""),"Ben Uretsky,Moisey Uretskey,Andrei Brasoveanu")</f>
        <v>Ben Uretsky,Moisey Uretskey,Andrei Brasoveanu</v>
      </c>
      <c r="F395" s="10" t="str">
        <f>IFERROR(__xludf.DUMMYFUNCTION("""COMPUTED_VALUE"""),"2019/11/07 11:15:00")</f>
        <v>2019/11/07 11:15:00</v>
      </c>
      <c r="G395" s="10" t="str">
        <f>IFERROR(__xludf.DUMMYFUNCTION("""COMPUTED_VALUE"""),"2019/11/07 11:35:00")</f>
        <v>2019/11/07 11:35:00</v>
      </c>
      <c r="H395" s="10" t="str">
        <f>IFERROR(__xludf.DUMMYFUNCTION("""COMPUTED_VALUE"""),"0fc71f65-2642-45ac-9106-20a2f5d16075")</f>
        <v>0fc71f65-2642-45ac-9106-20a2f5d16075</v>
      </c>
      <c r="I395" s="10" t="str">
        <f>IFERROR(__xludf.DUMMYFUNCTION("""COMPUTED_VALUE"""),"0fc71f65-2642-45ac-9106-20a2f5d16075")</f>
        <v>0fc71f65-2642-45ac-9106-20a2f5d16075</v>
      </c>
    </row>
    <row r="396">
      <c r="A396" s="10" t="str">
        <f>IFERROR(__xludf.DUMMYFUNCTION("""COMPUTED_VALUE"""),"Leveraging innovation, at pace")</f>
        <v>Leveraging innovation, at pace</v>
      </c>
      <c r="B396" s="10" t="str">
        <f>IFERROR(__xludf.DUMMYFUNCTION("""COMPUTED_VALUE"""),"Utilities are facing a disruption, and the challenge is to find the best route towards a moving target. António Vidigal, CEO of EDP Innovation part of EDP, one of the worlds largest global energy companies will outline the challenges of rapidly leveraging"&amp;" innovation and aligning it with objectives that tackle the global challenges we face today.")</f>
        <v>Utilities are facing a disruption, and the challenge is to find the best route towards a moving target. António Vidigal, CEO of EDP Innovation part of EDP, one of the worlds largest global energy companies will outline the challenges of rapidly leveraging innovation and aligning it with objectives that tackle the global challenges we face today.</v>
      </c>
      <c r="C396" s="10" t="str">
        <f>IFERROR(__xludf.DUMMYFUNCTION("""COMPUTED_VALUE"""),"Corporate Innovation Summit")</f>
        <v>Corporate Innovation Summit</v>
      </c>
      <c r="D396" s="10" t="str">
        <f>IFERROR(__xludf.DUMMYFUNCTION("""COMPUTED_VALUE"""),"António Vidigal")</f>
        <v>António Vidigal</v>
      </c>
      <c r="E396" s="10" t="str">
        <f>IFERROR(__xludf.DUMMYFUNCTION("""COMPUTED_VALUE"""),"António Vidigal")</f>
        <v>António Vidigal</v>
      </c>
      <c r="F396" s="10" t="str">
        <f>IFERROR(__xludf.DUMMYFUNCTION("""COMPUTED_VALUE"""),"2019/11/07 12:35:00")</f>
        <v>2019/11/07 12:35:00</v>
      </c>
      <c r="G396" s="10" t="str">
        <f>IFERROR(__xludf.DUMMYFUNCTION("""COMPUTED_VALUE"""),"2019/11/07 12:55:00")</f>
        <v>2019/11/07 12:55:00</v>
      </c>
      <c r="H396" s="10" t="str">
        <f>IFERROR(__xludf.DUMMYFUNCTION("""COMPUTED_VALUE"""),"e55e8213-044f-4b1e-8cc4-7b3ae67c2b4a")</f>
        <v>e55e8213-044f-4b1e-8cc4-7b3ae67c2b4a</v>
      </c>
      <c r="I396" s="10" t="str">
        <f>IFERROR(__xludf.DUMMYFUNCTION("""COMPUTED_VALUE"""),"e55e8213-044f-4b1e-8cc4-7b3ae67c2b4a")</f>
        <v>e55e8213-044f-4b1e-8cc4-7b3ae67c2b4a</v>
      </c>
    </row>
    <row r="397">
      <c r="A397" s="10" t="str">
        <f>IFERROR(__xludf.DUMMYFUNCTION("""COMPUTED_VALUE"""),"Content moderation: A Google perspective")</f>
        <v>Content moderation: A Google perspective</v>
      </c>
      <c r="B397" s="10" t="str">
        <f>IFERROR(__xludf.DUMMYFUNCTION("""COMPUTED_VALUE"""),"Hear from Google’s global head of product policy and content moderation about the policies governing the types of content that can be shared or hosted on Google’s various platforms. This includes content creators, advertisers, publishers, and developers. ")</f>
        <v>Hear from Google’s global head of product policy and content moderation about the policies governing the types of content that can be shared or hosted on Google’s various platforms. This includes content creators, advertisers, publishers, and developers. </v>
      </c>
      <c r="C397" s="10" t="str">
        <f>IFERROR(__xludf.DUMMYFUNCTION("""COMPUTED_VALUE"""),"ContentMakers")</f>
        <v>ContentMakers</v>
      </c>
      <c r="D397" s="10" t="str">
        <f>IFERROR(__xludf.DUMMYFUNCTION("""COMPUTED_VALUE"""),"David Graff and Jonathan Weber")</f>
        <v>David Graff and Jonathan Weber</v>
      </c>
      <c r="E397" s="10" t="str">
        <f>IFERROR(__xludf.DUMMYFUNCTION("""COMPUTED_VALUE"""),"David Graff,Jonathan Weber")</f>
        <v>David Graff,Jonathan Weber</v>
      </c>
      <c r="F397" s="10" t="str">
        <f>IFERROR(__xludf.DUMMYFUNCTION("""COMPUTED_VALUE"""),"2019/11/07 11:30:00")</f>
        <v>2019/11/07 11:30:00</v>
      </c>
      <c r="G397" s="10" t="str">
        <f>IFERROR(__xludf.DUMMYFUNCTION("""COMPUTED_VALUE"""),"2019/11/07 11:55:00")</f>
        <v>2019/11/07 11:55:00</v>
      </c>
      <c r="H397" s="10" t="str">
        <f>IFERROR(__xludf.DUMMYFUNCTION("""COMPUTED_VALUE"""),"4af1f8e7-3944-4d28-b50f-964448412570")</f>
        <v>4af1f8e7-3944-4d28-b50f-964448412570</v>
      </c>
      <c r="I397" s="10" t="str">
        <f>IFERROR(__xludf.DUMMYFUNCTION("""COMPUTED_VALUE"""),"4af1f8e7-3944-4d28-b50f-964448412570")</f>
        <v>4af1f8e7-3944-4d28-b50f-964448412570</v>
      </c>
    </row>
    <row r="398">
      <c r="A398" s="10" t="str">
        <f>IFERROR(__xludf.DUMMYFUNCTION("""COMPUTED_VALUE"""),"Uncomfortable growth: be bold &amp; open to failure")</f>
        <v>Uncomfortable growth: be bold &amp; open to failure</v>
      </c>
      <c r="B398" s="10" t="str">
        <f>IFERROR(__xludf.DUMMYFUNCTION("""COMPUTED_VALUE"""),"Growth needs to be uncomfortable in order to successfully build a global company, believes Rodolphe Ardant, co-founder and CEO of Spendesk. He decentralized control across the business and made everyone in the team an owner. At Web Summit Rodolphe will sh"&amp;"are his vision of a modern company and discuss the main drivers and challenges on this journey.")</f>
        <v>Growth needs to be uncomfortable in order to successfully build a global company, believes Rodolphe Ardant, co-founder and CEO of Spendesk. He decentralized control across the business and made everyone in the team an owner. At Web Summit Rodolphe will share his vision of a modern company and discuss the main drivers and challenges on this journey.</v>
      </c>
      <c r="C398" s="10" t="str">
        <f>IFERROR(__xludf.DUMMYFUNCTION("""COMPUTED_VALUE"""),"Growth Summit")</f>
        <v>Growth Summit</v>
      </c>
      <c r="D398" s="10" t="str">
        <f>IFERROR(__xludf.DUMMYFUNCTION("""COMPUTED_VALUE"""),"Rodolphe Ardant")</f>
        <v>Rodolphe Ardant</v>
      </c>
      <c r="E398" s="10" t="str">
        <f>IFERROR(__xludf.DUMMYFUNCTION("""COMPUTED_VALUE"""),"Rodolphe Ardant")</f>
        <v>Rodolphe Ardant</v>
      </c>
      <c r="F398" s="10" t="str">
        <f>IFERROR(__xludf.DUMMYFUNCTION("""COMPUTED_VALUE"""),"2019/11/06 17:05:00")</f>
        <v>2019/11/06 17:05:00</v>
      </c>
      <c r="G398" s="10" t="str">
        <f>IFERROR(__xludf.DUMMYFUNCTION("""COMPUTED_VALUE"""),"2019/11/06 17:16:00")</f>
        <v>2019/11/06 17:16:00</v>
      </c>
      <c r="H398" s="10" t="str">
        <f>IFERROR(__xludf.DUMMYFUNCTION("""COMPUTED_VALUE"""),"d1c23f05-a6f5-4968-afa3-9c06be68267b")</f>
        <v>d1c23f05-a6f5-4968-afa3-9c06be68267b</v>
      </c>
      <c r="I398" s="10" t="str">
        <f>IFERROR(__xludf.DUMMYFUNCTION("""COMPUTED_VALUE"""),"d1c23f05-a6f5-4968-afa3-9c06be68267b")</f>
        <v>d1c23f05-a6f5-4968-afa3-9c06be68267b</v>
      </c>
    </row>
    <row r="399">
      <c r="A399" s="10" t="str">
        <f>IFERROR(__xludf.DUMMYFUNCTION("""COMPUTED_VALUE"""),"Getting your analytics right from day one")</f>
        <v>Getting your analytics right from day one</v>
      </c>
      <c r="B399" s="10" t="str">
        <f>IFERROR(__xludf.DUMMYFUNCTION("""COMPUTED_VALUE"""),"The founder of data infrastructure unicorn Segment talks about sifting through the wealth of data in the early stages of scaling, and what he's learned from his own, and his clients journeys.")</f>
        <v>The founder of data infrastructure unicorn Segment talks about sifting through the wealth of data in the early stages of scaling, and what he's learned from his own, and his clients journeys.</v>
      </c>
      <c r="C399" s="10" t="str">
        <f>IFERROR(__xludf.DUMMYFUNCTION("""COMPUTED_VALUE"""),"Startup University")</f>
        <v>Startup University</v>
      </c>
      <c r="D399" s="10" t="str">
        <f>IFERROR(__xludf.DUMMYFUNCTION("""COMPUTED_VALUE"""),"Ilya Volodarsky")</f>
        <v>Ilya Volodarsky</v>
      </c>
      <c r="E399" s="10" t="str">
        <f>IFERROR(__xludf.DUMMYFUNCTION("""COMPUTED_VALUE"""),"Ilya Volodarsky")</f>
        <v>Ilya Volodarsky</v>
      </c>
      <c r="F399" s="10" t="str">
        <f>IFERROR(__xludf.DUMMYFUNCTION("""COMPUTED_VALUE"""),"2019/11/06 15:15:00")</f>
        <v>2019/11/06 15:15:00</v>
      </c>
      <c r="G399" s="10" t="str">
        <f>IFERROR(__xludf.DUMMYFUNCTION("""COMPUTED_VALUE"""),"2019/11/06 15:35:00")</f>
        <v>2019/11/06 15:35:00</v>
      </c>
      <c r="H399" s="10" t="str">
        <f>IFERROR(__xludf.DUMMYFUNCTION("""COMPUTED_VALUE"""),"5578fd61-f636-4643-a82e-ddc99a0f5a20")</f>
        <v>5578fd61-f636-4643-a82e-ddc99a0f5a20</v>
      </c>
      <c r="I399" s="10" t="str">
        <f>IFERROR(__xludf.DUMMYFUNCTION("""COMPUTED_VALUE"""),"5578fd61-f636-4643-a82e-ddc99a0f5a20")</f>
        <v>5578fd61-f636-4643-a82e-ddc99a0f5a20</v>
      </c>
    </row>
    <row r="400">
      <c r="A400" s="10" t="str">
        <f>IFERROR(__xludf.DUMMYFUNCTION("""COMPUTED_VALUE"""),"Opening remarks ")</f>
        <v>Opening remarks </v>
      </c>
      <c r="B400" s="10" t="str">
        <f>IFERROR(__xludf.DUMMYFUNCTION("""COMPUTED_VALUE"""),"Welcome back to Corporate Innovation Summit. We hope you enjoyed your lunch. ")</f>
        <v>Welcome back to Corporate Innovation Summit. We hope you enjoyed your lunch. </v>
      </c>
      <c r="C400" s="10" t="str">
        <f>IFERROR(__xludf.DUMMYFUNCTION("""COMPUTED_VALUE"""),"Corporate Innovation Summit")</f>
        <v>Corporate Innovation Summit</v>
      </c>
      <c r="D400" s="10" t="str">
        <f>IFERROR(__xludf.DUMMYFUNCTION("""COMPUTED_VALUE"""),"Mmantsetsa Marope")</f>
        <v>Mmantsetsa Marope</v>
      </c>
      <c r="E400" s="10" t="str">
        <f>IFERROR(__xludf.DUMMYFUNCTION("""COMPUTED_VALUE"""),"Mmantsetsa Marope")</f>
        <v>Mmantsetsa Marope</v>
      </c>
      <c r="F400" s="10" t="str">
        <f>IFERROR(__xludf.DUMMYFUNCTION("""COMPUTED_VALUE"""),"2019/11/06 13:45:00")</f>
        <v>2019/11/06 13:45:00</v>
      </c>
      <c r="G400" s="10" t="str">
        <f>IFERROR(__xludf.DUMMYFUNCTION("""COMPUTED_VALUE"""),"2019/11/06 14:00:00")</f>
        <v>2019/11/06 14:00:00</v>
      </c>
      <c r="H400" s="10" t="str">
        <f>IFERROR(__xludf.DUMMYFUNCTION("""COMPUTED_VALUE"""),"f0b27e37-4284-471d-815e-3c0ed00e58ce")</f>
        <v>f0b27e37-4284-471d-815e-3c0ed00e58ce</v>
      </c>
      <c r="I400" s="10" t="str">
        <f>IFERROR(__xludf.DUMMYFUNCTION("""COMPUTED_VALUE"""),"f0b27e37-4284-471d-815e-3c0ed00e58ce")</f>
        <v>f0b27e37-4284-471d-815e-3c0ed00e58ce</v>
      </c>
    </row>
    <row r="401">
      <c r="A401" s="10" t="str">
        <f>IFERROR(__xludf.DUMMYFUNCTION("""COMPUTED_VALUE"""),"Scaling globally while retaining brand integrity")</f>
        <v>Scaling globally while retaining brand integrity</v>
      </c>
      <c r="B401" s="10" t="str">
        <f>IFERROR(__xludf.DUMMYFUNCTION("""COMPUTED_VALUE"""),"Founder and CEO, Ray shares his experience scaling mobile pickup app Ritual, which has expanded from North America into its first new language markets across Europe and Asia.")</f>
        <v>Founder and CEO, Ray shares his experience scaling mobile pickup app Ritual, which has expanded from North America into its first new language markets across Europe and Asia.</v>
      </c>
      <c r="C401" s="10" t="str">
        <f>IFERROR(__xludf.DUMMYFUNCTION("""COMPUTED_VALUE"""),"Growth Summit")</f>
        <v>Growth Summit</v>
      </c>
      <c r="D401" s="10" t="str">
        <f>IFERROR(__xludf.DUMMYFUNCTION("""COMPUTED_VALUE"""),"Ray Reddy")</f>
        <v>Ray Reddy</v>
      </c>
      <c r="E401" s="10" t="str">
        <f>IFERROR(__xludf.DUMMYFUNCTION("""COMPUTED_VALUE"""),"Ray Reddy")</f>
        <v>Ray Reddy</v>
      </c>
      <c r="F401" s="10" t="str">
        <f>IFERROR(__xludf.DUMMYFUNCTION("""COMPUTED_VALUE"""),"2019/11/06 15:15:00")</f>
        <v>2019/11/06 15:15:00</v>
      </c>
      <c r="G401" s="10" t="str">
        <f>IFERROR(__xludf.DUMMYFUNCTION("""COMPUTED_VALUE"""),"2019/11/06 15:26:00")</f>
        <v>2019/11/06 15:26:00</v>
      </c>
      <c r="H401" s="10" t="str">
        <f>IFERROR(__xludf.DUMMYFUNCTION("""COMPUTED_VALUE"""),"92fddecb-1225-487b-8a71-f53d852334c6")</f>
        <v>92fddecb-1225-487b-8a71-f53d852334c6</v>
      </c>
      <c r="I401" s="10" t="str">
        <f>IFERROR(__xludf.DUMMYFUNCTION("""COMPUTED_VALUE"""),"92fddecb-1225-487b-8a71-f53d852334c6")</f>
        <v>92fddecb-1225-487b-8a71-f53d852334c6</v>
      </c>
    </row>
    <row r="402">
      <c r="A402" s="10" t="str">
        <f>IFERROR(__xludf.DUMMYFUNCTION("""COMPUTED_VALUE"""),"Choosing the right database for your applications")</f>
        <v>Choosing the right database for your applications</v>
      </c>
      <c r="B402" s="10" t="str">
        <f>IFERROR(__xludf.DUMMYFUNCTION("""COMPUTED_VALUE"""),"It’s 2019 and there are 329 different databases being tracked by db-engines.com - how are we supposed to know which one to use for which problems? This talk walks through the basics of the common database types and specific implementations by showing real"&amp;" world use cases.")</f>
        <v>It’s 2019 and there are 329 different databases being tracked by db-engines.com - how are we supposed to know which one to use for which problems? This talk walks through the basics of the common database types and specific implementations by showing real world use cases.</v>
      </c>
      <c r="C402" s="10" t="str">
        <f>IFERROR(__xludf.DUMMYFUNCTION("""COMPUTED_VALUE"""),"AWS Developer Workshops")</f>
        <v>AWS Developer Workshops</v>
      </c>
      <c r="D402" s="10" t="str">
        <f>IFERROR(__xludf.DUMMYFUNCTION("""COMPUTED_VALUE"""),"")</f>
        <v/>
      </c>
      <c r="E402" s="10" t="str">
        <f>IFERROR(__xludf.DUMMYFUNCTION("""COMPUTED_VALUE"""),"")</f>
        <v/>
      </c>
      <c r="F402" s="10" t="str">
        <f>IFERROR(__xludf.DUMMYFUNCTION("""COMPUTED_VALUE"""),"2019/11/05 14:00:00")</f>
        <v>2019/11/05 14:00:00</v>
      </c>
      <c r="G402" s="10" t="str">
        <f>IFERROR(__xludf.DUMMYFUNCTION("""COMPUTED_VALUE"""),"2019/11/05 14:50:00")</f>
        <v>2019/11/05 14:50:00</v>
      </c>
      <c r="H402" s="10" t="str">
        <f>IFERROR(__xludf.DUMMYFUNCTION("""COMPUTED_VALUE"""),"05b8ea59-c094-490b-afec-76c3540ea357")</f>
        <v>05b8ea59-c094-490b-afec-76c3540ea357</v>
      </c>
      <c r="I402" s="10" t="str">
        <f>IFERROR(__xludf.DUMMYFUNCTION("""COMPUTED_VALUE"""),"05b8ea59-c094-490b-afec-76c3540ea357")</f>
        <v>05b8ea59-c094-490b-afec-76c3540ea357</v>
      </c>
    </row>
    <row r="403">
      <c r="A403" s="10" t="str">
        <f>IFERROR(__xludf.DUMMYFUNCTION("""COMPUTED_VALUE"""),"CX growth hacking (part 1), hosted by ZETA")</f>
        <v>CX growth hacking (part 1), hosted by ZETA</v>
      </c>
      <c r="B403" s="10"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403" s="10" t="str">
        <f>IFERROR(__xludf.DUMMYFUNCTION("""COMPUTED_VALUE"""),"Workshop 4")</f>
        <v>Workshop 4</v>
      </c>
      <c r="D403" s="10" t="str">
        <f>IFERROR(__xludf.DUMMYFUNCTION("""COMPUTED_VALUE"""),"Noriyuki Yamazaki")</f>
        <v>Noriyuki Yamazaki</v>
      </c>
      <c r="E403" s="10" t="str">
        <f>IFERROR(__xludf.DUMMYFUNCTION("""COMPUTED_VALUE"""),"Noriyuki Yamazaki")</f>
        <v>Noriyuki Yamazaki</v>
      </c>
      <c r="F403" s="10" t="str">
        <f>IFERROR(__xludf.DUMMYFUNCTION("""COMPUTED_VALUE"""),"2019/11/05 12:00:00")</f>
        <v>2019/11/05 12:00:00</v>
      </c>
      <c r="G403" s="10" t="str">
        <f>IFERROR(__xludf.DUMMYFUNCTION("""COMPUTED_VALUE"""),"2019/11/05 12:40:00")</f>
        <v>2019/11/05 12:40:00</v>
      </c>
      <c r="H403" s="10" t="str">
        <f>IFERROR(__xludf.DUMMYFUNCTION("""COMPUTED_VALUE"""),"c715ff03-b4bd-4086-868f-8491fad2bc8f")</f>
        <v>c715ff03-b4bd-4086-868f-8491fad2bc8f</v>
      </c>
      <c r="I403" s="10" t="str">
        <f>IFERROR(__xludf.DUMMYFUNCTION("""COMPUTED_VALUE"""),"c715ff03-b4bd-4086-868f-8491fad2bc8f")</f>
        <v>c715ff03-b4bd-4086-868f-8491fad2bc8f</v>
      </c>
    </row>
    <row r="404">
      <c r="A404" s="10" t="str">
        <f>IFERROR(__xludf.DUMMYFUNCTION("""COMPUTED_VALUE"""),"Feeling the pain: How rage &amp; pain are the key to growth")</f>
        <v>Feeling the pain: How rage &amp; pain are the key to growth</v>
      </c>
      <c r="B404" s="10" t="str">
        <f>IFERROR(__xludf.DUMMYFUNCTION("""COMPUTED_VALUE"""),"CEO of WEEL, Simcha will outline how to leverage the pain and rage of mundane experiences of your users to create, align and grow your company.")</f>
        <v>CEO of WEEL, Simcha will outline how to leverage the pain and rage of mundane experiences of your users to create, align and grow your company.</v>
      </c>
      <c r="C404" s="10" t="str">
        <f>IFERROR(__xludf.DUMMYFUNCTION("""COMPUTED_VALUE"""),"Growth Summit")</f>
        <v>Growth Summit</v>
      </c>
      <c r="D404" s="10" t="str">
        <f>IFERROR(__xludf.DUMMYFUNCTION("""COMPUTED_VALUE"""),"Simcha Neumark")</f>
        <v>Simcha Neumark</v>
      </c>
      <c r="E404" s="10" t="str">
        <f>IFERROR(__xludf.DUMMYFUNCTION("""COMPUTED_VALUE"""),"Simcha Neumark")</f>
        <v>Simcha Neumark</v>
      </c>
      <c r="F404" s="10" t="str">
        <f>IFERROR(__xludf.DUMMYFUNCTION("""COMPUTED_VALUE"""),"2019/11/06 14:42:00")</f>
        <v>2019/11/06 14:42:00</v>
      </c>
      <c r="G404" s="10" t="str">
        <f>IFERROR(__xludf.DUMMYFUNCTION("""COMPUTED_VALUE"""),"2019/11/06 14:53:00")</f>
        <v>2019/11/06 14:53:00</v>
      </c>
      <c r="H404" s="10" t="str">
        <f>IFERROR(__xludf.DUMMYFUNCTION("""COMPUTED_VALUE"""),"7c0af6de-78d5-4f6b-b2d9-1d3b94cf0974")</f>
        <v>7c0af6de-78d5-4f6b-b2d9-1d3b94cf0974</v>
      </c>
      <c r="I404" s="10" t="str">
        <f>IFERROR(__xludf.DUMMYFUNCTION("""COMPUTED_VALUE"""),"7c0af6de-78d5-4f6b-b2d9-1d3b94cf0974")</f>
        <v>7c0af6de-78d5-4f6b-b2d9-1d3b94cf0974</v>
      </c>
    </row>
    <row r="405">
      <c r="A405" s="10" t="str">
        <f>IFERROR(__xludf.DUMMYFUNCTION("""COMPUTED_VALUE"""),"The promise of personal robots is closer than you think")</f>
        <v>The promise of personal robots is closer than you think</v>
      </c>
      <c r="B405" s="10" t="str">
        <f>IFERROR(__xludf.DUMMYFUNCTION("""COMPUTED_VALUE"""),"Personal robots promise to bring utility, affording time for more meaningful activities as well as companionship. Over the next ten years, we’ll see robots transform both our business and home, as they take on useful tasks. In this fireside chat, Misty Ro"&amp;"botics Founder and former Sphero Co-Founder Ian Bernstein will explore how multipurpose robots will become an integral part of our daily lives and what it will take to get there.")</f>
        <v>Personal robots promise to bring utility, affording time for more meaningful activities as well as companionship. Over the next ten years, we’ll see robots transform both our business and home, as they take on useful tasks. In this fireside chat, Misty Robotics Founder and former Sphero Co-Founder Ian Bernstein will explore how multipurpose robots will become an integral part of our daily lives and what it will take to get there.</v>
      </c>
      <c r="C405" s="10" t="str">
        <f>IFERROR(__xludf.DUMMYFUNCTION("""COMPUTED_VALUE"""),"Auto/Tech &amp; TalkRobot")</f>
        <v>Auto/Tech &amp; TalkRobot</v>
      </c>
      <c r="D405" s="10" t="str">
        <f>IFERROR(__xludf.DUMMYFUNCTION("""COMPUTED_VALUE"""),"Ian Bernstein and Tim Bradshaw")</f>
        <v>Ian Bernstein and Tim Bradshaw</v>
      </c>
      <c r="E405" s="10" t="str">
        <f>IFERROR(__xludf.DUMMYFUNCTION("""COMPUTED_VALUE"""),"Ian Bernstein,Tim Bradshaw")</f>
        <v>Ian Bernstein,Tim Bradshaw</v>
      </c>
      <c r="F405" s="10" t="str">
        <f>IFERROR(__xludf.DUMMYFUNCTION("""COMPUTED_VALUE"""),"2019/11/07 11:55:00")</f>
        <v>2019/11/07 11:55:00</v>
      </c>
      <c r="G405" s="10" t="str">
        <f>IFERROR(__xludf.DUMMYFUNCTION("""COMPUTED_VALUE"""),"2019/11/07 12:15:00")</f>
        <v>2019/11/07 12:15:00</v>
      </c>
      <c r="H405" s="10" t="str">
        <f>IFERROR(__xludf.DUMMYFUNCTION("""COMPUTED_VALUE"""),"706d18d3-daa5-49c3-a497-62acce51c3da")</f>
        <v>706d18d3-daa5-49c3-a497-62acce51c3da</v>
      </c>
      <c r="I405" s="10" t="str">
        <f>IFERROR(__xludf.DUMMYFUNCTION("""COMPUTED_VALUE"""),"706d18d3-daa5-49c3-a497-62acce51c3da")</f>
        <v>706d18d3-daa5-49c3-a497-62acce51c3da</v>
      </c>
    </row>
    <row r="406">
      <c r="A406" s="10" t="str">
        <f>IFERROR(__xludf.DUMMYFUNCTION("""COMPUTED_VALUE"""),"Night Summit info point")</f>
        <v>Night Summit info point</v>
      </c>
      <c r="B406" s="10" t="str">
        <f>IFERROR(__xludf.DUMMYFUNCTION("""COMPUTED_VALUE"""),"")</f>
        <v/>
      </c>
      <c r="C406" s="10" t="str">
        <f>IFERROR(__xludf.DUMMYFUNCTION("""COMPUTED_VALUE"""),"Night Summit Info Point")</f>
        <v>Night Summit Info Point</v>
      </c>
      <c r="D406" s="10" t="str">
        <f>IFERROR(__xludf.DUMMYFUNCTION("""COMPUTED_VALUE"""),"")</f>
        <v/>
      </c>
      <c r="E406" s="10" t="str">
        <f>IFERROR(__xludf.DUMMYFUNCTION("""COMPUTED_VALUE"""),"")</f>
        <v/>
      </c>
      <c r="F406" s="10" t="str">
        <f>IFERROR(__xludf.DUMMYFUNCTION("""COMPUTED_VALUE"""),"2019/11/06 20:01:00")</f>
        <v>2019/11/06 20:01:00</v>
      </c>
      <c r="G406" s="10" t="str">
        <f>IFERROR(__xludf.DUMMYFUNCTION("""COMPUTED_VALUE"""),"2019/11/07 01:59:00")</f>
        <v>2019/11/07 01:59:00</v>
      </c>
      <c r="H406" s="10" t="str">
        <f>IFERROR(__xludf.DUMMYFUNCTION("""COMPUTED_VALUE"""),"aa44cbc5-0c8f-4433-8471-ddbffbb0d503")</f>
        <v>aa44cbc5-0c8f-4433-8471-ddbffbb0d503</v>
      </c>
      <c r="I406" s="10" t="str">
        <f>IFERROR(__xludf.DUMMYFUNCTION("""COMPUTED_VALUE"""),"aa44cbc5-0c8f-4433-8471-ddbffbb0d503")</f>
        <v>aa44cbc5-0c8f-4433-8471-ddbffbb0d503</v>
      </c>
    </row>
    <row r="407">
      <c r="A407" s="10" t="str">
        <f>IFERROR(__xludf.DUMMYFUNCTION("""COMPUTED_VALUE""")," Changes are afoot: The death of traditional retail")</f>
        <v> Changes are afoot: The death of traditional retail</v>
      </c>
      <c r="B407" s="10" t="str">
        <f>IFERROR(__xludf.DUMMYFUNCTION("""COMPUTED_VALUE"""),"Shops are closing but consumption is increasing. Now that data is changing the way we buy, what lies in store for the retail industry?")</f>
        <v>Shops are closing but consumption is increasing. Now that data is changing the way we buy, what lies in store for the retail industry?</v>
      </c>
      <c r="C407" s="10" t="str">
        <f>IFERROR(__xludf.DUMMYFUNCTION("""COMPUTED_VALUE"""),"PandaConf")</f>
        <v>PandaConf</v>
      </c>
      <c r="D407" s="10" t="str">
        <f>IFERROR(__xludf.DUMMYFUNCTION("""COMPUTED_VALUE"""),"Josh Luber and Rebecca Stewart")</f>
        <v>Josh Luber and Rebecca Stewart</v>
      </c>
      <c r="E407" s="10" t="str">
        <f>IFERROR(__xludf.DUMMYFUNCTION("""COMPUTED_VALUE"""),"Josh Luber,Rebecca Stewart")</f>
        <v>Josh Luber,Rebecca Stewart</v>
      </c>
      <c r="F407" s="10" t="str">
        <f>IFERROR(__xludf.DUMMYFUNCTION("""COMPUTED_VALUE"""),"2019/11/06 11:30:00")</f>
        <v>2019/11/06 11:30:00</v>
      </c>
      <c r="G407" s="10" t="str">
        <f>IFERROR(__xludf.DUMMYFUNCTION("""COMPUTED_VALUE"""),"2019/11/06 11:50:00")</f>
        <v>2019/11/06 11:50:00</v>
      </c>
      <c r="H407" s="10" t="str">
        <f>IFERROR(__xludf.DUMMYFUNCTION("""COMPUTED_VALUE"""),"476f37c9-89b4-4016-a979-7dc647616266")</f>
        <v>476f37c9-89b4-4016-a979-7dc647616266</v>
      </c>
      <c r="I407" s="10" t="str">
        <f>IFERROR(__xludf.DUMMYFUNCTION("""COMPUTED_VALUE"""),"476f37c9-89b4-4016-a979-7dc647616266")</f>
        <v>476f37c9-89b4-4016-a979-7dc647616266</v>
      </c>
    </row>
    <row r="408">
      <c r="A408" s="10" t="str">
        <f>IFERROR(__xludf.DUMMYFUNCTION("""COMPUTED_VALUE"""),"The future of healthcare")</f>
        <v>The future of healthcare</v>
      </c>
      <c r="B408" s="10" t="str">
        <f>IFERROR(__xludf.DUMMYFUNCTION("""COMPUTED_VALUE"""),"Genome-informed medicine offers tremendous promise for improved health and wellness. Journey into the future of medicine and learn how genetics and genomics are impacting patient care today for earlier diagnosis, more personalised treatment and population"&amp;" health management.")</f>
        <v>Genome-informed medicine offers tremendous promise for improved health and wellness. Journey into the future of medicine and learn how genetics and genomics are impacting patient care today for earlier diagnosis, more personalised treatment and population health management.</v>
      </c>
      <c r="C408" s="10" t="str">
        <f>IFERROR(__xludf.DUMMYFUNCTION("""COMPUTED_VALUE"""),"Growth Summit")</f>
        <v>Growth Summit</v>
      </c>
      <c r="D408" s="10" t="str">
        <f>IFERROR(__xludf.DUMMYFUNCTION("""COMPUTED_VALUE"""),"Lisa Alderson")</f>
        <v>Lisa Alderson</v>
      </c>
      <c r="E408" s="10" t="str">
        <f>IFERROR(__xludf.DUMMYFUNCTION("""COMPUTED_VALUE"""),"Lisa Alderson")</f>
        <v>Lisa Alderson</v>
      </c>
      <c r="F408" s="10" t="str">
        <f>IFERROR(__xludf.DUMMYFUNCTION("""COMPUTED_VALUE"""),"2019/11/06 16:10:00")</f>
        <v>2019/11/06 16:10:00</v>
      </c>
      <c r="G408" s="10" t="str">
        <f>IFERROR(__xludf.DUMMYFUNCTION("""COMPUTED_VALUE"""),"2019/11/06 16:21:00")</f>
        <v>2019/11/06 16:21:00</v>
      </c>
      <c r="H408" s="10" t="str">
        <f>IFERROR(__xludf.DUMMYFUNCTION("""COMPUTED_VALUE"""),"1bdfa8ad-26d5-4ecc-816f-535f05a18a9f")</f>
        <v>1bdfa8ad-26d5-4ecc-816f-535f05a18a9f</v>
      </c>
      <c r="I408" s="10" t="str">
        <f>IFERROR(__xludf.DUMMYFUNCTION("""COMPUTED_VALUE"""),"1bdfa8ad-26d5-4ecc-816f-535f05a18a9f")</f>
        <v>1bdfa8ad-26d5-4ecc-816f-535f05a18a9f</v>
      </c>
    </row>
    <row r="409">
      <c r="A409" s="10" t="str">
        <f>IFERROR(__xludf.DUMMYFUNCTION("""COMPUTED_VALUE"""),"Featured venue: 4 Caravelas Cocktail Bar")</f>
        <v>Featured venue: 4 Caravelas Cocktail Bar</v>
      </c>
      <c r="B409" s="10" t="str">
        <f>IFERROR(__xludf.DUMMYFUNCTION("""COMPUTED_VALUE"""),"We know Winnie the Pooh loved honey, but we wonder what he'd make of the world famous Honey Pot cocktail? Made with vanilla vodka, ginger bread syrup, lemon juice, apple cider, honey, and roasted peanuts, this is your chance to try it for yourself. 
Ni"&amp;"ght Summit deals:
Discounted cocktails")</f>
        <v>We know Winnie the Pooh loved honey, but we wonder what he'd make of the world famous Honey Pot cocktail? Made with vanilla vodka, ginger bread syrup, lemon juice, apple cider, honey, and roasted peanuts, this is your chance to try it for yourself. 
Night Summit deals:
Discounted cocktails</v>
      </c>
      <c r="C409" s="10" t="str">
        <f>IFERROR(__xludf.DUMMYFUNCTION("""COMPUTED_VALUE"""),"4 Caravelas Cocktail Bar")</f>
        <v>4 Caravelas Cocktail Bar</v>
      </c>
      <c r="D409" s="10" t="str">
        <f>IFERROR(__xludf.DUMMYFUNCTION("""COMPUTED_VALUE"""),"")</f>
        <v/>
      </c>
      <c r="E409" s="10" t="str">
        <f>IFERROR(__xludf.DUMMYFUNCTION("""COMPUTED_VALUE"""),"")</f>
        <v/>
      </c>
      <c r="F409" s="10" t="str">
        <f>IFERROR(__xludf.DUMMYFUNCTION("""COMPUTED_VALUE"""),"2019/11/05 20:00:00")</f>
        <v>2019/11/05 20:00:00</v>
      </c>
      <c r="G409" s="10" t="str">
        <f>IFERROR(__xludf.DUMMYFUNCTION("""COMPUTED_VALUE"""),"2019/11/06 00:00:00")</f>
        <v>2019/11/06 00:00:00</v>
      </c>
      <c r="H409" s="10" t="str">
        <f>IFERROR(__xludf.DUMMYFUNCTION("""COMPUTED_VALUE"""),"a10965c3-a616-4d8c-9ae9-6c2bf7561127")</f>
        <v>a10965c3-a616-4d8c-9ae9-6c2bf7561127</v>
      </c>
      <c r="I409" s="10" t="str">
        <f>IFERROR(__xludf.DUMMYFUNCTION("""COMPUTED_VALUE"""),"a10965c3-a616-4d8c-9ae9-6c2bf7561127")</f>
        <v>a10965c3-a616-4d8c-9ae9-6c2bf7561127</v>
      </c>
    </row>
    <row r="410">
      <c r="A410" s="10" t="str">
        <f>IFERROR(__xludf.DUMMYFUNCTION("""COMPUTED_VALUE"""),"Is Britain better out of Europe?")</f>
        <v>Is Britain better out of Europe?</v>
      </c>
      <c r="B410" s="10" t="str">
        <f>IFERROR(__xludf.DUMMYFUNCTION("""COMPUTED_VALUE"""),"Brexit is the drama that never ends. It is the defining political event in modern British, and arguably European, politics. It is the biggest change in the European political order since the formation of the European Union. In this session we will hear an"&amp;" ardent Brexiteer and an arch-Remainer argue out the pros and cons. Is Brexit a good thing? We’ll unravel it and find out.")</f>
        <v>Brexit is the drama that never ends. It is the defining political event in modern British, and arguably European, politics. It is the biggest change in the European political order since the formation of the European Union. In this session we will hear an ardent Brexiteer and an arch-Remainer argue out the pros and cons. Is Brexit a good thing? We’ll unravel it and find out.</v>
      </c>
      <c r="C410" s="10" t="str">
        <f>IFERROR(__xludf.DUMMYFUNCTION("""COMPUTED_VALUE"""),"Future Societies")</f>
        <v>Future Societies</v>
      </c>
      <c r="D410" s="10" t="str">
        <f>IFERROR(__xludf.DUMMYFUNCTION("""COMPUTED_VALUE"""),"Alex Deane, James Ball and Donie O'Sullivan")</f>
        <v>Alex Deane, James Ball and Donie O'Sullivan</v>
      </c>
      <c r="E410" s="10" t="str">
        <f>IFERROR(__xludf.DUMMYFUNCTION("""COMPUTED_VALUE"""),"Alex Deane,James Ball,Donie O'Sullivan")</f>
        <v>Alex Deane,James Ball,Donie O'Sullivan</v>
      </c>
      <c r="F410" s="10" t="str">
        <f>IFERROR(__xludf.DUMMYFUNCTION("""COMPUTED_VALUE"""),"2019/11/05 10:45:00")</f>
        <v>2019/11/05 10:45:00</v>
      </c>
      <c r="G410" s="10" t="str">
        <f>IFERROR(__xludf.DUMMYFUNCTION("""COMPUTED_VALUE"""),"2019/11/05 11:10:00")</f>
        <v>2019/11/05 11:10:00</v>
      </c>
      <c r="H410" s="10" t="str">
        <f>IFERROR(__xludf.DUMMYFUNCTION("""COMPUTED_VALUE"""),"bb0a318b-4e65-4f17-b2b5-06c616776ad9")</f>
        <v>bb0a318b-4e65-4f17-b2b5-06c616776ad9</v>
      </c>
      <c r="I410" s="10" t="str">
        <f>IFERROR(__xludf.DUMMYFUNCTION("""COMPUTED_VALUE"""),"bb0a318b-4e65-4f17-b2b5-06c616776ad9")</f>
        <v>bb0a318b-4e65-4f17-b2b5-06c616776ad9</v>
      </c>
    </row>
    <row r="411">
      <c r="A411" s="10" t="str">
        <f>IFERROR(__xludf.DUMMYFUNCTION("""COMPUTED_VALUE"""),"Pivoting your business model to generate growth")</f>
        <v>Pivoting your business model to generate growth</v>
      </c>
      <c r="B411" s="10" t="str">
        <f>IFERROR(__xludf.DUMMYFUNCTION("""COMPUTED_VALUE"""),"The startup dynamics is very challenging as any company needs to identify and validate the core product/marketing fit before it can start to grow. Now, what if the original business model is no longer viable, profitable, or competitive and needs to be sub"&amp;"stantially changed to generate growth?")</f>
        <v>The startup dynamics is very challenging as any company needs to identify and validate the core product/marketing fit before it can start to grow. Now, what if the original business model is no longer viable, profitable, or competitive and needs to be substantially changed to generate growth?</v>
      </c>
      <c r="C411" s="10" t="str">
        <f>IFERROR(__xludf.DUMMYFUNCTION("""COMPUTED_VALUE"""),"Growth Summit")</f>
        <v>Growth Summit</v>
      </c>
      <c r="D411" s="10" t="str">
        <f>IFERROR(__xludf.DUMMYFUNCTION("""COMPUTED_VALUE"""),"Petr Stransky")</f>
        <v>Petr Stransky</v>
      </c>
      <c r="E411" s="10" t="str">
        <f>IFERROR(__xludf.DUMMYFUNCTION("""COMPUTED_VALUE"""),"Petr Stransky")</f>
        <v>Petr Stransky</v>
      </c>
      <c r="F411" s="10" t="str">
        <f>IFERROR(__xludf.DUMMYFUNCTION("""COMPUTED_VALUE"""),"2019/11/06 11:46:00")</f>
        <v>2019/11/06 11:46:00</v>
      </c>
      <c r="G411" s="10" t="str">
        <f>IFERROR(__xludf.DUMMYFUNCTION("""COMPUTED_VALUE"""),"2019/11/06 11:50:00")</f>
        <v>2019/11/06 11:50:00</v>
      </c>
      <c r="H411" s="10" t="str">
        <f>IFERROR(__xludf.DUMMYFUNCTION("""COMPUTED_VALUE"""),"89533609-89a7-4989-b1af-96b33fd00050")</f>
        <v>89533609-89a7-4989-b1af-96b33fd00050</v>
      </c>
      <c r="I411" s="10" t="str">
        <f>IFERROR(__xludf.DUMMYFUNCTION("""COMPUTED_VALUE"""),"89533609-89a7-4989-b1af-96b33fd00050")</f>
        <v>89533609-89a7-4989-b1af-96b33fd00050</v>
      </c>
    </row>
    <row r="412">
      <c r="A412" s="10" t="str">
        <f>IFERROR(__xludf.DUMMYFUNCTION("""COMPUTED_VALUE"""),"Opening remarks")</f>
        <v>Opening remarks</v>
      </c>
      <c r="B412" s="10" t="str">
        <f>IFERROR(__xludf.DUMMYFUNCTION("""COMPUTED_VALUE"""),"")</f>
        <v/>
      </c>
      <c r="C412" s="10" t="str">
        <f>IFERROR(__xludf.DUMMYFUNCTION("""COMPUTED_VALUE"""),"MoneyConf")</f>
        <v>MoneyConf</v>
      </c>
      <c r="D412" s="10" t="str">
        <f>IFERROR(__xludf.DUMMYFUNCTION("""COMPUTED_VALUE"""),"Margarida Ruela")</f>
        <v>Margarida Ruela</v>
      </c>
      <c r="E412" s="10" t="str">
        <f>IFERROR(__xludf.DUMMYFUNCTION("""COMPUTED_VALUE"""),"Margarida Ruela")</f>
        <v>Margarida Ruela</v>
      </c>
      <c r="F412" s="10" t="str">
        <f>IFERROR(__xludf.DUMMYFUNCTION("""COMPUTED_VALUE"""),"2019/11/06 13:45:00")</f>
        <v>2019/11/06 13:45:00</v>
      </c>
      <c r="G412" s="10" t="str">
        <f>IFERROR(__xludf.DUMMYFUNCTION("""COMPUTED_VALUE"""),"2019/11/06 14:00:00")</f>
        <v>2019/11/06 14:00:00</v>
      </c>
      <c r="H412" s="10" t="str">
        <f>IFERROR(__xludf.DUMMYFUNCTION("""COMPUTED_VALUE"""),"b6e6bb17-35ea-41fc-94ac-adde65256009")</f>
        <v>b6e6bb17-35ea-41fc-94ac-adde65256009</v>
      </c>
      <c r="I412" s="10" t="str">
        <f>IFERROR(__xludf.DUMMYFUNCTION("""COMPUTED_VALUE"""),"b6e6bb17-35ea-41fc-94ac-adde65256009")</f>
        <v>b6e6bb17-35ea-41fc-94ac-adde65256009</v>
      </c>
    </row>
    <row r="413">
      <c r="A413" s="10" t="str">
        <f>IFERROR(__xludf.DUMMYFUNCTION("""COMPUTED_VALUE"""),"The art of the pivot: From agency to SaaS social listening to MLaaS ")</f>
        <v>The art of the pivot: From agency to SaaS social listening to MLaaS </v>
      </c>
      <c r="B413" s="10" t="str">
        <f>IFERROR(__xludf.DUMMYFUNCTION("""COMPUTED_VALUE"""),"Navigating a pivot intact requires a lot of navigation and unforeseen challenges. But how does one survive two pivots and flourish? This session will take the audience through the journey of Converseon from an agency, to a listening platform, to MLaaS for"&amp;" natural language processing, and the art and science of reinvention it has learned along the way.")</f>
        <v>Navigating a pivot intact requires a lot of navigation and unforeseen challenges. But how does one survive two pivots and flourish? This session will take the audience through the journey of Converseon from an agency, to a listening platform, to MLaaS for natural language processing, and the art and science of reinvention it has learned along the way.</v>
      </c>
      <c r="C413" s="10" t="str">
        <f>IFERROR(__xludf.DUMMYFUNCTION("""COMPUTED_VALUE"""),"Growth Summit")</f>
        <v>Growth Summit</v>
      </c>
      <c r="D413" s="10" t="str">
        <f>IFERROR(__xludf.DUMMYFUNCTION("""COMPUTED_VALUE"""),"Rob Key")</f>
        <v>Rob Key</v>
      </c>
      <c r="E413" s="10" t="str">
        <f>IFERROR(__xludf.DUMMYFUNCTION("""COMPUTED_VALUE"""),"Rob Key")</f>
        <v>Rob Key</v>
      </c>
      <c r="F413" s="10" t="str">
        <f>IFERROR(__xludf.DUMMYFUNCTION("""COMPUTED_VALUE"""),"2019/11/05 10:30:00")</f>
        <v>2019/11/05 10:30:00</v>
      </c>
      <c r="G413" s="10" t="str">
        <f>IFERROR(__xludf.DUMMYFUNCTION("""COMPUTED_VALUE"""),"2019/11/05 10:34:00")</f>
        <v>2019/11/05 10:34:00</v>
      </c>
      <c r="H413" s="10" t="str">
        <f>IFERROR(__xludf.DUMMYFUNCTION("""COMPUTED_VALUE"""),"9f2cfe2e-084f-4c23-be43-711a539881b1")</f>
        <v>9f2cfe2e-084f-4c23-be43-711a539881b1</v>
      </c>
      <c r="I413" s="10" t="str">
        <f>IFERROR(__xludf.DUMMYFUNCTION("""COMPUTED_VALUE"""),"9f2cfe2e-084f-4c23-be43-711a539881b1")</f>
        <v>9f2cfe2e-084f-4c23-be43-711a539881b1</v>
      </c>
    </row>
    <row r="414">
      <c r="A414" s="10" t="str">
        <f>IFERROR(__xludf.DUMMYFUNCTION("""COMPUTED_VALUE"""),"It's lonely at the top")</f>
        <v>It's lonely at the top</v>
      </c>
      <c r="B414" s="10" t="str">
        <f>IFERROR(__xludf.DUMMYFUNCTION("""COMPUTED_VALUE"""),"Get Transfer founder, Arie discusses setting up a business alone versus having co-founders.")</f>
        <v>Get Transfer founder, Arie discusses setting up a business alone versus having co-founders.</v>
      </c>
      <c r="C414" s="10" t="str">
        <f>IFERROR(__xludf.DUMMYFUNCTION("""COMPUTED_VALUE"""),"Growth Summit")</f>
        <v>Growth Summit</v>
      </c>
      <c r="D414" s="10" t="str">
        <f>IFERROR(__xludf.DUMMYFUNCTION("""COMPUTED_VALUE"""),"Arie Kravtchin")</f>
        <v>Arie Kravtchin</v>
      </c>
      <c r="E414" s="10" t="str">
        <f>IFERROR(__xludf.DUMMYFUNCTION("""COMPUTED_VALUE"""),"Arie Kravtchin")</f>
        <v>Arie Kravtchin</v>
      </c>
      <c r="F414" s="10" t="str">
        <f>IFERROR(__xludf.DUMMYFUNCTION("""COMPUTED_VALUE"""),"2019/11/06 11:30:00")</f>
        <v>2019/11/06 11:30:00</v>
      </c>
      <c r="G414" s="10" t="str">
        <f>IFERROR(__xludf.DUMMYFUNCTION("""COMPUTED_VALUE"""),"2019/11/06 11:34:00")</f>
        <v>2019/11/06 11:34:00</v>
      </c>
      <c r="H414" s="10" t="str">
        <f>IFERROR(__xludf.DUMMYFUNCTION("""COMPUTED_VALUE"""),"b3a49c84-add4-4210-8e47-bf6e20618a30")</f>
        <v>b3a49c84-add4-4210-8e47-bf6e20618a30</v>
      </c>
      <c r="I414" s="10" t="str">
        <f>IFERROR(__xludf.DUMMYFUNCTION("""COMPUTED_VALUE"""),"b3a49c84-add4-4210-8e47-bf6e20618a30")</f>
        <v>b3a49c84-add4-4210-8e47-bf6e20618a30</v>
      </c>
    </row>
    <row r="415">
      <c r="A415" s="10" t="str">
        <f>IFERROR(__xludf.DUMMYFUNCTION("""COMPUTED_VALUE"""),"How to build an invincible company")</f>
        <v>How to build an invincible company</v>
      </c>
      <c r="B415" s="10" t="str">
        <f>IFERROR(__xludf.DUMMYFUNCTION("""COMPUTED_VALUE"""),"Join the creator of the business-model canvas, Alex Osterwalder, to learn the secrets of how to build an invincible company.")</f>
        <v>Join the creator of the business-model canvas, Alex Osterwalder, to learn the secrets of how to build an invincible company.</v>
      </c>
      <c r="C415" s="10" t="str">
        <f>IFERROR(__xludf.DUMMYFUNCTION("""COMPUTED_VALUE"""),"Corporate Innovation Summit")</f>
        <v>Corporate Innovation Summit</v>
      </c>
      <c r="D415" s="10" t="str">
        <f>IFERROR(__xludf.DUMMYFUNCTION("""COMPUTED_VALUE"""),"Alex Osterwalder")</f>
        <v>Alex Osterwalder</v>
      </c>
      <c r="E415" s="10" t="str">
        <f>IFERROR(__xludf.DUMMYFUNCTION("""COMPUTED_VALUE"""),"Alex Osterwalder")</f>
        <v>Alex Osterwalder</v>
      </c>
      <c r="F415" s="10" t="str">
        <f>IFERROR(__xludf.DUMMYFUNCTION("""COMPUTED_VALUE"""),"2019/11/07 14:00:00")</f>
        <v>2019/11/07 14:00:00</v>
      </c>
      <c r="G415" s="10" t="str">
        <f>IFERROR(__xludf.DUMMYFUNCTION("""COMPUTED_VALUE"""),"2019/11/07 14:20:00")</f>
        <v>2019/11/07 14:20:00</v>
      </c>
      <c r="H415" s="10" t="str">
        <f>IFERROR(__xludf.DUMMYFUNCTION("""COMPUTED_VALUE"""),"f72b995c-5b25-443d-b7e6-9c255da1688c")</f>
        <v>f72b995c-5b25-443d-b7e6-9c255da1688c</v>
      </c>
      <c r="I415" s="10" t="str">
        <f>IFERROR(__xludf.DUMMYFUNCTION("""COMPUTED_VALUE"""),"f72b995c-5b25-443d-b7e6-9c255da1688c")</f>
        <v>f72b995c-5b25-443d-b7e6-9c255da1688c</v>
      </c>
    </row>
    <row r="416">
      <c r="A416" s="10" t="str">
        <f>IFERROR(__xludf.DUMMYFUNCTION("""COMPUTED_VALUE"""),"PITCH group round 4")</f>
        <v>PITCH group round 4</v>
      </c>
      <c r="B416" s="10" t="str">
        <f>IFERROR(__xludf.DUMMYFUNCTION("""COMPUTED_VALUE"""),"")</f>
        <v/>
      </c>
      <c r="C416" s="10" t="str">
        <f>IFERROR(__xludf.DUMMYFUNCTION("""COMPUTED_VALUE"""),"")</f>
        <v/>
      </c>
      <c r="D416" s="10" t="str">
        <f>IFERROR(__xludf.DUMMYFUNCTION("""COMPUTED_VALUE"""),"Rashmi Gopinath
Ramin Behzadi
Lais de Oliveira
Tanja Koch
Mário Guerreiro
Rui Barros
Alexey Kistenev
Mitchell Buhling
Sarah Merrick
Arif Abed
Karl Naim
Tanel Orro")</f>
        <v>Rashmi Gopinath
Ramin Behzadi
Lais de Oliveira
Tanja Koch
Mário Guerreiro
Rui Barros
Alexey Kistenev
Mitchell Buhling
Sarah Merrick
Arif Abed
Karl Naim
Tanel Orro</v>
      </c>
      <c r="E416" s="10" t="str">
        <f>IFERROR(__xludf.DUMMYFUNCTION("""COMPUTED_VALUE"""),"Rashmi Gopinath
Ramin Behzadi
Lais de Oliveira
Tanja Koch
Mário Guerreiro
Rui Barros
Alexey Kistenev
Mitchell Buhling
Sarah Merrick
Arif Abed
Karl Naim
Tanel Orro")</f>
        <v>Rashmi Gopinath
Ramin Behzadi
Lais de Oliveira
Tanja Koch
Mário Guerreiro
Rui Barros
Alexey Kistenev
Mitchell Buhling
Sarah Merrick
Arif Abed
Karl Naim
Tanel Orro</v>
      </c>
      <c r="F416" s="10" t="str">
        <f>IFERROR(__xludf.DUMMYFUNCTION("""COMPUTED_VALUE"""),"")</f>
        <v/>
      </c>
      <c r="G416" s="10" t="str">
        <f>IFERROR(__xludf.DUMMYFUNCTION("""COMPUTED_VALUE"""),"")</f>
        <v/>
      </c>
      <c r="H416" s="10" t="str">
        <f>IFERROR(__xludf.DUMMYFUNCTION("""COMPUTED_VALUE"""),"a3e482f3-d849-5ddd-8018-22e53f23e89b")</f>
        <v>a3e482f3-d849-5ddd-8018-22e53f23e89b</v>
      </c>
      <c r="I416" s="10" t="str">
        <f>IFERROR(__xludf.DUMMYFUNCTION("""COMPUTED_VALUE"""),"a3e482f3-d849-5ddd-8018-22e53f23e89b")</f>
        <v>a3e482f3-d849-5ddd-8018-22e53f23e89b</v>
      </c>
    </row>
    <row r="417">
      <c r="A417" s="10" t="str">
        <f>IFERROR(__xludf.DUMMYFUNCTION("""COMPUTED_VALUE"""),"The power of influence")</f>
        <v>The power of influence</v>
      </c>
      <c r="B417" s="10" t="str">
        <f>IFERROR(__xludf.DUMMYFUNCTION("""COMPUTED_VALUE"""),"Is the era of the influencer coming to an end or are we more in thrall with the lives of social media stars than ever before? In this talk find out from two people on the front line of online media content what the future looks like for social. ")</f>
        <v>Is the era of the influencer coming to an end or are we more in thrall with the lives of social media stars than ever before? In this talk find out from two people on the front line of online media content what the future looks like for social. </v>
      </c>
      <c r="C417" s="10" t="str">
        <f>IFERROR(__xludf.DUMMYFUNCTION("""COMPUTED_VALUE"""),"ContentMakers")</f>
        <v>ContentMakers</v>
      </c>
      <c r="D417" s="10" t="str">
        <f>IFERROR(__xludf.DUMMYFUNCTION("""COMPUTED_VALUE"""),"Caspar Lee, Ben Jeffries and Ali Aydin")</f>
        <v>Caspar Lee, Ben Jeffries and Ali Aydin</v>
      </c>
      <c r="E417" s="10" t="str">
        <f>IFERROR(__xludf.DUMMYFUNCTION("""COMPUTED_VALUE"""),"Caspar Lee,Ben Jeffries,Ali Aydin")</f>
        <v>Caspar Lee,Ben Jeffries,Ali Aydin</v>
      </c>
      <c r="F417" s="10" t="str">
        <f>IFERROR(__xludf.DUMMYFUNCTION("""COMPUTED_VALUE"""),"2019/11/07 12:35:00")</f>
        <v>2019/11/07 12:35:00</v>
      </c>
      <c r="G417" s="10" t="str">
        <f>IFERROR(__xludf.DUMMYFUNCTION("""COMPUTED_VALUE"""),"2019/11/07 13:00:00")</f>
        <v>2019/11/07 13:00:00</v>
      </c>
      <c r="H417" s="10" t="str">
        <f>IFERROR(__xludf.DUMMYFUNCTION("""COMPUTED_VALUE"""),"ec27f57b-666c-4cb9-88a8-d6660ef1cf70")</f>
        <v>ec27f57b-666c-4cb9-88a8-d6660ef1cf70</v>
      </c>
      <c r="I417" s="10" t="str">
        <f>IFERROR(__xludf.DUMMYFUNCTION("""COMPUTED_VALUE"""),"ec27f57b-666c-4cb9-88a8-d6660ef1cf70")</f>
        <v>ec27f57b-666c-4cb9-88a8-d6660ef1cf70</v>
      </c>
    </row>
    <row r="418">
      <c r="A418" s="10" t="str">
        <f>IFERROR(__xludf.DUMMYFUNCTION("""COMPUTED_VALUE"""),"Leadership lessons from sport")</f>
        <v>Leadership lessons from sport</v>
      </c>
      <c r="B418" s="10" t="str">
        <f>IFERROR(__xludf.DUMMYFUNCTION("""COMPUTED_VALUE"""),"Respect is earned not given, leadership is learned through hard work, sacrifice and dedication. Some of the most influential people in their field share what sport has thought them about leading.")</f>
        <v>Respect is earned not given, leadership is learned through hard work, sacrifice and dedication. Some of the most influential people in their field share what sport has thought them about leading.</v>
      </c>
      <c r="C418" s="10" t="str">
        <f>IFERROR(__xludf.DUMMYFUNCTION("""COMPUTED_VALUE"""),"SportsTrade")</f>
        <v>SportsTrade</v>
      </c>
      <c r="D418" s="10" t="str">
        <f>IFERROR(__xludf.DUMMYFUNCTION("""COMPUTED_VALUE"""),"Alejandro Agag, Antonina Shevchenko, Liv Boeree, Valentina Shevchenko and Miguel Delaney")</f>
        <v>Alejandro Agag, Antonina Shevchenko, Liv Boeree, Valentina Shevchenko and Miguel Delaney</v>
      </c>
      <c r="E418" s="10" t="str">
        <f>IFERROR(__xludf.DUMMYFUNCTION("""COMPUTED_VALUE"""),"Alejandro Agag,Antonina Shevchenko,Liv Boeree,Valentina Shevchenko,Miguel Delaney")</f>
        <v>Alejandro Agag,Antonina Shevchenko,Liv Boeree,Valentina Shevchenko,Miguel Delaney</v>
      </c>
      <c r="F418" s="10" t="str">
        <f>IFERROR(__xludf.DUMMYFUNCTION("""COMPUTED_VALUE"""),"2019/11/05 14:05:00")</f>
        <v>2019/11/05 14:05:00</v>
      </c>
      <c r="G418" s="10" t="str">
        <f>IFERROR(__xludf.DUMMYFUNCTION("""COMPUTED_VALUE"""),"2019/11/05 14:25:00")</f>
        <v>2019/11/05 14:25:00</v>
      </c>
      <c r="H418" s="10" t="str">
        <f>IFERROR(__xludf.DUMMYFUNCTION("""COMPUTED_VALUE"""),"5cf5a864-bfdb-4980-be07-0ce909a15f4c")</f>
        <v>5cf5a864-bfdb-4980-be07-0ce909a15f4c</v>
      </c>
      <c r="I418" s="10" t="str">
        <f>IFERROR(__xludf.DUMMYFUNCTION("""COMPUTED_VALUE"""),"5cf5a864-bfdb-4980-be07-0ce909a15f4c")</f>
        <v>5cf5a864-bfdb-4980-be07-0ce909a15f4c</v>
      </c>
    </row>
    <row r="419">
      <c r="A419" s="10" t="str">
        <f>IFERROR(__xludf.DUMMYFUNCTION("""COMPUTED_VALUE"""),"(Lab-grown) diamonds are a brand's best friend")</f>
        <v>(Lab-grown) diamonds are a brand's best friend</v>
      </c>
      <c r="B419" s="10" t="str">
        <f>IFERROR(__xludf.DUMMYFUNCTION("""COMPUTED_VALUE"""),"The development of lab-grown diamonds has been transformative for the jewelry industry. In this panel, Sally Morrison, CMO of Lightbox Jewelry and Rosemarie Ryan, Co-CEO of Co: Collective will discuss how a disruptive product can serve as a jumping off po"&amp;"int to build not only a disruptive brand but an entirely new market. ")</f>
        <v>The development of lab-grown diamonds has been transformative for the jewelry industry. In this panel, Sally Morrison, CMO of Lightbox Jewelry and Rosemarie Ryan, Co-CEO of Co: Collective will discuss how a disruptive product can serve as a jumping off point to build not only a disruptive brand but an entirely new market. </v>
      </c>
      <c r="C419" s="10" t="str">
        <f>IFERROR(__xludf.DUMMYFUNCTION("""COMPUTED_VALUE"""),"Modum")</f>
        <v>Modum</v>
      </c>
      <c r="D419" s="10" t="str">
        <f>IFERROR(__xludf.DUMMYFUNCTION("""COMPUTED_VALUE"""),"Rosemarie Ryan, Sally Morrison and Joana Petiz")</f>
        <v>Rosemarie Ryan, Sally Morrison and Joana Petiz</v>
      </c>
      <c r="E419" s="10" t="str">
        <f>IFERROR(__xludf.DUMMYFUNCTION("""COMPUTED_VALUE"""),"Rosemarie Ryan,Sally Morrison,Joana Petiz")</f>
        <v>Rosemarie Ryan,Sally Morrison,Joana Petiz</v>
      </c>
      <c r="F419" s="10" t="str">
        <f>IFERROR(__xludf.DUMMYFUNCTION("""COMPUTED_VALUE"""),"2019/11/07 15:25:00")</f>
        <v>2019/11/07 15:25:00</v>
      </c>
      <c r="G419" s="10" t="str">
        <f>IFERROR(__xludf.DUMMYFUNCTION("""COMPUTED_VALUE"""),"2019/11/07 15:45:00")</f>
        <v>2019/11/07 15:45:00</v>
      </c>
      <c r="H419" s="10" t="str">
        <f>IFERROR(__xludf.DUMMYFUNCTION("""COMPUTED_VALUE"""),"03f6221f-cfdc-4252-9d31-2b978d683588")</f>
        <v>03f6221f-cfdc-4252-9d31-2b978d683588</v>
      </c>
      <c r="I419" s="10" t="str">
        <f>IFERROR(__xludf.DUMMYFUNCTION("""COMPUTED_VALUE"""),"03f6221f-cfdc-4252-9d31-2b978d683588")</f>
        <v>03f6221f-cfdc-4252-9d31-2b978d683588</v>
      </c>
    </row>
    <row r="420">
      <c r="A420" s="10" t="str">
        <f>IFERROR(__xludf.DUMMYFUNCTION("""COMPUTED_VALUE"""),"Opening remarks")</f>
        <v>Opening remarks</v>
      </c>
      <c r="B420" s="10" t="str">
        <f>IFERROR(__xludf.DUMMYFUNCTION("""COMPUTED_VALUE"""),"")</f>
        <v/>
      </c>
      <c r="C420" s="10" t="str">
        <f>IFERROR(__xludf.DUMMYFUNCTION("""COMPUTED_VALUE"""),"PandaConf")</f>
        <v>PandaConf</v>
      </c>
      <c r="D420" s="10" t="str">
        <f>IFERROR(__xludf.DUMMYFUNCTION("""COMPUTED_VALUE"""),"Cynthia Johnson")</f>
        <v>Cynthia Johnson</v>
      </c>
      <c r="E420" s="10" t="str">
        <f>IFERROR(__xludf.DUMMYFUNCTION("""COMPUTED_VALUE"""),"Cynthia Johnson")</f>
        <v>Cynthia Johnson</v>
      </c>
      <c r="F420" s="10" t="str">
        <f>IFERROR(__xludf.DUMMYFUNCTION("""COMPUTED_VALUE"""),"2019/11/07 10:45:00")</f>
        <v>2019/11/07 10:45:00</v>
      </c>
      <c r="G420" s="10" t="str">
        <f>IFERROR(__xludf.DUMMYFUNCTION("""COMPUTED_VALUE"""),"2019/11/07 11:00:00")</f>
        <v>2019/11/07 11:00:00</v>
      </c>
      <c r="H420" s="10" t="str">
        <f>IFERROR(__xludf.DUMMYFUNCTION("""COMPUTED_VALUE"""),"3265e843-4d4c-4cb5-9d4f-a7379991b0db")</f>
        <v>3265e843-4d4c-4cb5-9d4f-a7379991b0db</v>
      </c>
      <c r="I420" s="10" t="str">
        <f>IFERROR(__xludf.DUMMYFUNCTION("""COMPUTED_VALUE"""),"3265e843-4d4c-4cb5-9d4f-a7379991b0db")</f>
        <v>3265e843-4d4c-4cb5-9d4f-a7379991b0db</v>
      </c>
    </row>
    <row r="421">
      <c r="A421" s="10" t="str">
        <f>IFERROR(__xludf.DUMMYFUNCTION("""COMPUTED_VALUE"""),"Join Samsung NEXT to learn how to build, grow, and scale your business")</f>
        <v>Join Samsung NEXT to learn how to build, grow, and scale your business</v>
      </c>
      <c r="B421" s="10"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v>
      </c>
      <c r="C421" s="10" t="str">
        <f>IFERROR(__xludf.DUMMYFUNCTION("""COMPUTED_VALUE"""),"Samsung NEXT, E130, FIL 1")</f>
        <v>Samsung NEXT, E130, FIL 1</v>
      </c>
      <c r="D421" s="10" t="str">
        <f>IFERROR(__xludf.DUMMYFUNCTION("""COMPUTED_VALUE"""),"")</f>
        <v/>
      </c>
      <c r="E421" s="10" t="str">
        <f>IFERROR(__xludf.DUMMYFUNCTION("""COMPUTED_VALUE"""),"")</f>
        <v/>
      </c>
      <c r="F421" s="10" t="str">
        <f>IFERROR(__xludf.DUMMYFUNCTION("""COMPUTED_VALUE"""),"2019/11/07 10:15:00")</f>
        <v>2019/11/07 10:15:00</v>
      </c>
      <c r="G421" s="10" t="str">
        <f>IFERROR(__xludf.DUMMYFUNCTION("""COMPUTED_VALUE"""),"2019/11/07 16:00:00")</f>
        <v>2019/11/07 16:00:00</v>
      </c>
      <c r="H421" s="10" t="str">
        <f>IFERROR(__xludf.DUMMYFUNCTION("""COMPUTED_VALUE"""),"be166a9e-6c6c-445c-b7f1-92e8e79933d3")</f>
        <v>be166a9e-6c6c-445c-b7f1-92e8e79933d3</v>
      </c>
      <c r="I421" s="10" t="str">
        <f>IFERROR(__xludf.DUMMYFUNCTION("""COMPUTED_VALUE"""),"be166a9e-6c6c-445c-b7f1-92e8e79933d3")</f>
        <v>be166a9e-6c6c-445c-b7f1-92e8e79933d3</v>
      </c>
    </row>
    <row r="422">
      <c r="A422" s="10" t="str">
        <f>IFERROR(__xludf.DUMMYFUNCTION("""COMPUTED_VALUE"""),"Europe's next tech titan")</f>
        <v>Europe's next tech titan</v>
      </c>
      <c r="B422" s="10" t="str">
        <f>IFERROR(__xludf.DUMMYFUNCTION("""COMPUTED_VALUE"""),"Access to capital has improved hugely in Europe, combined with continued ambition, a constant reinvention of the product and a willingness to embrace risk, is it enough to take the Spotifys, Farfetchs and Adyens of Europe to a scale that can rival the Ube"&amp;"rs and Facebooks of Silicon Valley?")</f>
        <v>Access to capital has improved hugely in Europe, combined with continued ambition, a constant reinvention of the product and a willingness to embrace risk, is it enough to take the Spotifys, Farfetchs and Adyens of Europe to a scale that can rival the Ubers and Facebooks of Silicon Valley?</v>
      </c>
      <c r="C422" s="10" t="str">
        <f>IFERROR(__xludf.DUMMYFUNCTION("""COMPUTED_VALUE"""),"Venture stage")</f>
        <v>Venture stage</v>
      </c>
      <c r="D422" s="10" t="str">
        <f>IFERROR(__xludf.DUMMYFUNCTION("""COMPUTED_VALUE"""),"Manish Madhvani")</f>
        <v>Manish Madhvani</v>
      </c>
      <c r="E422" s="10" t="str">
        <f>IFERROR(__xludf.DUMMYFUNCTION("""COMPUTED_VALUE"""),"Manish Madhvani")</f>
        <v>Manish Madhvani</v>
      </c>
      <c r="F422" s="10" t="str">
        <f>IFERROR(__xludf.DUMMYFUNCTION("""COMPUTED_VALUE"""),"2019/11/07 11:35:00")</f>
        <v>2019/11/07 11:35:00</v>
      </c>
      <c r="G422" s="10" t="str">
        <f>IFERROR(__xludf.DUMMYFUNCTION("""COMPUTED_VALUE"""),"2019/11/07 11:55:00")</f>
        <v>2019/11/07 11:55:00</v>
      </c>
      <c r="H422" s="10" t="str">
        <f>IFERROR(__xludf.DUMMYFUNCTION("""COMPUTED_VALUE"""),"203e4603-9cbb-4f30-9291-0c3e5e63df4e")</f>
        <v>203e4603-9cbb-4f30-9291-0c3e5e63df4e</v>
      </c>
      <c r="I422" s="10" t="str">
        <f>IFERROR(__xludf.DUMMYFUNCTION("""COMPUTED_VALUE"""),"203e4603-9cbb-4f30-9291-0c3e5e63df4e")</f>
        <v>203e4603-9cbb-4f30-9291-0c3e5e63df4e</v>
      </c>
    </row>
    <row r="423">
      <c r="A423" s="10" t="str">
        <f>IFERROR(__xludf.DUMMYFUNCTION("""COMPUTED_VALUE"""),"Reimagining healthcare: Why incentives matter")</f>
        <v>Reimagining healthcare: Why incentives matter</v>
      </c>
      <c r="B423" s="10" t="str">
        <f>IFERROR(__xludf.DUMMYFUNCTION("""COMPUTED_VALUE"""),"Joe is the CEO of Karuna Health, a startup giving every patient a guide in the healthcare system. Why work in healthcare? Why now? What role will regulation and incentives play in shaping your success or failure? Want your work to make a difference? This "&amp;"is the conversation to join.")</f>
        <v>Joe is the CEO of Karuna Health, a startup giving every patient a guide in the healthcare system. Why work in healthcare? Why now? What role will regulation and incentives play in shaping your success or failure? Want your work to make a difference? This is the conversation to join.</v>
      </c>
      <c r="C423" s="10" t="str">
        <f>IFERROR(__xludf.DUMMYFUNCTION("""COMPUTED_VALUE"""),"Growth Summit")</f>
        <v>Growth Summit</v>
      </c>
      <c r="D423" s="10" t="str">
        <f>IFERROR(__xludf.DUMMYFUNCTION("""COMPUTED_VALUE"""),"Joe Kahn")</f>
        <v>Joe Kahn</v>
      </c>
      <c r="E423" s="10" t="str">
        <f>IFERROR(__xludf.DUMMYFUNCTION("""COMPUTED_VALUE"""),"Joe Kahn")</f>
        <v>Joe Kahn</v>
      </c>
      <c r="F423" s="10" t="str">
        <f>IFERROR(__xludf.DUMMYFUNCTION("""COMPUTED_VALUE"""),"2019/11/05 10:42:00")</f>
        <v>2019/11/05 10:42:00</v>
      </c>
      <c r="G423" s="10" t="str">
        <f>IFERROR(__xludf.DUMMYFUNCTION("""COMPUTED_VALUE"""),"2019/11/05 10:46:00")</f>
        <v>2019/11/05 10:46:00</v>
      </c>
      <c r="H423" s="10" t="str">
        <f>IFERROR(__xludf.DUMMYFUNCTION("""COMPUTED_VALUE"""),"e7c4b4fe-1c4f-42ed-9a4e-d2e4b31edbaf")</f>
        <v>e7c4b4fe-1c4f-42ed-9a4e-d2e4b31edbaf</v>
      </c>
      <c r="I423" s="10" t="str">
        <f>IFERROR(__xludf.DUMMYFUNCTION("""COMPUTED_VALUE"""),"e7c4b4fe-1c4f-42ed-9a4e-d2e4b31edbaf")</f>
        <v>e7c4b4fe-1c4f-42ed-9a4e-d2e4b31edbaf</v>
      </c>
    </row>
    <row r="424">
      <c r="A424" s="10" t="str">
        <f>IFERROR(__xludf.DUMMYFUNCTION("""COMPUTED_VALUE"""),"Hello digital, goodbye friction: How an iconic American retailer has “gone tech”")</f>
        <v>Hello digital, goodbye friction: How an iconic American retailer has “gone tech”</v>
      </c>
      <c r="B424" s="10" t="str">
        <f>IFERROR(__xludf.DUMMYFUNCTION("""COMPUTED_VALUE"""),"Sam's Club, the membership warehouse arm of retail giant Walmart, is undergoing the greatest transformation in its history. As technology continues to change the way consumers interact with retailers, we delve into the journey of one of the industry’s mos"&amp;"t talked about evolutions")</f>
        <v>Sam's Club, the membership warehouse arm of retail giant Walmart, is undergoing the greatest transformation in its history. As technology continues to change the way consumers interact with retailers, we delve into the journey of one of the industry’s most talked about evolutions</v>
      </c>
      <c r="C424" s="10" t="str">
        <f>IFERROR(__xludf.DUMMYFUNCTION("""COMPUTED_VALUE"""),"Corporate Innovation Summit")</f>
        <v>Corporate Innovation Summit</v>
      </c>
      <c r="D424" s="10" t="str">
        <f>IFERROR(__xludf.DUMMYFUNCTION("""COMPUTED_VALUE"""),"Jamie Iannone and Alyssa Newcomb")</f>
        <v>Jamie Iannone and Alyssa Newcomb</v>
      </c>
      <c r="E424" s="10" t="str">
        <f>IFERROR(__xludf.DUMMYFUNCTION("""COMPUTED_VALUE"""),"Jamie Iannone,Alyssa Newcomb")</f>
        <v>Jamie Iannone,Alyssa Newcomb</v>
      </c>
      <c r="F424" s="10" t="str">
        <f>IFERROR(__xludf.DUMMYFUNCTION("""COMPUTED_VALUE"""),"2019/11/06 10:30:00")</f>
        <v>2019/11/06 10:30:00</v>
      </c>
      <c r="G424" s="10" t="str">
        <f>IFERROR(__xludf.DUMMYFUNCTION("""COMPUTED_VALUE"""),"2019/11/06 10:45:00")</f>
        <v>2019/11/06 10:45:00</v>
      </c>
      <c r="H424" s="10" t="str">
        <f>IFERROR(__xludf.DUMMYFUNCTION("""COMPUTED_VALUE"""),"d2214fc6-73d6-4763-a9b6-9af196749714")</f>
        <v>d2214fc6-73d6-4763-a9b6-9af196749714</v>
      </c>
      <c r="I424" s="10" t="str">
        <f>IFERROR(__xludf.DUMMYFUNCTION("""COMPUTED_VALUE"""),"d2214fc6-73d6-4763-a9b6-9af196749714")</f>
        <v>d2214fc6-73d6-4763-a9b6-9af196749714</v>
      </c>
    </row>
    <row r="425">
      <c r="A425" s="10" t="str">
        <f>IFERROR(__xludf.DUMMYFUNCTION("""COMPUTED_VALUE"""),"Bootstrapping creativity: Leading a creative team ")</f>
        <v>Bootstrapping creativity: Leading a creative team </v>
      </c>
      <c r="B425" s="10" t="str">
        <f>IFERROR(__xludf.DUMMYFUNCTION("""COMPUTED_VALUE"""),"In a world where content is king: The company behind viral sensation Baby Shark, an award winning studio, and theleading creative tools provider talk about how to toe the line between creative freedom, and paying the bills.")</f>
        <v>In a world where content is king: The company behind viral sensation Baby Shark, an award winning studio, and theleading creative tools provider talk about how to toe the line between creative freedom, and paying the bills.</v>
      </c>
      <c r="C425" s="10" t="str">
        <f>IFERROR(__xludf.DUMMYFUNCTION("""COMPUTED_VALUE"""),"Startup University")</f>
        <v>Startup University</v>
      </c>
      <c r="D425" s="10" t="str">
        <f>IFERROR(__xludf.DUMMYFUNCTION("""COMPUTED_VALUE"""),"Ryan Lee, Margaret Molloy, Georg Petschnigg and Stewart Rogers")</f>
        <v>Ryan Lee, Margaret Molloy, Georg Petschnigg and Stewart Rogers</v>
      </c>
      <c r="E425" s="10" t="str">
        <f>IFERROR(__xludf.DUMMYFUNCTION("""COMPUTED_VALUE"""),"Ryan Lee,Margaret Molloy,Georg Petschnigg,Stewart Rogers")</f>
        <v>Ryan Lee,Margaret Molloy,Georg Petschnigg,Stewart Rogers</v>
      </c>
      <c r="F425" s="10" t="str">
        <f>IFERROR(__xludf.DUMMYFUNCTION("""COMPUTED_VALUE"""),"2019/11/05 14:40:00")</f>
        <v>2019/11/05 14:40:00</v>
      </c>
      <c r="G425" s="10" t="str">
        <f>IFERROR(__xludf.DUMMYFUNCTION("""COMPUTED_VALUE"""),"2019/11/05 15:05:00")</f>
        <v>2019/11/05 15:05:00</v>
      </c>
      <c r="H425" s="10" t="str">
        <f>IFERROR(__xludf.DUMMYFUNCTION("""COMPUTED_VALUE"""),"c69a7e17-e921-4bac-99f6-4982eb059f6b")</f>
        <v>c69a7e17-e921-4bac-99f6-4982eb059f6b</v>
      </c>
      <c r="I425" s="10" t="str">
        <f>IFERROR(__xludf.DUMMYFUNCTION("""COMPUTED_VALUE"""),"c69a7e17-e921-4bac-99f6-4982eb059f6b")</f>
        <v>c69a7e17-e921-4bac-99f6-4982eb059f6b</v>
      </c>
    </row>
    <row r="426">
      <c r="A426" s="10" t="str">
        <f>IFERROR(__xludf.DUMMYFUNCTION("""COMPUTED_VALUE"""),"Inside Facebook’s SaaS company")</f>
        <v>Inside Facebook’s SaaS company</v>
      </c>
      <c r="B426" s="10" t="str">
        <f>IFERROR(__xludf.DUMMYFUNCTION("""COMPUTED_VALUE"""),"Enterprise collaboration, communication and laying the groundwork for the future world of work is becoming increasingly important to businesses of all sizes. Facebook's Workplace Global Head, Julien Codorniou, discusses why Facebook is moving into the ent"&amp;"erprise SaaS industry ")</f>
        <v>Enterprise collaboration, communication and laying the groundwork for the future world of work is becoming increasingly important to businesses of all sizes. Facebook's Workplace Global Head, Julien Codorniou, discusses why Facebook is moving into the enterprise SaaS industry </v>
      </c>
      <c r="C426" s="10" t="str">
        <f>IFERROR(__xludf.DUMMYFUNCTION("""COMPUTED_VALUE"""),"SaaS Monster")</f>
        <v>SaaS Monster</v>
      </c>
      <c r="D426" s="10" t="str">
        <f>IFERROR(__xludf.DUMMYFUNCTION("""COMPUTED_VALUE"""),"Julien Codorniou and Elizabeth Schulze")</f>
        <v>Julien Codorniou and Elizabeth Schulze</v>
      </c>
      <c r="E426" s="10" t="str">
        <f>IFERROR(__xludf.DUMMYFUNCTION("""COMPUTED_VALUE"""),"Julien Codorniou,Elizabeth Schulze")</f>
        <v>Julien Codorniou,Elizabeth Schulze</v>
      </c>
      <c r="F426" s="10" t="str">
        <f>IFERROR(__xludf.DUMMYFUNCTION("""COMPUTED_VALUE"""),"2019/11/05 10:50:00")</f>
        <v>2019/11/05 10:50:00</v>
      </c>
      <c r="G426" s="10" t="str">
        <f>IFERROR(__xludf.DUMMYFUNCTION("""COMPUTED_VALUE"""),"2019/11/05 11:10:00")</f>
        <v>2019/11/05 11:10:00</v>
      </c>
      <c r="H426" s="10" t="str">
        <f>IFERROR(__xludf.DUMMYFUNCTION("""COMPUTED_VALUE"""),"39212513-fefc-4de6-8644-66f905489c46")</f>
        <v>39212513-fefc-4de6-8644-66f905489c46</v>
      </c>
      <c r="I426" s="10" t="str">
        <f>IFERROR(__xludf.DUMMYFUNCTION("""COMPUTED_VALUE"""),"39212513-fefc-4de6-8644-66f905489c46")</f>
        <v>39212513-fefc-4de6-8644-66f905489c46</v>
      </c>
    </row>
    <row r="427">
      <c r="A427" s="10" t="str">
        <f>IFERROR(__xludf.DUMMYFUNCTION("""COMPUTED_VALUE"""),"How to be a leader in the autotech space")</f>
        <v>How to be a leader in the autotech space</v>
      </c>
      <c r="B427" s="10" t="str">
        <f>IFERROR(__xludf.DUMMYFUNCTION("""COMPUTED_VALUE"""),"What does it take to get a billion dollar auto company off the ground in Europe? Let's find out.")</f>
        <v>What does it take to get a billion dollar auto company off the ground in Europe? Let's find out.</v>
      </c>
      <c r="C427" s="10" t="str">
        <f>IFERROR(__xludf.DUMMYFUNCTION("""COMPUTED_VALUE"""),"Auto/Tech &amp; TalkRobot")</f>
        <v>Auto/Tech &amp; TalkRobot</v>
      </c>
      <c r="D427" s="10" t="str">
        <f>IFERROR(__xludf.DUMMYFUNCTION("""COMPUTED_VALUE"""),"Corinne Vigreux, Nicolas Brusson and Jonathan Weber")</f>
        <v>Corinne Vigreux, Nicolas Brusson and Jonathan Weber</v>
      </c>
      <c r="E427" s="10" t="str">
        <f>IFERROR(__xludf.DUMMYFUNCTION("""COMPUTED_VALUE"""),"Corinne Vigreux,Nicolas Brusson,Jonathan Weber")</f>
        <v>Corinne Vigreux,Nicolas Brusson,Jonathan Weber</v>
      </c>
      <c r="F427" s="10" t="str">
        <f>IFERROR(__xludf.DUMMYFUNCTION("""COMPUTED_VALUE"""),"2019/11/05 15:45:00")</f>
        <v>2019/11/05 15:45:00</v>
      </c>
      <c r="G427" s="10" t="str">
        <f>IFERROR(__xludf.DUMMYFUNCTION("""COMPUTED_VALUE"""),"2019/11/05 16:05:00")</f>
        <v>2019/11/05 16:05:00</v>
      </c>
      <c r="H427" s="10" t="str">
        <f>IFERROR(__xludf.DUMMYFUNCTION("""COMPUTED_VALUE"""),"cfe33ce2-e349-4ac0-bee4-a1132de86dd3")</f>
        <v>cfe33ce2-e349-4ac0-bee4-a1132de86dd3</v>
      </c>
      <c r="I427" s="10" t="str">
        <f>IFERROR(__xludf.DUMMYFUNCTION("""COMPUTED_VALUE"""),"cfe33ce2-e349-4ac0-bee4-a1132de86dd3")</f>
        <v>cfe33ce2-e349-4ac0-bee4-a1132de86dd3</v>
      </c>
    </row>
    <row r="428">
      <c r="A428" s="10" t="str">
        <f>IFERROR(__xludf.DUMMYFUNCTION("""COMPUTED_VALUE"""),"The age of AI: Promises and challenges")</f>
        <v>The age of AI: Promises and challenges</v>
      </c>
      <c r="B428" s="10" t="str">
        <f>IFERROR(__xludf.DUMMYFUNCTION("""COMPUTED_VALUE"""),"Over the next 20 years, AI will enable unprecedented advancement in areas like healthcare, agriculture, education and transportation. But how do we ensure that AI is designed and used responsibly, establishing ethical principles to protect people? How sho"&amp;"uld we govern its use? And how will AI impact employment and jobs?")</f>
        <v>Over the next 20 years, AI will enable unprecedented advancement in areas like healthcare, agriculture, education and transportation. But how do we ensure that AI is designed and used responsibly, establishing ethical principles to protect people? How should we govern its use? And how will AI impact employment and jobs?</v>
      </c>
      <c r="C428" s="10" t="str">
        <f>IFERROR(__xludf.DUMMYFUNCTION("""COMPUTED_VALUE"""),"SaaS Monster")</f>
        <v>SaaS Monster</v>
      </c>
      <c r="D428" s="10" t="str">
        <f>IFERROR(__xludf.DUMMYFUNCTION("""COMPUTED_VALUE"""),"Brad Smith and Sara Fischer")</f>
        <v>Brad Smith and Sara Fischer</v>
      </c>
      <c r="E428" s="10" t="str">
        <f>IFERROR(__xludf.DUMMYFUNCTION("""COMPUTED_VALUE"""),"Brad Smith,Sara Fischer")</f>
        <v>Brad Smith,Sara Fischer</v>
      </c>
      <c r="F428" s="10" t="str">
        <f>IFERROR(__xludf.DUMMYFUNCTION("""COMPUTED_VALUE"""),"2019/11/05 15:25:00")</f>
        <v>2019/11/05 15:25:00</v>
      </c>
      <c r="G428" s="10" t="str">
        <f>IFERROR(__xludf.DUMMYFUNCTION("""COMPUTED_VALUE"""),"2019/11/05 15:45:00")</f>
        <v>2019/11/05 15:45:00</v>
      </c>
      <c r="H428" s="10" t="str">
        <f>IFERROR(__xludf.DUMMYFUNCTION("""COMPUTED_VALUE"""),"e7124751-1822-4351-9321-5e8fc558b281")</f>
        <v>e7124751-1822-4351-9321-5e8fc558b281</v>
      </c>
      <c r="I428" s="10" t="str">
        <f>IFERROR(__xludf.DUMMYFUNCTION("""COMPUTED_VALUE"""),"e7124751-1822-4351-9321-5e8fc558b281")</f>
        <v>e7124751-1822-4351-9321-5e8fc558b281</v>
      </c>
    </row>
    <row r="429">
      <c r="A429" s="10" t="str">
        <f>IFERROR(__xludf.DUMMYFUNCTION("""COMPUTED_VALUE"""),"How do we overcome the gender gap?")</f>
        <v>How do we overcome the gender gap?</v>
      </c>
      <c r="B429" s="10" t="str">
        <f>IFERROR(__xludf.DUMMYFUNCTION("""COMPUTED_VALUE"""),"In spite of the progress made in recent years, the gender gap remains an unacceptably large chasm. Women are still paid less, they are promoted less, and there are fewer women in management roles across industries. In this session three incredibly influen"&amp;"tial women will discuss how they view what needs to be done in order to eradicate the gender gap once and for all.")</f>
        <v>In spite of the progress made in recent years, the gender gap remains an unacceptably large chasm. Women are still paid less, they are promoted less, and there are fewer women in management roles across industries. In this session three incredibly influential women will discuss how they view what needs to be done in order to eradicate the gender gap once and for all.</v>
      </c>
      <c r="C429" s="10" t="str">
        <f>IFERROR(__xludf.DUMMYFUNCTION("""COMPUTED_VALUE"""),"Future Societies")</f>
        <v>Future Societies</v>
      </c>
      <c r="D429" s="10" t="str">
        <f>IFERROR(__xludf.DUMMYFUNCTION("""COMPUTED_VALUE"""),"Sue Allchurch, Paige VanZant, Michelle Fang and Dima Khatib")</f>
        <v>Sue Allchurch, Paige VanZant, Michelle Fang and Dima Khatib</v>
      </c>
      <c r="E429" s="10" t="str">
        <f>IFERROR(__xludf.DUMMYFUNCTION("""COMPUTED_VALUE"""),"Sue Allchurch,Paige VanZant,Michelle Fang,Dima Khatib")</f>
        <v>Sue Allchurch,Paige VanZant,Michelle Fang,Dima Khatib</v>
      </c>
      <c r="F429" s="10" t="str">
        <f>IFERROR(__xludf.DUMMYFUNCTION("""COMPUTED_VALUE"""),"2019/11/06 10:30:00")</f>
        <v>2019/11/06 10:30:00</v>
      </c>
      <c r="G429" s="10" t="str">
        <f>IFERROR(__xludf.DUMMYFUNCTION("""COMPUTED_VALUE"""),"2019/11/06 10:50:00")</f>
        <v>2019/11/06 10:50:00</v>
      </c>
      <c r="H429" s="10" t="str">
        <f>IFERROR(__xludf.DUMMYFUNCTION("""COMPUTED_VALUE"""),"2a62e204-02e7-446f-9c76-73cb7961cb2b")</f>
        <v>2a62e204-02e7-446f-9c76-73cb7961cb2b</v>
      </c>
      <c r="I429" s="10" t="str">
        <f>IFERROR(__xludf.DUMMYFUNCTION("""COMPUTED_VALUE"""),"2a62e204-02e7-446f-9c76-73cb7961cb2b")</f>
        <v>2a62e204-02e7-446f-9c76-73cb7961cb2b</v>
      </c>
    </row>
    <row r="430">
      <c r="A430" s="10" t="str">
        <f>IFERROR(__xludf.DUMMYFUNCTION("""COMPUTED_VALUE"""),"How to spend money and save people")</f>
        <v>How to spend money and save people</v>
      </c>
      <c r="B430" s="10" t="str">
        <f>IFERROR(__xludf.DUMMYFUNCTION("""COMPUTED_VALUE"""),"Giving money to charity is all well and good, but ensuring that money has a positive impact is another. In this session we will learn about how to best position your philanthropic donations to maximise their impact. Make sure you get maximum bang for your"&amp;" buck.")</f>
        <v>Giving money to charity is all well and good, but ensuring that money has a positive impact is another. In this session we will learn about how to best position your philanthropic donations to maximise their impact. Make sure you get maximum bang for your buck.</v>
      </c>
      <c r="C430" s="10" t="str">
        <f>IFERROR(__xludf.DUMMYFUNCTION("""COMPUTED_VALUE"""),"Future Societies")</f>
        <v>Future Societies</v>
      </c>
      <c r="D430" s="10" t="str">
        <f>IFERROR(__xludf.DUMMYFUNCTION("""COMPUTED_VALUE"""),"Natalie Cargill, Liv Boeree, Danielle Gram and Joon Ian Wong")</f>
        <v>Natalie Cargill, Liv Boeree, Danielle Gram and Joon Ian Wong</v>
      </c>
      <c r="E430" s="10" t="str">
        <f>IFERROR(__xludf.DUMMYFUNCTION("""COMPUTED_VALUE"""),"Natalie Cargill,Liv Boeree,Danielle Gram,Joon Ian Wong")</f>
        <v>Natalie Cargill,Liv Boeree,Danielle Gram,Joon Ian Wong</v>
      </c>
      <c r="F430" s="10" t="str">
        <f>IFERROR(__xludf.DUMMYFUNCTION("""COMPUTED_VALUE"""),"2019/11/06 14:15:00")</f>
        <v>2019/11/06 14:15:00</v>
      </c>
      <c r="G430" s="10" t="str">
        <f>IFERROR(__xludf.DUMMYFUNCTION("""COMPUTED_VALUE"""),"2019/11/06 14:35:00")</f>
        <v>2019/11/06 14:35:00</v>
      </c>
      <c r="H430" s="10" t="str">
        <f>IFERROR(__xludf.DUMMYFUNCTION("""COMPUTED_VALUE"""),"1aadbb27-922d-4b4a-87b9-ae65a8abc066")</f>
        <v>1aadbb27-922d-4b4a-87b9-ae65a8abc066</v>
      </c>
      <c r="I430" s="10" t="str">
        <f>IFERROR(__xludf.DUMMYFUNCTION("""COMPUTED_VALUE"""),"1aadbb27-922d-4b4a-87b9-ae65a8abc066")</f>
        <v>1aadbb27-922d-4b4a-87b9-ae65a8abc066</v>
      </c>
    </row>
    <row r="431">
      <c r="A431" s="10" t="str">
        <f>IFERROR(__xludf.DUMMYFUNCTION("""COMPUTED_VALUE"""),"Opening remarks ")</f>
        <v>Opening remarks </v>
      </c>
      <c r="B431" s="10" t="str">
        <f>IFERROR(__xludf.DUMMYFUNCTION("""COMPUTED_VALUE"""),"")</f>
        <v/>
      </c>
      <c r="C431" s="10" t="str">
        <f>IFERROR(__xludf.DUMMYFUNCTION("""COMPUTED_VALUE"""),"Startup University")</f>
        <v>Startup University</v>
      </c>
      <c r="D431" s="10" t="str">
        <f>IFERROR(__xludf.DUMMYFUNCTION("""COMPUTED_VALUE"""),"Natalie Monbiot")</f>
        <v>Natalie Monbiot</v>
      </c>
      <c r="E431" s="10" t="str">
        <f>IFERROR(__xludf.DUMMYFUNCTION("""COMPUTED_VALUE"""),"Natalie Monbiot")</f>
        <v>Natalie Monbiot</v>
      </c>
      <c r="F431" s="10" t="str">
        <f>IFERROR(__xludf.DUMMYFUNCTION("""COMPUTED_VALUE"""),"2019/11/05 13:45:00")</f>
        <v>2019/11/05 13:45:00</v>
      </c>
      <c r="G431" s="10" t="str">
        <f>IFERROR(__xludf.DUMMYFUNCTION("""COMPUTED_VALUE"""),"2019/11/05 14:00:00")</f>
        <v>2019/11/05 14:00:00</v>
      </c>
      <c r="H431" s="10" t="str">
        <f>IFERROR(__xludf.DUMMYFUNCTION("""COMPUTED_VALUE"""),"4652c0b0-9b47-49fd-b0a6-fc1b237b7b09")</f>
        <v>4652c0b0-9b47-49fd-b0a6-fc1b237b7b09</v>
      </c>
      <c r="I431" s="10" t="str">
        <f>IFERROR(__xludf.DUMMYFUNCTION("""COMPUTED_VALUE"""),"4652c0b0-9b47-49fd-b0a6-fc1b237b7b09")</f>
        <v>4652c0b0-9b47-49fd-b0a6-fc1b237b7b09</v>
      </c>
    </row>
    <row r="432">
      <c r="A432" s="10" t="str">
        <f>IFERROR(__xludf.DUMMYFUNCTION("""COMPUTED_VALUE"""),"Why do we need money?")</f>
        <v>Why do we need money?</v>
      </c>
      <c r="B432" s="10" t="str">
        <f>IFERROR(__xludf.DUMMYFUNCTION("""COMPUTED_VALUE"""),"With the world's underbanked under the global spotlight, there's never been a better time to back fintech. Add to that the emerging possibility of a tech-led world without currency. What's the future of money? Or is there one?")</f>
        <v>With the world's underbanked under the global spotlight, there's never been a better time to back fintech. Add to that the emerging possibility of a tech-led world without currency. What's the future of money? Or is there one?</v>
      </c>
      <c r="C432" s="10" t="str">
        <f>IFERROR(__xludf.DUMMYFUNCTION("""COMPUTED_VALUE"""),"Venture stage")</f>
        <v>Venture stage</v>
      </c>
      <c r="D432" s="10" t="str">
        <f>IFERROR(__xludf.DUMMYFUNCTION("""COMPUTED_VALUE"""),"Simon Schmincke, Tara Reeves, Tim Levene and Joon Ian Wong")</f>
        <v>Simon Schmincke, Tara Reeves, Tim Levene and Joon Ian Wong</v>
      </c>
      <c r="E432" s="10" t="str">
        <f>IFERROR(__xludf.DUMMYFUNCTION("""COMPUTED_VALUE"""),"Simon Schmincke,Tara Reeves,Tim Levene,Joon Ian Wong")</f>
        <v>Simon Schmincke,Tara Reeves,Tim Levene,Joon Ian Wong</v>
      </c>
      <c r="F432" s="10" t="str">
        <f>IFERROR(__xludf.DUMMYFUNCTION("""COMPUTED_VALUE"""),"2019/11/07 15:00:00")</f>
        <v>2019/11/07 15:00:00</v>
      </c>
      <c r="G432" s="10" t="str">
        <f>IFERROR(__xludf.DUMMYFUNCTION("""COMPUTED_VALUE"""),"2019/11/07 15:20:00")</f>
        <v>2019/11/07 15:20:00</v>
      </c>
      <c r="H432" s="10" t="str">
        <f>IFERROR(__xludf.DUMMYFUNCTION("""COMPUTED_VALUE"""),"65397b2d-34eb-419a-8b4f-bc5ad34ae362")</f>
        <v>65397b2d-34eb-419a-8b4f-bc5ad34ae362</v>
      </c>
      <c r="I432" s="10" t="str">
        <f>IFERROR(__xludf.DUMMYFUNCTION("""COMPUTED_VALUE"""),"65397b2d-34eb-419a-8b4f-bc5ad34ae362")</f>
        <v>65397b2d-34eb-419a-8b4f-bc5ad34ae362</v>
      </c>
    </row>
    <row r="433">
      <c r="A433" s="10" t="str">
        <f>IFERROR(__xludf.DUMMYFUNCTION("""COMPUTED_VALUE"""),"Making it better: Good disruptions")</f>
        <v>Making it better: Good disruptions</v>
      </c>
      <c r="B433" s="10" t="str">
        <f>IFERROR(__xludf.DUMMYFUNCTION("""COMPUTED_VALUE"""),"Whoever holds the gold makes the rules. Cash rich investors decide what opportunities and ideas get the green light and which go to idea heaven. This session explores the heavy burden to make the right choices for our collective future.")</f>
        <v>Whoever holds the gold makes the rules. Cash rich investors decide what opportunities and ideas get the green light and which go to idea heaven. This session explores the heavy burden to make the right choices for our collective future.</v>
      </c>
      <c r="C433" s="10" t="str">
        <f>IFERROR(__xludf.DUMMYFUNCTION("""COMPUTED_VALUE"""),"Venture stage")</f>
        <v>Venture stage</v>
      </c>
      <c r="D433" s="10" t="str">
        <f>IFERROR(__xludf.DUMMYFUNCTION("""COMPUTED_VALUE"""),"Saul Klein, Christian Nagel, Jalak Jobanputra, Marcelo de Andrade and Caleb Silver")</f>
        <v>Saul Klein, Christian Nagel, Jalak Jobanputra, Marcelo de Andrade and Caleb Silver</v>
      </c>
      <c r="E433" s="10" t="str">
        <f>IFERROR(__xludf.DUMMYFUNCTION("""COMPUTED_VALUE"""),"Saul Klein,Christian Nagel,Jalak Jobanputra,Marcelo de Andrade,Caleb Silver")</f>
        <v>Saul Klein,Christian Nagel,Jalak Jobanputra,Marcelo de Andrade,Caleb Silver</v>
      </c>
      <c r="F433" s="10" t="str">
        <f>IFERROR(__xludf.DUMMYFUNCTION("""COMPUTED_VALUE"""),"2019/11/05 15:05:00")</f>
        <v>2019/11/05 15:05:00</v>
      </c>
      <c r="G433" s="10" t="str">
        <f>IFERROR(__xludf.DUMMYFUNCTION("""COMPUTED_VALUE"""),"2019/11/05 15:30:00")</f>
        <v>2019/11/05 15:30:00</v>
      </c>
      <c r="H433" s="10" t="str">
        <f>IFERROR(__xludf.DUMMYFUNCTION("""COMPUTED_VALUE"""),"072c453e-222b-4754-bf9a-7acbfc6777da")</f>
        <v>072c453e-222b-4754-bf9a-7acbfc6777da</v>
      </c>
      <c r="I433" s="10" t="str">
        <f>IFERROR(__xludf.DUMMYFUNCTION("""COMPUTED_VALUE"""),"072c453e-222b-4754-bf9a-7acbfc6777da")</f>
        <v>072c453e-222b-4754-bf9a-7acbfc6777da</v>
      </c>
    </row>
    <row r="434">
      <c r="A434" s="10" t="str">
        <f>IFERROR(__xludf.DUMMYFUNCTION("""COMPUTED_VALUE"""),"Beyond the Hype: Getting in flow after CryptoKitties")</f>
        <v>Beyond the Hype: Getting in flow after CryptoKitties</v>
      </c>
      <c r="B434" s="10" t="str">
        <f>IFERROR(__xludf.DUMMYFUNCTION("""COMPUTED_VALUE"""),"Blockchain is one of the most misunderstood waves of emerging technology. Roham discusses Dapper Labs' business-building approach on this new platform and the opportunities developers and entrepreneurs can unlock in the next year.")</f>
        <v>Blockchain is one of the most misunderstood waves of emerging technology. Roham discusses Dapper Labs' business-building approach on this new platform and the opportunities developers and entrepreneurs can unlock in the next year.</v>
      </c>
      <c r="C434" s="10" t="str">
        <f>IFERROR(__xludf.DUMMYFUNCTION("""COMPUTED_VALUE"""),"Growth Summit")</f>
        <v>Growth Summit</v>
      </c>
      <c r="D434" s="10" t="str">
        <f>IFERROR(__xludf.DUMMYFUNCTION("""COMPUTED_VALUE"""),"Roham Gharegozlou")</f>
        <v>Roham Gharegozlou</v>
      </c>
      <c r="E434" s="10" t="str">
        <f>IFERROR(__xludf.DUMMYFUNCTION("""COMPUTED_VALUE"""),"Roham Gharegozlou")</f>
        <v>Roham Gharegozlou</v>
      </c>
      <c r="F434" s="10" t="str">
        <f>IFERROR(__xludf.DUMMYFUNCTION("""COMPUTED_VALUE"""),"2019/11/06 13:58:00")</f>
        <v>2019/11/06 13:58:00</v>
      </c>
      <c r="G434" s="10" t="str">
        <f>IFERROR(__xludf.DUMMYFUNCTION("""COMPUTED_VALUE"""),"2019/11/06 14:09:00")</f>
        <v>2019/11/06 14:09:00</v>
      </c>
      <c r="H434" s="10" t="str">
        <f>IFERROR(__xludf.DUMMYFUNCTION("""COMPUTED_VALUE"""),"30ca1ec0-026d-4add-9299-721bfb182a97")</f>
        <v>30ca1ec0-026d-4add-9299-721bfb182a97</v>
      </c>
      <c r="I434" s="10" t="str">
        <f>IFERROR(__xludf.DUMMYFUNCTION("""COMPUTED_VALUE"""),"30ca1ec0-026d-4add-9299-721bfb182a97")</f>
        <v>30ca1ec0-026d-4add-9299-721bfb182a97</v>
      </c>
    </row>
    <row r="435">
      <c r="A435" s="10" t="str">
        <f>IFERROR(__xludf.DUMMYFUNCTION("""COMPUTED_VALUE"""),"How to build digital relationships with your customers")</f>
        <v>How to build digital relationships with your customers</v>
      </c>
      <c r="B435" s="10" t="str">
        <f>IFERROR(__xludf.DUMMYFUNCTION("""COMPUTED_VALUE"""),"The way your business engages with customers sets it apart. Increasingly people want lasting, digital relationships with brands that work both ways. But for businesses, choosing the right channels to have conversations and grow digital communities is a ch"&amp;"allenge. Twilio and Branch talk with Don Clark about how to cultivate and maintain genuine digital relationships with customers.")</f>
        <v>The way your business engages with customers sets it apart. Increasingly people want lasting, digital relationships with brands that work both ways. But for businesses, choosing the right channels to have conversations and grow digital communities is a challenge. Twilio and Branch talk with Don Clark about how to cultivate and maintain genuine digital relationships with customers.</v>
      </c>
      <c r="C435" s="10" t="str">
        <f>IFERROR(__xludf.DUMMYFUNCTION("""COMPUTED_VALUE"""),"SaaS Monster")</f>
        <v>SaaS Monster</v>
      </c>
      <c r="D435" s="10" t="str">
        <f>IFERROR(__xludf.DUMMYFUNCTION("""COMPUTED_VALUE"""),"Sara Varni, Mada Seghete and Don Clark")</f>
        <v>Sara Varni, Mada Seghete and Don Clark</v>
      </c>
      <c r="E435" s="10" t="str">
        <f>IFERROR(__xludf.DUMMYFUNCTION("""COMPUTED_VALUE"""),"Sara Varni,Mada Seghete,Don Clark")</f>
        <v>Sara Varni,Mada Seghete,Don Clark</v>
      </c>
      <c r="F435" s="10" t="str">
        <f>IFERROR(__xludf.DUMMYFUNCTION("""COMPUTED_VALUE"""),"2019/11/06 12:25:00")</f>
        <v>2019/11/06 12:25:00</v>
      </c>
      <c r="G435" s="10" t="str">
        <f>IFERROR(__xludf.DUMMYFUNCTION("""COMPUTED_VALUE"""),"2019/11/06 12:45:00")</f>
        <v>2019/11/06 12:45:00</v>
      </c>
      <c r="H435" s="10" t="str">
        <f>IFERROR(__xludf.DUMMYFUNCTION("""COMPUTED_VALUE"""),"205f40c5-452b-41fd-aaef-c7f7f299720e")</f>
        <v>205f40c5-452b-41fd-aaef-c7f7f299720e</v>
      </c>
      <c r="I435" s="10" t="str">
        <f>IFERROR(__xludf.DUMMYFUNCTION("""COMPUTED_VALUE"""),"205f40c5-452b-41fd-aaef-c7f7f299720e")</f>
        <v>205f40c5-452b-41fd-aaef-c7f7f299720e</v>
      </c>
    </row>
    <row r="436">
      <c r="A436" s="10" t="str">
        <f>IFERROR(__xludf.DUMMYFUNCTION("""COMPUTED_VALUE"""),"Opening remarks")</f>
        <v>Opening remarks</v>
      </c>
      <c r="B436" s="10" t="str">
        <f>IFERROR(__xludf.DUMMYFUNCTION("""COMPUTED_VALUE"""),"")</f>
        <v/>
      </c>
      <c r="C436" s="10" t="str">
        <f>IFERROR(__xludf.DUMMYFUNCTION("""COMPUTED_VALUE"""),"SaaS Monster")</f>
        <v>SaaS Monster</v>
      </c>
      <c r="D436" s="10" t="str">
        <f>IFERROR(__xludf.DUMMYFUNCTION("""COMPUTED_VALUE"""),"Josh Holmes")</f>
        <v>Josh Holmes</v>
      </c>
      <c r="E436" s="10" t="str">
        <f>IFERROR(__xludf.DUMMYFUNCTION("""COMPUTED_VALUE"""),"Josh Holmes")</f>
        <v>Josh Holmes</v>
      </c>
      <c r="F436" s="10" t="str">
        <f>IFERROR(__xludf.DUMMYFUNCTION("""COMPUTED_VALUE"""),"2019/11/05 13:20:00")</f>
        <v>2019/11/05 13:20:00</v>
      </c>
      <c r="G436" s="10" t="str">
        <f>IFERROR(__xludf.DUMMYFUNCTION("""COMPUTED_VALUE"""),"2019/11/05 13:25:00")</f>
        <v>2019/11/05 13:25:00</v>
      </c>
      <c r="H436" s="10" t="str">
        <f>IFERROR(__xludf.DUMMYFUNCTION("""COMPUTED_VALUE"""),"9cc0570c-29d4-4b56-8620-8432dfc0cd5d")</f>
        <v>9cc0570c-29d4-4b56-8620-8432dfc0cd5d</v>
      </c>
      <c r="I436" s="10" t="str">
        <f>IFERROR(__xludf.DUMMYFUNCTION("""COMPUTED_VALUE"""),"9cc0570c-29d4-4b56-8620-8432dfc0cd5d")</f>
        <v>9cc0570c-29d4-4b56-8620-8432dfc0cd5d</v>
      </c>
    </row>
    <row r="437">
      <c r="A437" s="10" t="str">
        <f>IFERROR(__xludf.DUMMYFUNCTION("""COMPUTED_VALUE"""),"The bumpy journey to customer love")</f>
        <v>The bumpy journey to customer love</v>
      </c>
      <c r="B437" s="10" t="str">
        <f>IFERROR(__xludf.DUMMYFUNCTION("""COMPUTED_VALUE"""),"The linear path to customer growth is a lie. An honest look at the twists and turns it takes to build an award-winning product, from a company that’s raised $40m in venture capital backing.")</f>
        <v>The linear path to customer growth is a lie. An honest look at the twists and turns it takes to build an award-winning product, from a company that’s raised $40m in venture capital backing.</v>
      </c>
      <c r="C437" s="10" t="str">
        <f>IFERROR(__xludf.DUMMYFUNCTION("""COMPUTED_VALUE"""),"Growth Summit")</f>
        <v>Growth Summit</v>
      </c>
      <c r="D437" s="10" t="str">
        <f>IFERROR(__xludf.DUMMYFUNCTION("""COMPUTED_VALUE"""),"")</f>
        <v/>
      </c>
      <c r="E437" s="10" t="str">
        <f>IFERROR(__xludf.DUMMYFUNCTION("""COMPUTED_VALUE"""),"")</f>
        <v/>
      </c>
      <c r="F437" s="10" t="str">
        <f>IFERROR(__xludf.DUMMYFUNCTION("""COMPUTED_VALUE"""),"2019/11/07 12:30:00")</f>
        <v>2019/11/07 12:30:00</v>
      </c>
      <c r="G437" s="10" t="str">
        <f>IFERROR(__xludf.DUMMYFUNCTION("""COMPUTED_VALUE"""),"2019/11/07 12:41:00")</f>
        <v>2019/11/07 12:41:00</v>
      </c>
      <c r="H437" s="10" t="str">
        <f>IFERROR(__xludf.DUMMYFUNCTION("""COMPUTED_VALUE"""),"920af7c1-bb34-41bd-bd38-162683af9fd0")</f>
        <v>920af7c1-bb34-41bd-bd38-162683af9fd0</v>
      </c>
      <c r="I437" s="10" t="str">
        <f>IFERROR(__xludf.DUMMYFUNCTION("""COMPUTED_VALUE"""),"920af7c1-bb34-41bd-bd38-162683af9fd0")</f>
        <v>920af7c1-bb34-41bd-bd38-162683af9fd0</v>
      </c>
    </row>
    <row r="438">
      <c r="A438" s="10" t="str">
        <f>IFERROR(__xludf.DUMMYFUNCTION("""COMPUTED_VALUE"""),"Time to target a different audience?")</f>
        <v>Time to target a different audience?</v>
      </c>
      <c r="B438" s="10" t="str">
        <f>IFERROR(__xludf.DUMMYFUNCTION("""COMPUTED_VALUE"""),"Over 50s are one of the largest and wealthiest audiences, however very few tech companies choose to target them.  The co-founders of Lumen, the dating app for over 50s, talk about the realities of targeting an audience which neither of them are a part of,"&amp;" and the lessons they have learned.")</f>
        <v>Over 50s are one of the largest and wealthiest audiences, however very few tech companies choose to target them.  The co-founders of Lumen, the dating app for over 50s, talk about the realities of targeting an audience which neither of them are a part of, and the lessons they have learned.</v>
      </c>
      <c r="C438" s="10" t="str">
        <f>IFERROR(__xludf.DUMMYFUNCTION("""COMPUTED_VALUE"""),"Growth Summit")</f>
        <v>Growth Summit</v>
      </c>
      <c r="D438" s="10" t="str">
        <f>IFERROR(__xludf.DUMMYFUNCTION("""COMPUTED_VALUE"""),"Charly Lester and Antoine Argouges")</f>
        <v>Charly Lester and Antoine Argouges</v>
      </c>
      <c r="E438" s="10" t="str">
        <f>IFERROR(__xludf.DUMMYFUNCTION("""COMPUTED_VALUE"""),"Charly Lester,Antoine Argouges")</f>
        <v>Charly Lester,Antoine Argouges</v>
      </c>
      <c r="F438" s="10" t="str">
        <f>IFERROR(__xludf.DUMMYFUNCTION("""COMPUTED_VALUE"""),"2019/11/05 11:34:00")</f>
        <v>2019/11/05 11:34:00</v>
      </c>
      <c r="G438" s="10" t="str">
        <f>IFERROR(__xludf.DUMMYFUNCTION("""COMPUTED_VALUE"""),"2019/11/05 11:38:00")</f>
        <v>2019/11/05 11:38:00</v>
      </c>
      <c r="H438" s="10" t="str">
        <f>IFERROR(__xludf.DUMMYFUNCTION("""COMPUTED_VALUE"""),"90777261-6980-4f08-9728-d964e699ec1c")</f>
        <v>90777261-6980-4f08-9728-d964e699ec1c</v>
      </c>
      <c r="I438" s="10" t="str">
        <f>IFERROR(__xludf.DUMMYFUNCTION("""COMPUTED_VALUE"""),"90777261-6980-4f08-9728-d964e699ec1c")</f>
        <v>90777261-6980-4f08-9728-d964e699ec1c</v>
      </c>
    </row>
    <row r="439">
      <c r="A439" s="10" t="str">
        <f>IFERROR(__xludf.DUMMYFUNCTION("""COMPUTED_VALUE"""),"Breakout startups")</f>
        <v>Breakout startups</v>
      </c>
      <c r="B439" s="10" t="str">
        <f>IFERROR(__xludf.DUMMYFUNCTION("""COMPUTED_VALUE"""),"")</f>
        <v/>
      </c>
      <c r="C439" s="10" t="str">
        <f>IFERROR(__xludf.DUMMYFUNCTION("""COMPUTED_VALUE"""),"Centre Stage")</f>
        <v>Centre Stage</v>
      </c>
      <c r="D439" s="10" t="str">
        <f>IFERROR(__xludf.DUMMYFUNCTION("""COMPUTED_VALUE"""),"Spenser Skates, Ray Reddy, David Yovanno, Lupina Iturriaga, Sarah Nahm, Linn Tagesson and Polina Montano")</f>
        <v>Spenser Skates, Ray Reddy, David Yovanno, Lupina Iturriaga, Sarah Nahm, Linn Tagesson and Polina Montano</v>
      </c>
      <c r="E439" s="10" t="str">
        <f>IFERROR(__xludf.DUMMYFUNCTION("""COMPUTED_VALUE"""),"Spenser Skates,Ray Reddy,David Yovanno,Lupina Iturriaga,Sarah Nahm,Linn Tagesson,Polina Montano")</f>
        <v>Spenser Skates,Ray Reddy,David Yovanno,Lupina Iturriaga,Sarah Nahm,Linn Tagesson,Polina Montano</v>
      </c>
      <c r="F439" s="10" t="str">
        <f>IFERROR(__xludf.DUMMYFUNCTION("""COMPUTED_VALUE"""),"2019/11/06 13:10:00")</f>
        <v>2019/11/06 13:10:00</v>
      </c>
      <c r="G439" s="10" t="str">
        <f>IFERROR(__xludf.DUMMYFUNCTION("""COMPUTED_VALUE"""),"2019/11/06 13:45:00")</f>
        <v>2019/11/06 13:45:00</v>
      </c>
      <c r="H439" s="10" t="str">
        <f>IFERROR(__xludf.DUMMYFUNCTION("""COMPUTED_VALUE"""),"d514f782-9271-46f4-b677-86c60e79a5c2")</f>
        <v>d514f782-9271-46f4-b677-86c60e79a5c2</v>
      </c>
      <c r="I439" s="10" t="str">
        <f>IFERROR(__xludf.DUMMYFUNCTION("""COMPUTED_VALUE"""),"d514f782-9271-46f4-b677-86c60e79a5c2")</f>
        <v>d514f782-9271-46f4-b677-86c60e79a5c2</v>
      </c>
    </row>
    <row r="440">
      <c r="A440" s="10" t="str">
        <f>IFERROR(__xludf.DUMMYFUNCTION("""COMPUTED_VALUE"""),"Registration")</f>
        <v>Registration</v>
      </c>
      <c r="B440" s="10" t="str">
        <f>IFERROR(__xludf.DUMMYFUNCTION("""COMPUTED_VALUE"""),"Beat the queues and register at the airport. You can register from 7am to 3pm. All you need to do is head out of the terminal and follow the signs to our registration marquee. You’ll be done in a few minutes. 
Alternatively, you can register at the Alt"&amp;"ice Arena &amp; FIL in the main registration area from 8.30am to 5pm.
If you need more information about registration go to websummit.com/essentials/registration. ")</f>
        <v>Beat the queues and register at the airport. You can register from 7am to 3pm. All you need to do is head out of the terminal and follow the signs to our registration marquee. You’ll be done in a few minutes. 
Alternatively, you can register at the Altice Arena &amp; FIL in the main registration area from 8.30am to 5pm.
If you need more information about registration go to websummit.com/essentials/registration. </v>
      </c>
      <c r="C440" s="10" t="str">
        <f>IFERROR(__xludf.DUMMYFUNCTION("""COMPUTED_VALUE"""),"Registration")</f>
        <v>Registration</v>
      </c>
      <c r="D440" s="10" t="str">
        <f>IFERROR(__xludf.DUMMYFUNCTION("""COMPUTED_VALUE"""),"")</f>
        <v/>
      </c>
      <c r="E440" s="10" t="str">
        <f>IFERROR(__xludf.DUMMYFUNCTION("""COMPUTED_VALUE"""),"")</f>
        <v/>
      </c>
      <c r="F440" s="10" t="str">
        <f>IFERROR(__xludf.DUMMYFUNCTION("""COMPUTED_VALUE"""),"2019/11/05 07:00:00")</f>
        <v>2019/11/05 07:00:00</v>
      </c>
      <c r="G440" s="10" t="str">
        <f>IFERROR(__xludf.DUMMYFUNCTION("""COMPUTED_VALUE"""),"2019/11/05 17:00:00")</f>
        <v>2019/11/05 17:00:00</v>
      </c>
      <c r="H440" s="10" t="str">
        <f>IFERROR(__xludf.DUMMYFUNCTION("""COMPUTED_VALUE"""),"aff0b2b8-4019-4a1a-a6a5-9a5541f3ce5b")</f>
        <v>aff0b2b8-4019-4a1a-a6a5-9a5541f3ce5b</v>
      </c>
      <c r="I440" s="10" t="str">
        <f>IFERROR(__xludf.DUMMYFUNCTION("""COMPUTED_VALUE"""),"aff0b2b8-4019-4a1a-a6a5-9a5541f3ce5b")</f>
        <v>aff0b2b8-4019-4a1a-a6a5-9a5541f3ce5b</v>
      </c>
    </row>
    <row r="441">
      <c r="A441" s="10" t="str">
        <f>IFERROR(__xludf.DUMMYFUNCTION("""COMPUTED_VALUE"""),"Chat with Sophia the Robot and David Hanson from Hanson Robotics")</f>
        <v>Chat with Sophia the Robot and David Hanson from Hanson Robotics</v>
      </c>
      <c r="B441" s="10" t="str">
        <f>IFERROR(__xludf.DUMMYFUNCTION("""COMPUTED_VALUE"""),"")</f>
        <v/>
      </c>
      <c r="C441" s="10" t="str">
        <f>IFERROR(__xludf.DUMMYFUNCTION("""COMPUTED_VALUE"""),"")</f>
        <v/>
      </c>
      <c r="D441" s="10" t="str">
        <f>IFERROR(__xludf.DUMMYFUNCTION("""COMPUTED_VALUE"""),"David Hanson and  Sophia The Robot
")</f>
        <v>David Hanson and  Sophia The Robot
</v>
      </c>
      <c r="E441" s="10" t="str">
        <f>IFERROR(__xludf.DUMMYFUNCTION("""COMPUTED_VALUE"""),"David Hanson, Sophia The Robot
")</f>
        <v>David Hanson, Sophia The Robot
</v>
      </c>
      <c r="F441" s="10" t="str">
        <f>IFERROR(__xludf.DUMMYFUNCTION("""COMPUTED_VALUE"""),"")</f>
        <v/>
      </c>
      <c r="G441" s="10" t="str">
        <f>IFERROR(__xludf.DUMMYFUNCTION("""COMPUTED_VALUE"""),"")</f>
        <v/>
      </c>
      <c r="H441" s="10" t="str">
        <f>IFERROR(__xludf.DUMMYFUNCTION("""COMPUTED_VALUE"""),"8c7a5c58-c763-5660-98f9-587be4b5f170")</f>
        <v>8c7a5c58-c763-5660-98f9-587be4b5f170</v>
      </c>
      <c r="I441" s="10" t="str">
        <f>IFERROR(__xludf.DUMMYFUNCTION("""COMPUTED_VALUE"""),"8c7a5c58-c763-5660-98f9-587be4b5f170")</f>
        <v>8c7a5c58-c763-5660-98f9-587be4b5f170</v>
      </c>
    </row>
    <row r="442">
      <c r="A442" s="10" t="str">
        <f>IFERROR(__xludf.DUMMYFUNCTION("""COMPUTED_VALUE"""),"Governments' role in the fourth Industrial Revolution")</f>
        <v>Governments' role in the fourth Industrial Revolution</v>
      </c>
      <c r="B442" s="10" t="str">
        <f>IFERROR(__xludf.DUMMYFUNCTION("""COMPUTED_VALUE"""),"Technology is shortening the life cycle of the Fortune 500. Government regulation plays a key role in helping industry stay ahead of the technology curve. In this session, we hear from top policy makers from around the globe on governments’ role in drivin"&amp;"g competitiveness.
")</f>
        <v>Technology is shortening the life cycle of the Fortune 500. Government regulation plays a key role in helping industry stay ahead of the technology curve. In this session, we hear from top policy makers from around the globe on governments’ role in driving competitiveness.
</v>
      </c>
      <c r="C442" s="10" t="str">
        <f>IFERROR(__xludf.DUMMYFUNCTION("""COMPUTED_VALUE"""),"Corporate Innovation Summit")</f>
        <v>Corporate Innovation Summit</v>
      </c>
      <c r="D442" s="10" t="str">
        <f>IFERROR(__xludf.DUMMYFUNCTION("""COMPUTED_VALUE"""),"Andrej Kiska, Paula Ingabire and Nicholas Vinocur")</f>
        <v>Andrej Kiska, Paula Ingabire and Nicholas Vinocur</v>
      </c>
      <c r="E442" s="10" t="str">
        <f>IFERROR(__xludf.DUMMYFUNCTION("""COMPUTED_VALUE"""),"Andrej Kiska,Paula Ingabire,Nicholas Vinocur")</f>
        <v>Andrej Kiska,Paula Ingabire,Nicholas Vinocur</v>
      </c>
      <c r="F442" s="10" t="str">
        <f>IFERROR(__xludf.DUMMYFUNCTION("""COMPUTED_VALUE"""),"2019/11/05 10:35:00")</f>
        <v>2019/11/05 10:35:00</v>
      </c>
      <c r="G442" s="10" t="str">
        <f>IFERROR(__xludf.DUMMYFUNCTION("""COMPUTED_VALUE"""),"2019/11/05 10:55:00")</f>
        <v>2019/11/05 10:55:00</v>
      </c>
      <c r="H442" s="10" t="str">
        <f>IFERROR(__xludf.DUMMYFUNCTION("""COMPUTED_VALUE"""),"e0abd19e-f2e5-4ed4-a1e3-3370df139a42")</f>
        <v>e0abd19e-f2e5-4ed4-a1e3-3370df139a42</v>
      </c>
      <c r="I442" s="10" t="str">
        <f>IFERROR(__xludf.DUMMYFUNCTION("""COMPUTED_VALUE"""),"e0abd19e-f2e5-4ed4-a1e3-3370df139a42")</f>
        <v>e0abd19e-f2e5-4ed4-a1e3-3370df139a42</v>
      </c>
    </row>
    <row r="443">
      <c r="A443" s="10" t="str">
        <f>IFERROR(__xludf.DUMMYFUNCTION("""COMPUTED_VALUE"""),"PITCH group round 1")</f>
        <v>PITCH group round 1</v>
      </c>
      <c r="B443" s="10" t="str">
        <f>IFERROR(__xludf.DUMMYFUNCTION("""COMPUTED_VALUE"""),"")</f>
        <v/>
      </c>
      <c r="C443" s="10" t="str">
        <f>IFERROR(__xludf.DUMMYFUNCTION("""COMPUTED_VALUE"""),"PITCH 1")</f>
        <v>PITCH 1</v>
      </c>
      <c r="D443" s="10" t="str">
        <f>IFERROR(__xludf.DUMMYFUNCTION("""COMPUTED_VALUE"""),"Mada Seghete, Sophia Tran, Ekaterina Holt, Marcus Fehling, Ilya Gelfenbeyn, Miguel Santo (UNIPLACES), Pedro Pestana, Christoph Weigl, Roman Prytkov, Alan Hickey, Evgeny Grankin and Bernd Oostrum")</f>
        <v>Mada Seghete, Sophia Tran, Ekaterina Holt, Marcus Fehling, Ilya Gelfenbeyn, Miguel Santo (UNIPLACES), Pedro Pestana, Christoph Weigl, Roman Prytkov, Alan Hickey, Evgeny Grankin and Bernd Oostrum</v>
      </c>
      <c r="E443" s="10" t="str">
        <f>IFERROR(__xludf.DUMMYFUNCTION("""COMPUTED_VALUE"""),"Mada Seghete,Sophia Tran,Ekaterina Holt,Marcus Fehling,Ilya Gelfenbeyn,Miguel Santo (UNIPLACES),Pedro Pestana,Christoph Weigl,Roman Prytkov,Alan Hickey,Evgeny Grankin,Bernd Oostrum")</f>
        <v>Mada Seghete,Sophia Tran,Ekaterina Holt,Marcus Fehling,Ilya Gelfenbeyn,Miguel Santo (UNIPLACES),Pedro Pestana,Christoph Weigl,Roman Prytkov,Alan Hickey,Evgeny Grankin,Bernd Oostrum</v>
      </c>
      <c r="F443" s="10" t="str">
        <f>IFERROR(__xludf.DUMMYFUNCTION("""COMPUTED_VALUE"""),"2019/11/05 09:15:00")</f>
        <v>2019/11/05 09:15:00</v>
      </c>
      <c r="G443" s="10" t="str">
        <f>IFERROR(__xludf.DUMMYFUNCTION("""COMPUTED_VALUE"""),"2019/11/05 10:15:00")</f>
        <v>2019/11/05 10:15:00</v>
      </c>
      <c r="H443" s="10" t="str">
        <f>IFERROR(__xludf.DUMMYFUNCTION("""COMPUTED_VALUE"""),"6db0f67b-dd4f-462b-b8d6-a25a0394542b")</f>
        <v>6db0f67b-dd4f-462b-b8d6-a25a0394542b</v>
      </c>
      <c r="I443" s="10" t="str">
        <f>IFERROR(__xludf.DUMMYFUNCTION("""COMPUTED_VALUE"""),"6db0f67b-dd4f-462b-b8d6-a25a0394542b")</f>
        <v>6db0f67b-dd4f-462b-b8d6-a25a0394542b</v>
      </c>
    </row>
    <row r="444">
      <c r="A444" s="10" t="str">
        <f>IFERROR(__xludf.DUMMYFUNCTION("""COMPUTED_VALUE"""),"Lunch break")</f>
        <v>Lunch break</v>
      </c>
      <c r="B444" s="10" t="str">
        <f>IFERROR(__xludf.DUMMYFUNCTION("""COMPUTED_VALUE"""),"")</f>
        <v/>
      </c>
      <c r="C444" s="10" t="str">
        <f>IFERROR(__xludf.DUMMYFUNCTION("""COMPUTED_VALUE"""),"Venture stage")</f>
        <v>Venture stage</v>
      </c>
      <c r="D444" s="10" t="str">
        <f>IFERROR(__xludf.DUMMYFUNCTION("""COMPUTED_VALUE"""),"")</f>
        <v/>
      </c>
      <c r="E444" s="10" t="str">
        <f>IFERROR(__xludf.DUMMYFUNCTION("""COMPUTED_VALUE"""),"")</f>
        <v/>
      </c>
      <c r="F444" s="10" t="str">
        <f>IFERROR(__xludf.DUMMYFUNCTION("""COMPUTED_VALUE"""),"2019/11/06 12:50:00")</f>
        <v>2019/11/06 12:50:00</v>
      </c>
      <c r="G444" s="10" t="str">
        <f>IFERROR(__xludf.DUMMYFUNCTION("""COMPUTED_VALUE"""),"2019/11/06 13:35:00")</f>
        <v>2019/11/06 13:35:00</v>
      </c>
      <c r="H444" s="10" t="str">
        <f>IFERROR(__xludf.DUMMYFUNCTION("""COMPUTED_VALUE"""),"a730444c-ce1e-47d8-8335-ab2458f25d2e")</f>
        <v>a730444c-ce1e-47d8-8335-ab2458f25d2e</v>
      </c>
      <c r="I444" s="10" t="str">
        <f>IFERROR(__xludf.DUMMYFUNCTION("""COMPUTED_VALUE"""),"a730444c-ce1e-47d8-8335-ab2458f25d2e")</f>
        <v>a730444c-ce1e-47d8-8335-ab2458f25d2e</v>
      </c>
    </row>
    <row r="445">
      <c r="A445" s="10" t="str">
        <f>IFERROR(__xludf.DUMMYFUNCTION("""COMPUTED_VALUE"""),"PITCH group round 3
")</f>
        <v>PITCH group round 3
</v>
      </c>
      <c r="B445" s="10" t="str">
        <f>IFERROR(__xludf.DUMMYFUNCTION("""COMPUTED_VALUE"""),"")</f>
        <v/>
      </c>
      <c r="C445" s="10" t="str">
        <f>IFERROR(__xludf.DUMMYFUNCTION("""COMPUTED_VALUE"""),"")</f>
        <v/>
      </c>
      <c r="D445" s="10" t="str">
        <f>IFERROR(__xludf.DUMMYFUNCTION("""COMPUTED_VALUE"""),"Brian Collins,  Ana Lobo Xavier,  Pedro Vasconcellos,  Jordi Vidal,  Edel Coen,  Russ Heddleston,  Javier Gutiérrez,  Nathan Harris,  Abbas Bertina,  Aroa Fernandez Alvarez and  Gabriel Menegatti
")</f>
        <v>Brian Collins,  Ana Lobo Xavier,  Pedro Vasconcellos,  Jordi Vidal,  Edel Coen,  Russ Heddleston,  Javier Gutiérrez,  Nathan Harris,  Abbas Bertina,  Aroa Fernandez Alvarez and  Gabriel Menegatti
</v>
      </c>
      <c r="E445" s="10" t="str">
        <f>IFERROR(__xludf.DUMMYFUNCTION("""COMPUTED_VALUE"""),"Brian Collins, Ana Lobo Xavier, Pedro Vasconcellos, Jordi Vidal, Edel Coen, Russ Heddleston, Javier Gutiérrez, Nathan Harris, Abbas Bertina, Aroa Fernandez Alvarez, Gabriel Menegatti
")</f>
        <v>Brian Collins, Ana Lobo Xavier, Pedro Vasconcellos, Jordi Vidal, Edel Coen, Russ Heddleston, Javier Gutiérrez, Nathan Harris, Abbas Bertina, Aroa Fernandez Alvarez, Gabriel Menegatti
</v>
      </c>
      <c r="F445" s="10" t="str">
        <f>IFERROR(__xludf.DUMMYFUNCTION("""COMPUTED_VALUE"""),"")</f>
        <v/>
      </c>
      <c r="G445" s="10" t="str">
        <f>IFERROR(__xludf.DUMMYFUNCTION("""COMPUTED_VALUE"""),"")</f>
        <v/>
      </c>
      <c r="H445" s="10" t="str">
        <f>IFERROR(__xludf.DUMMYFUNCTION("""COMPUTED_VALUE"""),"520e68b9-6a12-5501-8a8e-5a128c759e14")</f>
        <v>520e68b9-6a12-5501-8a8e-5a128c759e14</v>
      </c>
      <c r="I445" s="10" t="str">
        <f>IFERROR(__xludf.DUMMYFUNCTION("""COMPUTED_VALUE"""),"520e68b9-6a12-5501-8a8e-5a128c759e14")</f>
        <v>520e68b9-6a12-5501-8a8e-5a128c759e14</v>
      </c>
    </row>
    <row r="446">
      <c r="A446" s="10" t="str">
        <f>IFERROR(__xludf.DUMMYFUNCTION("""COMPUTED_VALUE"""),"Lunch break")</f>
        <v>Lunch break</v>
      </c>
      <c r="B446" s="10" t="str">
        <f>IFERROR(__xludf.DUMMYFUNCTION("""COMPUTED_VALUE"""),"")</f>
        <v/>
      </c>
      <c r="C446" s="10" t="str">
        <f>IFERROR(__xludf.DUMMYFUNCTION("""COMPUTED_VALUE"""),"ContentMakers")</f>
        <v>ContentMakers</v>
      </c>
      <c r="D446" s="10" t="str">
        <f>IFERROR(__xludf.DUMMYFUNCTION("""COMPUTED_VALUE"""),"")</f>
        <v/>
      </c>
      <c r="E446" s="10" t="str">
        <f>IFERROR(__xludf.DUMMYFUNCTION("""COMPUTED_VALUE"""),"")</f>
        <v/>
      </c>
      <c r="F446" s="10" t="str">
        <f>IFERROR(__xludf.DUMMYFUNCTION("""COMPUTED_VALUE"""),"2019/11/07 13:20:00")</f>
        <v>2019/11/07 13:20:00</v>
      </c>
      <c r="G446" s="10" t="str">
        <f>IFERROR(__xludf.DUMMYFUNCTION("""COMPUTED_VALUE"""),"2019/11/07 14:10:00")</f>
        <v>2019/11/07 14:10:00</v>
      </c>
      <c r="H446" s="10" t="str">
        <f>IFERROR(__xludf.DUMMYFUNCTION("""COMPUTED_VALUE"""),"d8868840-1b16-450d-900f-73724cb0ce90")</f>
        <v>d8868840-1b16-450d-900f-73724cb0ce90</v>
      </c>
      <c r="I446" s="10" t="str">
        <f>IFERROR(__xludf.DUMMYFUNCTION("""COMPUTED_VALUE"""),"d8868840-1b16-450d-900f-73724cb0ce90")</f>
        <v>d8868840-1b16-450d-900f-73724cb0ce90</v>
      </c>
    </row>
    <row r="447">
      <c r="A447" s="10" t="str">
        <f>IFERROR(__xludf.DUMMYFUNCTION("""COMPUTED_VALUE"""),"Huawei Ability Gallery: Evolution of content and services distribution, hosted by Huawei")</f>
        <v>Huawei Ability Gallery: Evolution of content and services distribution, hosted by Huawei</v>
      </c>
      <c r="B447" s="10" t="str">
        <f>IFERROR(__xludf.DUMMYFUNCTION("""COMPUTED_VALUE"""),"Huawei Ability Gallery helps content and services reach Huawei’s devices in a newer and smarter way, allowing partners to achieve their own growth goals at a lower integration cost.")</f>
        <v>Huawei Ability Gallery helps content and services reach Huawei’s devices in a newer and smarter way, allowing partners to achieve their own growth goals at a lower integration cost.</v>
      </c>
      <c r="C447" s="10" t="str">
        <f>IFERROR(__xludf.DUMMYFUNCTION("""COMPUTED_VALUE"""),"Workshop 1")</f>
        <v>Workshop 1</v>
      </c>
      <c r="D447" s="10" t="str">
        <f>IFERROR(__xludf.DUMMYFUNCTION("""COMPUTED_VALUE"""),"Tabaka Witold")</f>
        <v>Tabaka Witold</v>
      </c>
      <c r="E447" s="10" t="str">
        <f>IFERROR(__xludf.DUMMYFUNCTION("""COMPUTED_VALUE"""),"Tabaka Witold")</f>
        <v>Tabaka Witold</v>
      </c>
      <c r="F447" s="10" t="str">
        <f>IFERROR(__xludf.DUMMYFUNCTION("""COMPUTED_VALUE"""),"2019/11/05 14:45:00")</f>
        <v>2019/11/05 14:45:00</v>
      </c>
      <c r="G447" s="10" t="str">
        <f>IFERROR(__xludf.DUMMYFUNCTION("""COMPUTED_VALUE"""),"2019/11/05 15:10:00")</f>
        <v>2019/11/05 15:10:00</v>
      </c>
      <c r="H447" s="10" t="str">
        <f>IFERROR(__xludf.DUMMYFUNCTION("""COMPUTED_VALUE"""),"553fd771-45ef-4d1b-8a6c-4de398e26f59")</f>
        <v>553fd771-45ef-4d1b-8a6c-4de398e26f59</v>
      </c>
      <c r="I447" s="10" t="str">
        <f>IFERROR(__xludf.DUMMYFUNCTION("""COMPUTED_VALUE"""),"553fd771-45ef-4d1b-8a6c-4de398e26f59")</f>
        <v>553fd771-45ef-4d1b-8a6c-4de398e26f59</v>
      </c>
    </row>
    <row r="448">
      <c r="A448" s="10" t="str">
        <f>IFERROR(__xludf.DUMMYFUNCTION("""COMPUTED_VALUE"""),"Q&amp;A Session with Chris Leacock")</f>
        <v>Q&amp;A Session with Chris Leacock</v>
      </c>
      <c r="B448" s="10" t="str">
        <f>IFERROR(__xludf.DUMMYFUNCTION("""COMPUTED_VALUE"""),"")</f>
        <v/>
      </c>
      <c r="C448" s="10" t="str">
        <f>IFERROR(__xludf.DUMMYFUNCTION("""COMPUTED_VALUE"""),"Q + A")</f>
        <v>Q + A</v>
      </c>
      <c r="D448" s="10" t="str">
        <f>IFERROR(__xludf.DUMMYFUNCTION("""COMPUTED_VALUE"""),"Christopher Leacock")</f>
        <v>Christopher Leacock</v>
      </c>
      <c r="E448" s="10" t="str">
        <f>IFERROR(__xludf.DUMMYFUNCTION("""COMPUTED_VALUE"""),"Christopher Leacock")</f>
        <v>Christopher Leacock</v>
      </c>
      <c r="F448" s="10" t="str">
        <f>IFERROR(__xludf.DUMMYFUNCTION("""COMPUTED_VALUE"""),"2019/11/05 12:30:00")</f>
        <v>2019/11/05 12:30:00</v>
      </c>
      <c r="G448" s="10" t="str">
        <f>IFERROR(__xludf.DUMMYFUNCTION("""COMPUTED_VALUE"""),"2019/11/05 12:45:00")</f>
        <v>2019/11/05 12:45:00</v>
      </c>
      <c r="H448" s="10" t="str">
        <f>IFERROR(__xludf.DUMMYFUNCTION("""COMPUTED_VALUE"""),"400a7bd5-bc1e-425b-a395-e77e92d42878")</f>
        <v>400a7bd5-bc1e-425b-a395-e77e92d42878</v>
      </c>
      <c r="I448" s="10" t="str">
        <f>IFERROR(__xludf.DUMMYFUNCTION("""COMPUTED_VALUE"""),"400a7bd5-bc1e-425b-a395-e77e92d42878")</f>
        <v>400a7bd5-bc1e-425b-a395-e77e92d42878</v>
      </c>
    </row>
    <row r="449">
      <c r="A449" s="10" t="str">
        <f>IFERROR(__xludf.DUMMYFUNCTION("""COMPUTED_VALUE"""),"PITCH group round 5")</f>
        <v>PITCH group round 5</v>
      </c>
      <c r="B449" s="10" t="str">
        <f>IFERROR(__xludf.DUMMYFUNCTION("""COMPUTED_VALUE"""),"")</f>
        <v/>
      </c>
      <c r="C449" s="10" t="str">
        <f>IFERROR(__xludf.DUMMYFUNCTION("""COMPUTED_VALUE"""),"PITCH 2")</f>
        <v>PITCH 2</v>
      </c>
      <c r="D449" s="10" t="str">
        <f>IFERROR(__xludf.DUMMYFUNCTION("""COMPUTED_VALUE"""),"Juan Pablo Ortega, Harry Briggs, Paddy Dillon, Jordan Fliegel, Daniel Reis, Miguel Teixeira, Jony Jung, Michal Kiezik, Paulo Ferreira dos Santos, Peter Horvath, JuanMiguel Perez Rosas and Brennan Basnicki")</f>
        <v>Juan Pablo Ortega, Harry Briggs, Paddy Dillon, Jordan Fliegel, Daniel Reis, Miguel Teixeira, Jony Jung, Michal Kiezik, Paulo Ferreira dos Santos, Peter Horvath, JuanMiguel Perez Rosas and Brennan Basnicki</v>
      </c>
      <c r="E449" s="10" t="str">
        <f>IFERROR(__xludf.DUMMYFUNCTION("""COMPUTED_VALUE"""),"Juan Pablo Ortega,Harry Briggs,Paddy Dillon,Jordan Fliegel,Daniel Reis,Miguel Teixeira,Jony Jung,Michal Kiezik,Paulo Ferreira dos Santos,Peter Horvath,JuanMiguel Perez Rosas,Brennan Basnicki")</f>
        <v>Juan Pablo Ortega,Harry Briggs,Paddy Dillon,Jordan Fliegel,Daniel Reis,Miguel Teixeira,Jony Jung,Michal Kiezik,Paulo Ferreira dos Santos,Peter Horvath,JuanMiguel Perez Rosas,Brennan Basnicki</v>
      </c>
      <c r="F449" s="10" t="str">
        <f>IFERROR(__xludf.DUMMYFUNCTION("""COMPUTED_VALUE"""),"2019/11/05 10:15:00")</f>
        <v>2019/11/05 10:15:00</v>
      </c>
      <c r="G449" s="10" t="str">
        <f>IFERROR(__xludf.DUMMYFUNCTION("""COMPUTED_VALUE"""),"2019/11/05 11:15:00")</f>
        <v>2019/11/05 11:15:00</v>
      </c>
      <c r="H449" s="10" t="str">
        <f>IFERROR(__xludf.DUMMYFUNCTION("""COMPUTED_VALUE"""),"25040c2a-0eab-45a3-a291-341c4bc5d09a")</f>
        <v>25040c2a-0eab-45a3-a291-341c4bc5d09a</v>
      </c>
      <c r="I449" s="10" t="str">
        <f>IFERROR(__xludf.DUMMYFUNCTION("""COMPUTED_VALUE"""),"25040c2a-0eab-45a3-a291-341c4bc5d09a")</f>
        <v>25040c2a-0eab-45a3-a291-341c4bc5d09a</v>
      </c>
    </row>
    <row r="450">
      <c r="A450" s="10" t="str">
        <f>IFERROR(__xludf.DUMMYFUNCTION("""COMPUTED_VALUE"""),"Tracking ownership as your startup grows: Why digitising equity is crucial")</f>
        <v>Tracking ownership as your startup grows: Why digitising equity is crucial</v>
      </c>
      <c r="B450" s="10" t="str">
        <f>IFERROR(__xludf.DUMMYFUNCTION("""COMPUTED_VALUE"""),"With fewer and fewer companies reaching IPO, Capdesk CEO, Christian explains why managing equity in spreadsheets can mean losing track of what you own, and not getting to cash out in time. This is why the future of equity is digital.")</f>
        <v>With fewer and fewer companies reaching IPO, Capdesk CEO, Christian explains why managing equity in spreadsheets can mean losing track of what you own, and not getting to cash out in time. This is why the future of equity is digital.</v>
      </c>
      <c r="C450" s="10" t="str">
        <f>IFERROR(__xludf.DUMMYFUNCTION("""COMPUTED_VALUE"""),"Growth Summit")</f>
        <v>Growth Summit</v>
      </c>
      <c r="D450" s="10" t="str">
        <f>IFERROR(__xludf.DUMMYFUNCTION("""COMPUTED_VALUE"""),"Christian Gabriel")</f>
        <v>Christian Gabriel</v>
      </c>
      <c r="E450" s="10" t="str">
        <f>IFERROR(__xludf.DUMMYFUNCTION("""COMPUTED_VALUE"""),"Christian Gabriel")</f>
        <v>Christian Gabriel</v>
      </c>
      <c r="F450" s="10" t="str">
        <f>IFERROR(__xludf.DUMMYFUNCTION("""COMPUTED_VALUE"""),"2019/11/05 10:50:00")</f>
        <v>2019/11/05 10:50:00</v>
      </c>
      <c r="G450" s="10" t="str">
        <f>IFERROR(__xludf.DUMMYFUNCTION("""COMPUTED_VALUE"""),"2019/11/05 10:54:00")</f>
        <v>2019/11/05 10:54:00</v>
      </c>
      <c r="H450" s="10" t="str">
        <f>IFERROR(__xludf.DUMMYFUNCTION("""COMPUTED_VALUE"""),"f51c2b20-2832-4d30-a163-b66e224b1a52")</f>
        <v>f51c2b20-2832-4d30-a163-b66e224b1a52</v>
      </c>
      <c r="I450" s="10" t="str">
        <f>IFERROR(__xludf.DUMMYFUNCTION("""COMPUTED_VALUE"""),"f51c2b20-2832-4d30-a163-b66e224b1a52")</f>
        <v>f51c2b20-2832-4d30-a163-b66e224b1a52</v>
      </c>
    </row>
    <row r="451">
      <c r="A451" s="10" t="str">
        <f>IFERROR(__xludf.DUMMYFUNCTION("""COMPUTED_VALUE"""),"Potential to exponential: The secret to hyper-growth")</f>
        <v>Potential to exponential: The secret to hyper-growth</v>
      </c>
      <c r="B451" s="10" t="str">
        <f>IFERROR(__xludf.DUMMYFUNCTION("""COMPUTED_VALUE"""),"Scaling up is not only about revenue. Team growth, lead generation and product releases may end up being the drivers of hyper-growth your startup needs.")</f>
        <v>Scaling up is not only about revenue. Team growth, lead generation and product releases may end up being the drivers of hyper-growth your startup needs.</v>
      </c>
      <c r="C451" s="10" t="str">
        <f>IFERROR(__xludf.DUMMYFUNCTION("""COMPUTED_VALUE"""),"Growth Summit")</f>
        <v>Growth Summit</v>
      </c>
      <c r="D451" s="10" t="str">
        <f>IFERROR(__xludf.DUMMYFUNCTION("""COMPUTED_VALUE"""),"Luis Roque")</f>
        <v>Luis Roque</v>
      </c>
      <c r="E451" s="10" t="str">
        <f>IFERROR(__xludf.DUMMYFUNCTION("""COMPUTED_VALUE"""),"Luis Roque")</f>
        <v>Luis Roque</v>
      </c>
      <c r="F451" s="10" t="str">
        <f>IFERROR(__xludf.DUMMYFUNCTION("""COMPUTED_VALUE"""),"2019/11/07 10:14:00")</f>
        <v>2019/11/07 10:14:00</v>
      </c>
      <c r="G451" s="10" t="str">
        <f>IFERROR(__xludf.DUMMYFUNCTION("""COMPUTED_VALUE"""),"2019/11/07 10:18:00")</f>
        <v>2019/11/07 10:18:00</v>
      </c>
      <c r="H451" s="10" t="str">
        <f>IFERROR(__xludf.DUMMYFUNCTION("""COMPUTED_VALUE"""),"cbf63279-db91-4e5e-8090-8d29237582e1")</f>
        <v>cbf63279-db91-4e5e-8090-8d29237582e1</v>
      </c>
      <c r="I451" s="10" t="str">
        <f>IFERROR(__xludf.DUMMYFUNCTION("""COMPUTED_VALUE"""),"cbf63279-db91-4e5e-8090-8d29237582e1")</f>
        <v>cbf63279-db91-4e5e-8090-8d29237582e1</v>
      </c>
    </row>
    <row r="452">
      <c r="A452" s="10" t="str">
        <f>IFERROR(__xludf.DUMMYFUNCTION("""COMPUTED_VALUE"""),"Startup Showcase")</f>
        <v>Startup Showcase</v>
      </c>
      <c r="B452" s="10"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
")</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
</v>
      </c>
      <c r="C452" s="10" t="str">
        <f>IFERROR(__xludf.DUMMYFUNCTION("""COMPUTED_VALUE"""),"Startup Showcase 1")</f>
        <v>Startup Showcase 1</v>
      </c>
      <c r="D452" s="10" t="str">
        <f>IFERROR(__xludf.DUMMYFUNCTION("""COMPUTED_VALUE"""),"Frances Schwiep, VItor Seabra, Marcin Waluś, Cai Von Igel, Arnau Abadal, Vladislav Turiashvili, Piotr Gąsiorowski, Peter Sodermans, Anna Gąsiorowska, Patrik Pasko, Samir Kaila, Aycim Likos, Pawel Kwiatkowski, Gabriel Fumagalli, Francisca Borges, Komal Pat"&amp;"el, Vijay Rayudu, Jamar Smith, Matthias Vanhoutteghem, Manuela Sayin, Cheryl Ingram, Tigran Vardanyan, Michal Ukropec, Vanessa Marques, Tomasz Florczak, Kamila Piasecka, Bernardo Gándara, Jenny Bertling, James Dryden, Larissa Purim, Mirka Gálová, Peter Ju"&amp;"ndin, Sam Davies, Ara Gemilyan, Nikoloz Mgebrishvili, Diogo Ferreira Pinto, Cagdas (Charly) Sayin, Nilton Constantino, Julien Yee, João Fernandes, Suresh Kondapureddy, Mario Alves, ali akil, Elia Morling, Hamzah ibn El-Amin, Laura Simas, Daniel Krijgsman,"&amp;" Thiago Lima, KRISTINA VARDANYAN and Nevander Holland")</f>
        <v>Frances Schwiep, VItor Seabra, Marcin Waluś, Cai Von Igel, Arnau Abadal, Vladislav Turiashvili, Piotr Gąsiorowski, Peter Sodermans, Anna Gąsiorowska, Patrik Pasko, Samir Kaila, Aycim Likos, Pawel Kwiatkowski, Gabriel Fumagalli, Francisca Borges, Komal Patel, Vijay Rayudu, Jamar Smith, Matthias Vanhoutteghem, Manuela Sayin, Cheryl Ingram, Tigran Vardanyan, Michal Ukropec, Vanessa Marques, Tomasz Florczak, Kamila Piasecka, Bernardo Gándara, Jenny Bertling, James Dryden, Larissa Purim, Mirka Gálová, Peter Jundin, Sam Davies, Ara Gemilyan, Nikoloz Mgebrishvili, Diogo Ferreira Pinto, Cagdas (Charly) Sayin, Nilton Constantino, Julien Yee, João Fernandes, Suresh Kondapureddy, Mario Alves, ali akil, Elia Morling, Hamzah ibn El-Amin, Laura Simas, Daniel Krijgsman, Thiago Lima, KRISTINA VARDANYAN and Nevander Holland</v>
      </c>
      <c r="E452" s="10" t="str">
        <f>IFERROR(__xludf.DUMMYFUNCTION("""COMPUTED_VALUE"""),"Frances Schwiep,VItor Seabra,Marcin Waluś,Cai Von Igel,Arnau Abadal,Vladislav Turiashvili,Piotr Gąsiorowski,Peter Sodermans,Anna Gąsiorowska,Patrik Pasko,Samir Kaila,Aycim Likos,Pawel Kwiatkowski,Gabriel Fumagalli,Francisca Borges,Komal Patel,Vijay Rayudu"&amp;",Jamar Smith,Matthias Vanhoutteghem,Manuela Sayin,Cheryl Ingram,Tigran Vardanyan,Michal Ukropec,Vanessa Marques,Tomasz Florczak,Kamila Piasecka,Bernardo Gándara,Jenny Bertling,James Dryden,Larissa Purim,Mirka Gálová,Peter Jundin,Sam Davies,Ara Gemilyan,Ni"&amp;"koloz Mgebrishvili,Diogo Ferreira Pinto,Cagdas (Charly) Sayin,Nilton Constantino,Julien Yee,João Fernandes,Suresh Kondapureddy,Mario Alves,ali akil,Elia Morling,Hamzah ibn El-Amin,Laura Simas,Daniel Krijgsman,Thiago Lima,KRISTINA VARDANYAN,Nevander Hollan"&amp;"d")</f>
        <v>Frances Schwiep,VItor Seabra,Marcin Waluś,Cai Von Igel,Arnau Abadal,Vladislav Turiashvili,Piotr Gąsiorowski,Peter Sodermans,Anna Gąsiorowska,Patrik Pasko,Samir Kaila,Aycim Likos,Pawel Kwiatkowski,Gabriel Fumagalli,Francisca Borges,Komal Patel,Vijay Rayudu,Jamar Smith,Matthias Vanhoutteghem,Manuela Sayin,Cheryl Ingram,Tigran Vardanyan,Michal Ukropec,Vanessa Marques,Tomasz Florczak,Kamila Piasecka,Bernardo Gándara,Jenny Bertling,James Dryden,Larissa Purim,Mirka Gálová,Peter Jundin,Sam Davies,Ara Gemilyan,Nikoloz Mgebrishvili,Diogo Ferreira Pinto,Cagdas (Charly) Sayin,Nilton Constantino,Julien Yee,João Fernandes,Suresh Kondapureddy,Mario Alves,ali akil,Elia Morling,Hamzah ibn El-Amin,Laura Simas,Daniel Krijgsman,Thiago Lima,KRISTINA VARDANYAN,Nevander Holland</v>
      </c>
      <c r="F452" s="10" t="str">
        <f>IFERROR(__xludf.DUMMYFUNCTION("""COMPUTED_VALUE"""),"2019/11/06 14:15:00")</f>
        <v>2019/11/06 14:15:00</v>
      </c>
      <c r="G452" s="10" t="str">
        <f>IFERROR(__xludf.DUMMYFUNCTION("""COMPUTED_VALUE"""),"2019/11/06 15:15:00")</f>
        <v>2019/11/06 15:15:00</v>
      </c>
      <c r="H452" s="10" t="str">
        <f>IFERROR(__xludf.DUMMYFUNCTION("""COMPUTED_VALUE"""),"278cb337-40ad-4208-ac8f-157557bf9625")</f>
        <v>278cb337-40ad-4208-ac8f-157557bf9625</v>
      </c>
      <c r="I452" s="10" t="str">
        <f>IFERROR(__xludf.DUMMYFUNCTION("""COMPUTED_VALUE"""),"278cb337-40ad-4208-ac8f-157557bf9625")</f>
        <v>278cb337-40ad-4208-ac8f-157557bf9625</v>
      </c>
    </row>
    <row r="453">
      <c r="A453" s="10" t="str">
        <f>IFERROR(__xludf.DUMMYFUNCTION("""COMPUTED_VALUE"""),"Opening remarks")</f>
        <v>Opening remarks</v>
      </c>
      <c r="B453" s="10" t="str">
        <f>IFERROR(__xludf.DUMMYFUNCTION("""COMPUTED_VALUE"""),"")</f>
        <v/>
      </c>
      <c r="C453" s="10" t="str">
        <f>IFERROR(__xludf.DUMMYFUNCTION("""COMPUTED_VALUE"""),"PandaConf")</f>
        <v>PandaConf</v>
      </c>
      <c r="D453" s="10" t="str">
        <f>IFERROR(__xludf.DUMMYFUNCTION("""COMPUTED_VALUE"""),"Noel Toolan")</f>
        <v>Noel Toolan</v>
      </c>
      <c r="E453" s="10" t="str">
        <f>IFERROR(__xludf.DUMMYFUNCTION("""COMPUTED_VALUE"""),"Noel Toolan")</f>
        <v>Noel Toolan</v>
      </c>
      <c r="F453" s="10" t="str">
        <f>IFERROR(__xludf.DUMMYFUNCTION("""COMPUTED_VALUE"""),"2019/11/05 13:40:00")</f>
        <v>2019/11/05 13:40:00</v>
      </c>
      <c r="G453" s="10" t="str">
        <f>IFERROR(__xludf.DUMMYFUNCTION("""COMPUTED_VALUE"""),"2019/11/05 13:50:00")</f>
        <v>2019/11/05 13:50:00</v>
      </c>
      <c r="H453" s="10" t="str">
        <f>IFERROR(__xludf.DUMMYFUNCTION("""COMPUTED_VALUE"""),"0e730870-de40-4c0e-8436-f6883aa647f3")</f>
        <v>0e730870-de40-4c0e-8436-f6883aa647f3</v>
      </c>
      <c r="I453" s="10" t="str">
        <f>IFERROR(__xludf.DUMMYFUNCTION("""COMPUTED_VALUE"""),"0e730870-de40-4c0e-8436-f6883aa647f3")</f>
        <v>0e730870-de40-4c0e-8436-f6883aa647f3</v>
      </c>
    </row>
    <row r="454">
      <c r="A454" s="10" t="str">
        <f>IFERROR(__xludf.DUMMYFUNCTION("""COMPUTED_VALUE"""),"Secrecy is outdated, co-operation is key")</f>
        <v>Secrecy is outdated, co-operation is key</v>
      </c>
      <c r="B454" s="10" t="str">
        <f>IFERROR(__xludf.DUMMYFUNCTION("""COMPUTED_VALUE"""),"Partnerships are the new normal in business, according to the CEO of one of the biggest energy companies on the planet. In this unmissable fireside chat, António Mexia explains why he believes companies sharing responsibility, project ownership and tech k"&amp;"now-how are the keys to  progress, in energy development and beyond.")</f>
        <v>Partnerships are the new normal in business, according to the CEO of one of the biggest energy companies on the planet. In this unmissable fireside chat, António Mexia explains why he believes companies sharing responsibility, project ownership and tech know-how are the keys to  progress, in energy development and beyond.</v>
      </c>
      <c r="C454" s="10" t="str">
        <f>IFERROR(__xludf.DUMMYFUNCTION("""COMPUTED_VALUE"""),"planet:tech ")</f>
        <v>planet:tech </v>
      </c>
      <c r="D454" s="10" t="str">
        <f>IFERROR(__xludf.DUMMYFUNCTION("""COMPUTED_VALUE"""),"António Mexia and Neanda Salvaterra")</f>
        <v>António Mexia and Neanda Salvaterra</v>
      </c>
      <c r="E454" s="10" t="str">
        <f>IFERROR(__xludf.DUMMYFUNCTION("""COMPUTED_VALUE"""),"António Mexia,Neanda Salvaterra")</f>
        <v>António Mexia,Neanda Salvaterra</v>
      </c>
      <c r="F454" s="10" t="str">
        <f>IFERROR(__xludf.DUMMYFUNCTION("""COMPUTED_VALUE"""),"2019/11/05 12:00:00")</f>
        <v>2019/11/05 12:00:00</v>
      </c>
      <c r="G454" s="10" t="str">
        <f>IFERROR(__xludf.DUMMYFUNCTION("""COMPUTED_VALUE"""),"2019/11/05 12:20:00")</f>
        <v>2019/11/05 12:20:00</v>
      </c>
      <c r="H454" s="10" t="str">
        <f>IFERROR(__xludf.DUMMYFUNCTION("""COMPUTED_VALUE"""),"d86e7814-758d-42f3-a2c6-c4ac9fe0d2c4")</f>
        <v>d86e7814-758d-42f3-a2c6-c4ac9fe0d2c4</v>
      </c>
      <c r="I454" s="10" t="str">
        <f>IFERROR(__xludf.DUMMYFUNCTION("""COMPUTED_VALUE"""),"d86e7814-758d-42f3-a2c6-c4ac9fe0d2c4")</f>
        <v>d86e7814-758d-42f3-a2c6-c4ac9fe0d2c4</v>
      </c>
    </row>
    <row r="455">
      <c r="A455" s="10" t="str">
        <f>IFERROR(__xludf.DUMMYFUNCTION("""COMPUTED_VALUE"""),"Your Brain 2.0: Unlocking machines with your mind")</f>
        <v>Your Brain 2.0: Unlocking machines with your mind</v>
      </c>
      <c r="B455" s="10" t="str">
        <f>IFERROR(__xludf.DUMMYFUNCTION("""COMPUTED_VALUE"""),"Ctrl-labs is developing a device capable of translating electrical muscle impulses into digital signals. Does this herald the merging of man and machine? ")</f>
        <v>Ctrl-labs is developing a device capable of translating electrical muscle impulses into digital signals. Does this herald the merging of man and machine? </v>
      </c>
      <c r="C455" s="10" t="str">
        <f>IFERROR(__xludf.DUMMYFUNCTION("""COMPUTED_VALUE"""),"DeepTech")</f>
        <v>DeepTech</v>
      </c>
      <c r="D455" s="10" t="str">
        <f>IFERROR(__xludf.DUMMYFUNCTION("""COMPUTED_VALUE"""),"Thomas Reardon")</f>
        <v>Thomas Reardon</v>
      </c>
      <c r="E455" s="10" t="str">
        <f>IFERROR(__xludf.DUMMYFUNCTION("""COMPUTED_VALUE"""),"Thomas Reardon")</f>
        <v>Thomas Reardon</v>
      </c>
      <c r="F455" s="10" t="str">
        <f>IFERROR(__xludf.DUMMYFUNCTION("""COMPUTED_VALUE"""),"2019/11/06 14:15:00")</f>
        <v>2019/11/06 14:15:00</v>
      </c>
      <c r="G455" s="10" t="str">
        <f>IFERROR(__xludf.DUMMYFUNCTION("""COMPUTED_VALUE"""),"2019/11/06 14:30:00")</f>
        <v>2019/11/06 14:30:00</v>
      </c>
      <c r="H455" s="10" t="str">
        <f>IFERROR(__xludf.DUMMYFUNCTION("""COMPUTED_VALUE"""),"df0a2710-99b3-48fe-93b7-e754edb86be8")</f>
        <v>df0a2710-99b3-48fe-93b7-e754edb86be8</v>
      </c>
      <c r="I455" s="10" t="str">
        <f>IFERROR(__xludf.DUMMYFUNCTION("""COMPUTED_VALUE"""),"df0a2710-99b3-48fe-93b7-e754edb86be8")</f>
        <v>df0a2710-99b3-48fe-93b7-e754edb86be8</v>
      </c>
    </row>
    <row r="456">
      <c r="A456" s="10" t="str">
        <f>IFERROR(__xludf.DUMMYFUNCTION("""COMPUTED_VALUE"""),"Reinvent the wheel: Scale fast &amp; please customers")</f>
        <v>Reinvent the wheel: Scale fast &amp; please customers</v>
      </c>
      <c r="B456" s="10" t="str">
        <f>IFERROR(__xludf.DUMMYFUNCTION("""COMPUTED_VALUE"""),"How Tylko reinvented the process of designing, manufacturing and buying furniture to become one of the fastest growing next-generation furniture companies.")</f>
        <v>How Tylko reinvented the process of designing, manufacturing and buying furniture to become one of the fastest growing next-generation furniture companies.</v>
      </c>
      <c r="C456" s="10" t="str">
        <f>IFERROR(__xludf.DUMMYFUNCTION("""COMPUTED_VALUE"""),"Growth Summit")</f>
        <v>Growth Summit</v>
      </c>
      <c r="D456" s="10" t="str">
        <f>IFERROR(__xludf.DUMMYFUNCTION("""COMPUTED_VALUE"""),"Benjamin Kuna")</f>
        <v>Benjamin Kuna</v>
      </c>
      <c r="E456" s="10" t="str">
        <f>IFERROR(__xludf.DUMMYFUNCTION("""COMPUTED_VALUE"""),"Benjamin Kuna")</f>
        <v>Benjamin Kuna</v>
      </c>
      <c r="F456" s="10" t="str">
        <f>IFERROR(__xludf.DUMMYFUNCTION("""COMPUTED_VALUE"""),"2019/11/05 11:18:00")</f>
        <v>2019/11/05 11:18:00</v>
      </c>
      <c r="G456" s="10" t="str">
        <f>IFERROR(__xludf.DUMMYFUNCTION("""COMPUTED_VALUE"""),"2019/11/05 11:22:00")</f>
        <v>2019/11/05 11:22:00</v>
      </c>
      <c r="H456" s="10" t="str">
        <f>IFERROR(__xludf.DUMMYFUNCTION("""COMPUTED_VALUE"""),"e682c1bb-fa68-42db-9b03-4016d52457a7")</f>
        <v>e682c1bb-fa68-42db-9b03-4016d52457a7</v>
      </c>
      <c r="I456" s="10" t="str">
        <f>IFERROR(__xludf.DUMMYFUNCTION("""COMPUTED_VALUE"""),"e682c1bb-fa68-42db-9b03-4016d52457a7")</f>
        <v>e682c1bb-fa68-42db-9b03-4016d52457a7</v>
      </c>
    </row>
    <row r="457">
      <c r="A457" s="10" t="str">
        <f>IFERROR(__xludf.DUMMYFUNCTION("""COMPUTED_VALUE"""),"Bridging Africa’s power gap: The disruptive power of clean energy tech")</f>
        <v>Bridging Africa’s power gap: The disruptive power of clean energy tech</v>
      </c>
      <c r="B457" s="10" t="str">
        <f>IFERROR(__xludf.DUMMYFUNCTION("""COMPUTED_VALUE"""),"Expensive and unreliable power represent a heavy burden for Africa’s businesses, impeding their growth and development. In two years, Daystar Power has built an ecosystem to provide power to over 100 locations in West Africa. CEO of the company, Olaedo, w"&amp;"ill outline Daystar Power’s growth trajectory in bridging Africa’s power gap with clean and reliable power.")</f>
        <v>Expensive and unreliable power represent a heavy burden for Africa’s businesses, impeding their growth and development. In two years, Daystar Power has built an ecosystem to provide power to over 100 locations in West Africa. CEO of the company, Olaedo, will outline Daystar Power’s growth trajectory in bridging Africa’s power gap with clean and reliable power.</v>
      </c>
      <c r="C457" s="10" t="str">
        <f>IFERROR(__xludf.DUMMYFUNCTION("""COMPUTED_VALUE"""),"Growth Summit")</f>
        <v>Growth Summit</v>
      </c>
      <c r="D457" s="10" t="str">
        <f>IFERROR(__xludf.DUMMYFUNCTION("""COMPUTED_VALUE"""),"Olaedo Osoka")</f>
        <v>Olaedo Osoka</v>
      </c>
      <c r="E457" s="10" t="str">
        <f>IFERROR(__xludf.DUMMYFUNCTION("""COMPUTED_VALUE"""),"Olaedo Osoka")</f>
        <v>Olaedo Osoka</v>
      </c>
      <c r="F457" s="10" t="str">
        <f>IFERROR(__xludf.DUMMYFUNCTION("""COMPUTED_VALUE"""),"2019/11/06 13:03:00")</f>
        <v>2019/11/06 13:03:00</v>
      </c>
      <c r="G457" s="10" t="str">
        <f>IFERROR(__xludf.DUMMYFUNCTION("""COMPUTED_VALUE"""),"2019/11/06 13:14:00")</f>
        <v>2019/11/06 13:14:00</v>
      </c>
      <c r="H457" s="10" t="str">
        <f>IFERROR(__xludf.DUMMYFUNCTION("""COMPUTED_VALUE"""),"04eba973-7a52-4779-8ba0-e3a83a9b3198")</f>
        <v>04eba973-7a52-4779-8ba0-e3a83a9b3198</v>
      </c>
      <c r="I457" s="10" t="str">
        <f>IFERROR(__xludf.DUMMYFUNCTION("""COMPUTED_VALUE"""),"04eba973-7a52-4779-8ba0-e3a83a9b3198")</f>
        <v>04eba973-7a52-4779-8ba0-e3a83a9b3198</v>
      </c>
    </row>
    <row r="458">
      <c r="A458" s="10" t="str">
        <f>IFERROR(__xludf.DUMMYFUNCTION("""COMPUTED_VALUE"""),"To scale or not to scale?")</f>
        <v>To scale or not to scale?</v>
      </c>
      <c r="B458" s="10" t="str">
        <f>IFERROR(__xludf.DUMMYFUNCTION("""COMPUTED_VALUE"""),"The startup world is a fast-growing, responsive one. The majority of founders will face a dilemma of whether or not to scale their businesses. Join the founders of Crossbeam, Sisense and TripActions who will share their experiences.")</f>
        <v>The startup world is a fast-growing, responsive one. The majority of founders will face a dilemma of whether or not to scale their businesses. Join the founders of Crossbeam, Sisense and TripActions who will share their experiences.</v>
      </c>
      <c r="C458" s="10" t="str">
        <f>IFERROR(__xludf.DUMMYFUNCTION("""COMPUTED_VALUE"""),"SaaS Monster")</f>
        <v>SaaS Monster</v>
      </c>
      <c r="D458" s="10" t="str">
        <f>IFERROR(__xludf.DUMMYFUNCTION("""COMPUTED_VALUE"""),"Ariel Cohen, Bob Moore, Lingjia Tang and Kimberly Weisul")</f>
        <v>Ariel Cohen, Bob Moore, Lingjia Tang and Kimberly Weisul</v>
      </c>
      <c r="E458" s="10" t="str">
        <f>IFERROR(__xludf.DUMMYFUNCTION("""COMPUTED_VALUE"""),"Ariel Cohen,Bob Moore,Lingjia Tang,Kimberly Weisul")</f>
        <v>Ariel Cohen,Bob Moore,Lingjia Tang,Kimberly Weisul</v>
      </c>
      <c r="F458" s="10" t="str">
        <f>IFERROR(__xludf.DUMMYFUNCTION("""COMPUTED_VALUE"""),"2019/11/05 11:30:00")</f>
        <v>2019/11/05 11:30:00</v>
      </c>
      <c r="G458" s="10" t="str">
        <f>IFERROR(__xludf.DUMMYFUNCTION("""COMPUTED_VALUE"""),"2019/11/05 11:50:00")</f>
        <v>2019/11/05 11:50:00</v>
      </c>
      <c r="H458" s="10" t="str">
        <f>IFERROR(__xludf.DUMMYFUNCTION("""COMPUTED_VALUE"""),"6a495aed-ecdf-47ec-8c0a-e6f37e1afeb2")</f>
        <v>6a495aed-ecdf-47ec-8c0a-e6f37e1afeb2</v>
      </c>
      <c r="I458" s="10" t="str">
        <f>IFERROR(__xludf.DUMMYFUNCTION("""COMPUTED_VALUE"""),"6a495aed-ecdf-47ec-8c0a-e6f37e1afeb2")</f>
        <v>6a495aed-ecdf-47ec-8c0a-e6f37e1afeb2</v>
      </c>
    </row>
    <row r="459">
      <c r="A459" s="10" t="str">
        <f>IFERROR(__xludf.DUMMYFUNCTION("""COMPUTED_VALUE"""),"The future of human existence: Proximity, productivity and the pursuit of happiness")</f>
        <v>The future of human existence: Proximity, productivity and the pursuit of happiness</v>
      </c>
      <c r="B459" s="10" t="str">
        <f>IFERROR(__xludf.DUMMYFUNCTION("""COMPUTED_VALUE"""),"The physical reality and close proximity that has defined humans for tens of thousands of years has been disrupted over the last century as mass movements of people have disconnected them from their cultures and values. Digital networks and platforms have"&amp;" attempted to solve this conundrum by allowing people to form virtual communities. Marcus Weldon will describe how the technologies of the future will allow humanity to create a new global-local reality, one that allows an augmented human to achieve the i"&amp;"mpossible in the most challenging of environments.")</f>
        <v>The physical reality and close proximity that has defined humans for tens of thousands of years has been disrupted over the last century as mass movements of people have disconnected them from their cultures and values. Digital networks and platforms have attempted to solve this conundrum by allowing people to form virtual communities. Marcus Weldon will describe how the technologies of the future will allow humanity to create a new global-local reality, one that allows an augmented human to achieve the impossible in the most challenging of environments.</v>
      </c>
      <c r="C459" s="10" t="str">
        <f>IFERROR(__xludf.DUMMYFUNCTION("""COMPUTED_VALUE"""),"Future Societies")</f>
        <v>Future Societies</v>
      </c>
      <c r="D459" s="10" t="str">
        <f>IFERROR(__xludf.DUMMYFUNCTION("""COMPUTED_VALUE"""),"Marcus Weldon")</f>
        <v>Marcus Weldon</v>
      </c>
      <c r="E459" s="10" t="str">
        <f>IFERROR(__xludf.DUMMYFUNCTION("""COMPUTED_VALUE"""),"Marcus Weldon")</f>
        <v>Marcus Weldon</v>
      </c>
      <c r="F459" s="10" t="str">
        <f>IFERROR(__xludf.DUMMYFUNCTION("""COMPUTED_VALUE"""),"2019/11/05 10:20:00")</f>
        <v>2019/11/05 10:20:00</v>
      </c>
      <c r="G459" s="10" t="str">
        <f>IFERROR(__xludf.DUMMYFUNCTION("""COMPUTED_VALUE"""),"2019/11/05 10:45:00")</f>
        <v>2019/11/05 10:45:00</v>
      </c>
      <c r="H459" s="10" t="str">
        <f>IFERROR(__xludf.DUMMYFUNCTION("""COMPUTED_VALUE"""),"9c19b48a-35b6-4a36-967d-67127fe4da6c")</f>
        <v>9c19b48a-35b6-4a36-967d-67127fe4da6c</v>
      </c>
      <c r="I459" s="10" t="str">
        <f>IFERROR(__xludf.DUMMYFUNCTION("""COMPUTED_VALUE"""),"9c19b48a-35b6-4a36-967d-67127fe4da6c")</f>
        <v>9c19b48a-35b6-4a36-967d-67127fe4da6c</v>
      </c>
    </row>
    <row r="460">
      <c r="A460" s="10" t="str">
        <f>IFERROR(__xludf.DUMMYFUNCTION("""COMPUTED_VALUE"""),"PITCH group round 6")</f>
        <v>PITCH group round 6</v>
      </c>
      <c r="B460" s="10" t="str">
        <f>IFERROR(__xludf.DUMMYFUNCTION("""COMPUTED_VALUE"""),"")</f>
        <v/>
      </c>
      <c r="C460" s="10" t="str">
        <f>IFERROR(__xludf.DUMMYFUNCTION("""COMPUTED_VALUE"""),"PITCH 3")</f>
        <v>PITCH 3</v>
      </c>
      <c r="D460" s="10" t="str">
        <f>IFERROR(__xludf.DUMMYFUNCTION("""COMPUTED_VALUE"""),"Dennis Smith, Miles Kirby, Yancey Spruill, Brendan Yell, Paulo Pinho, Tomasz Florczak, Nuno Brito Jorge, Jihye Roh, Etienne Koo, Hana Sutch and Manuel Milliery")</f>
        <v>Dennis Smith, Miles Kirby, Yancey Spruill, Brendan Yell, Paulo Pinho, Tomasz Florczak, Nuno Brito Jorge, Jihye Roh, Etienne Koo, Hana Sutch and Manuel Milliery</v>
      </c>
      <c r="E460" s="10" t="str">
        <f>IFERROR(__xludf.DUMMYFUNCTION("""COMPUTED_VALUE"""),"Dennis Smith,Miles Kirby,Yancey Spruill,Brendan Yell,Paulo Pinho,Tomasz Florczak,Nuno Brito Jorge,Jihye Roh,Etienne Koo,Hana Sutch,Manuel Milliery")</f>
        <v>Dennis Smith,Miles Kirby,Yancey Spruill,Brendan Yell,Paulo Pinho,Tomasz Florczak,Nuno Brito Jorge,Jihye Roh,Etienne Koo,Hana Sutch,Manuel Milliery</v>
      </c>
      <c r="F460" s="10" t="str">
        <f>IFERROR(__xludf.DUMMYFUNCTION("""COMPUTED_VALUE"""),"2019/11/05 10:15:00")</f>
        <v>2019/11/05 10:15:00</v>
      </c>
      <c r="G460" s="10" t="str">
        <f>IFERROR(__xludf.DUMMYFUNCTION("""COMPUTED_VALUE"""),"2019/11/05 11:15:00")</f>
        <v>2019/11/05 11:15:00</v>
      </c>
      <c r="H460" s="10" t="str">
        <f>IFERROR(__xludf.DUMMYFUNCTION("""COMPUTED_VALUE"""),"956995f2-54dd-423d-84cb-61dc1aaac201")</f>
        <v>956995f2-54dd-423d-84cb-61dc1aaac201</v>
      </c>
      <c r="I460" s="10" t="str">
        <f>IFERROR(__xludf.DUMMYFUNCTION("""COMPUTED_VALUE"""),"956995f2-54dd-423d-84cb-61dc1aaac201")</f>
        <v>956995f2-54dd-423d-84cb-61dc1aaac201</v>
      </c>
    </row>
    <row r="461">
      <c r="A461" s="10" t="str">
        <f>IFERROR(__xludf.DUMMYFUNCTION("""COMPUTED_VALUE"""),"The code: Business secrets from Silicon Valley")</f>
        <v>The code: Business secrets from Silicon Valley</v>
      </c>
      <c r="B461" s="10" t="str">
        <f>IFERROR(__xludf.DUMMYFUNCTION("""COMPUTED_VALUE"""),"What’s the secret of Silicon Valley’s success? How has one place produced so many generations of market-defining companies? Author Margaret O’Mara discusses the lessons for global business found in the true, behind-the-scenes history of the people who bui"&amp;"lt Silicon Valley and shaped Big Tech in the USA.")</f>
        <v>What’s the secret of Silicon Valley’s success? How has one place produced so many generations of market-defining companies? Author Margaret O’Mara discusses the lessons for global business found in the true, behind-the-scenes history of the people who built Silicon Valley and shaped Big Tech in the USA.</v>
      </c>
      <c r="C461" s="10" t="str">
        <f>IFERROR(__xludf.DUMMYFUNCTION("""COMPUTED_VALUE"""),"Corporate Innovation Summit")</f>
        <v>Corporate Innovation Summit</v>
      </c>
      <c r="D461" s="10" t="str">
        <f>IFERROR(__xludf.DUMMYFUNCTION("""COMPUTED_VALUE"""),"Margaret O'Mara")</f>
        <v>Margaret O'Mara</v>
      </c>
      <c r="E461" s="10" t="str">
        <f>IFERROR(__xludf.DUMMYFUNCTION("""COMPUTED_VALUE"""),"Margaret O'Mara")</f>
        <v>Margaret O'Mara</v>
      </c>
      <c r="F461" s="10" t="str">
        <f>IFERROR(__xludf.DUMMYFUNCTION("""COMPUTED_VALUE"""),"2019/11/05 10:15:00")</f>
        <v>2019/11/05 10:15:00</v>
      </c>
      <c r="G461" s="10" t="str">
        <f>IFERROR(__xludf.DUMMYFUNCTION("""COMPUTED_VALUE"""),"2019/11/05 10:35:00")</f>
        <v>2019/11/05 10:35:00</v>
      </c>
      <c r="H461" s="10" t="str">
        <f>IFERROR(__xludf.DUMMYFUNCTION("""COMPUTED_VALUE"""),"399de8d4-96aa-442c-a383-c8d98cbc61f6")</f>
        <v>399de8d4-96aa-442c-a383-c8d98cbc61f6</v>
      </c>
      <c r="I461" s="10" t="str">
        <f>IFERROR(__xludf.DUMMYFUNCTION("""COMPUTED_VALUE"""),"399de8d4-96aa-442c-a383-c8d98cbc61f6")</f>
        <v>399de8d4-96aa-442c-a383-c8d98cbc61f6</v>
      </c>
    </row>
    <row r="462">
      <c r="A462" s="10" t="str">
        <f>IFERROR(__xludf.DUMMYFUNCTION("""COMPUTED_VALUE"""),"Opening remarks ")</f>
        <v>Opening remarks </v>
      </c>
      <c r="B462" s="10" t="str">
        <f>IFERROR(__xludf.DUMMYFUNCTION("""COMPUTED_VALUE"""),"")</f>
        <v/>
      </c>
      <c r="C462" s="10" t="str">
        <f>IFERROR(__xludf.DUMMYFUNCTION("""COMPUTED_VALUE"""),"MoneyConf")</f>
        <v>MoneyConf</v>
      </c>
      <c r="D462" s="10" t="str">
        <f>IFERROR(__xludf.DUMMYFUNCTION("""COMPUTED_VALUE"""),"Muneeb Ali")</f>
        <v>Muneeb Ali</v>
      </c>
      <c r="E462" s="10" t="str">
        <f>IFERROR(__xludf.DUMMYFUNCTION("""COMPUTED_VALUE"""),"Muneeb Ali")</f>
        <v>Muneeb Ali</v>
      </c>
      <c r="F462" s="10" t="str">
        <f>IFERROR(__xludf.DUMMYFUNCTION("""COMPUTED_VALUE"""),"2019/11/06 10:45:00")</f>
        <v>2019/11/06 10:45:00</v>
      </c>
      <c r="G462" s="10" t="str">
        <f>IFERROR(__xludf.DUMMYFUNCTION("""COMPUTED_VALUE"""),"2019/11/06 11:00:00")</f>
        <v>2019/11/06 11:00:00</v>
      </c>
      <c r="H462" s="10" t="str">
        <f>IFERROR(__xludf.DUMMYFUNCTION("""COMPUTED_VALUE"""),"1b66f317-c871-47ad-a39d-5385bcaccee1")</f>
        <v>1b66f317-c871-47ad-a39d-5385bcaccee1</v>
      </c>
      <c r="I462" s="10" t="str">
        <f>IFERROR(__xludf.DUMMYFUNCTION("""COMPUTED_VALUE"""),"1b66f317-c871-47ad-a39d-5385bcaccee1")</f>
        <v>1b66f317-c871-47ad-a39d-5385bcaccee1</v>
      </c>
    </row>
    <row r="463">
      <c r="A463" s="10" t="str">
        <f>IFERROR(__xludf.DUMMYFUNCTION("""COMPUTED_VALUE"""),"How to build an impossible unicorn")</f>
        <v>How to build an impossible unicorn</v>
      </c>
      <c r="B463" s="10" t="str">
        <f>IFERROR(__xludf.DUMMYFUNCTION("""COMPUTED_VALUE"""),"Early on, Jean-Stéphane got told that Talentsoft would never grow at scale. Today Talentsoft counts 700 employees in 15 countries and is identified as one of the Next 40 Tech Giants by the French Government. Jean-Stéphane will share the important growth m"&amp;"ilestones that have made Talentsoft an international success.")</f>
        <v>Early on, Jean-Stéphane got told that Talentsoft would never grow at scale. Today Talentsoft counts 700 employees in 15 countries and is identified as one of the Next 40 Tech Giants by the French Government. Jean-Stéphane will share the important growth milestones that have made Talentsoft an international success.</v>
      </c>
      <c r="C463" s="10" t="str">
        <f>IFERROR(__xludf.DUMMYFUNCTION("""COMPUTED_VALUE"""),"Growth Summit")</f>
        <v>Growth Summit</v>
      </c>
      <c r="D463" s="10" t="str">
        <f>IFERROR(__xludf.DUMMYFUNCTION("""COMPUTED_VALUE"""),"Jean-Stéphane Arcis")</f>
        <v>Jean-Stéphane Arcis</v>
      </c>
      <c r="E463" s="10" t="str">
        <f>IFERROR(__xludf.DUMMYFUNCTION("""COMPUTED_VALUE"""),"Jean-Stéphane Arcis")</f>
        <v>Jean-Stéphane Arcis</v>
      </c>
      <c r="F463" s="10" t="str">
        <f>IFERROR(__xludf.DUMMYFUNCTION("""COMPUTED_VALUE"""),"2019/11/06 15:26:00")</f>
        <v>2019/11/06 15:26:00</v>
      </c>
      <c r="G463" s="10" t="str">
        <f>IFERROR(__xludf.DUMMYFUNCTION("""COMPUTED_VALUE"""),"2019/11/06 15:37:00")</f>
        <v>2019/11/06 15:37:00</v>
      </c>
      <c r="H463" s="10" t="str">
        <f>IFERROR(__xludf.DUMMYFUNCTION("""COMPUTED_VALUE"""),"c10e2b75-eaa6-4191-9b04-66834451c9ff")</f>
        <v>c10e2b75-eaa6-4191-9b04-66834451c9ff</v>
      </c>
      <c r="I463" s="10" t="str">
        <f>IFERROR(__xludf.DUMMYFUNCTION("""COMPUTED_VALUE"""),"c10e2b75-eaa6-4191-9b04-66834451c9ff")</f>
        <v>c10e2b75-eaa6-4191-9b04-66834451c9ff</v>
      </c>
    </row>
    <row r="464">
      <c r="A464" s="10" t="str">
        <f>IFERROR(__xludf.DUMMYFUNCTION("""COMPUTED_VALUE"""),"Opening remarks")</f>
        <v>Opening remarks</v>
      </c>
      <c r="B464" s="10" t="str">
        <f>IFERROR(__xludf.DUMMYFUNCTION("""COMPUTED_VALUE"""),"")</f>
        <v/>
      </c>
      <c r="C464" s="10" t="str">
        <f>IFERROR(__xludf.DUMMYFUNCTION("""COMPUTED_VALUE"""),"Growth Summit")</f>
        <v>Growth Summit</v>
      </c>
      <c r="D464" s="10" t="str">
        <f>IFERROR(__xludf.DUMMYFUNCTION("""COMPUTED_VALUE"""),"Francisco Alves da Silva")</f>
        <v>Francisco Alves da Silva</v>
      </c>
      <c r="E464" s="10" t="str">
        <f>IFERROR(__xludf.DUMMYFUNCTION("""COMPUTED_VALUE"""),"Francisco Alves da Silva")</f>
        <v>Francisco Alves da Silva</v>
      </c>
      <c r="F464" s="10" t="str">
        <f>IFERROR(__xludf.DUMMYFUNCTION("""COMPUTED_VALUE"""),"2019/11/07 12:28:00")</f>
        <v>2019/11/07 12:28:00</v>
      </c>
      <c r="G464" s="10" t="str">
        <f>IFERROR(__xludf.DUMMYFUNCTION("""COMPUTED_VALUE"""),"2019/11/07 12:30:00")</f>
        <v>2019/11/07 12:30:00</v>
      </c>
      <c r="H464" s="10" t="str">
        <f>IFERROR(__xludf.DUMMYFUNCTION("""COMPUTED_VALUE"""),"0e597982-da41-4399-b130-a7ce488655ba")</f>
        <v>0e597982-da41-4399-b130-a7ce488655ba</v>
      </c>
      <c r="I464" s="10" t="str">
        <f>IFERROR(__xludf.DUMMYFUNCTION("""COMPUTED_VALUE"""),"0e597982-da41-4399-b130-a7ce488655ba")</f>
        <v>0e597982-da41-4399-b130-a7ce488655ba</v>
      </c>
    </row>
    <row r="465">
      <c r="A465" s="10" t="str">
        <f>IFERROR(__xludf.DUMMYFUNCTION("""COMPUTED_VALUE"""),"Purpose as an accelerator for transformation")</f>
        <v>Purpose as an accelerator for transformation</v>
      </c>
      <c r="B465" s="10" t="str">
        <f>IFERROR(__xludf.DUMMYFUNCTION("""COMPUTED_VALUE"""),"“Purpose” can certainly be elected marketing buzzword of 2019 which inevitably comes with heated debates, and infamous counterexamples of brands trying to own a truthful role in society. Beyond idealism, an authentic purpose can allow an organisation to a"&amp;"chieve common goals, connecting a brand with culture and transforming how a company works.
")</f>
        <v>“Purpose” can certainly be elected marketing buzzword of 2019 which inevitably comes with heated debates, and infamous counterexamples of brands trying to own a truthful role in society. Beyond idealism, an authentic purpose can allow an organisation to achieve common goals, connecting a brand with culture and transforming how a company works.
</v>
      </c>
      <c r="C465" s="10" t="str">
        <f>IFERROR(__xludf.DUMMYFUNCTION("""COMPUTED_VALUE"""),"Corporate Innovation Summit")</f>
        <v>Corporate Innovation Summit</v>
      </c>
      <c r="D465" s="10" t="str">
        <f>IFERROR(__xludf.DUMMYFUNCTION("""COMPUTED_VALUE"""),"Andre Le Masurier, George Aivazoglou and Marty Swant")</f>
        <v>Andre Le Masurier, George Aivazoglou and Marty Swant</v>
      </c>
      <c r="E465" s="10" t="str">
        <f>IFERROR(__xludf.DUMMYFUNCTION("""COMPUTED_VALUE"""),"Andre Le Masurier,George Aivazoglou,Marty Swant")</f>
        <v>Andre Le Masurier,George Aivazoglou,Marty Swant</v>
      </c>
      <c r="F465" s="10" t="str">
        <f>IFERROR(__xludf.DUMMYFUNCTION("""COMPUTED_VALUE"""),"2019/11/07 11:00:00")</f>
        <v>2019/11/07 11:00:00</v>
      </c>
      <c r="G465" s="10" t="str">
        <f>IFERROR(__xludf.DUMMYFUNCTION("""COMPUTED_VALUE"""),"2019/11/07 11:20:00")</f>
        <v>2019/11/07 11:20:00</v>
      </c>
      <c r="H465" s="10" t="str">
        <f>IFERROR(__xludf.DUMMYFUNCTION("""COMPUTED_VALUE"""),"a8ae5789-78e4-4970-8dce-451e54bd8ac5")</f>
        <v>a8ae5789-78e4-4970-8dce-451e54bd8ac5</v>
      </c>
      <c r="I465" s="10" t="str">
        <f>IFERROR(__xludf.DUMMYFUNCTION("""COMPUTED_VALUE"""),"a8ae5789-78e4-4970-8dce-451e54bd8ac5")</f>
        <v>a8ae5789-78e4-4970-8dce-451e54bd8ac5</v>
      </c>
    </row>
    <row r="466">
      <c r="A466" s="10" t="str">
        <f>IFERROR(__xludf.DUMMYFUNCTION("""COMPUTED_VALUE"""),"Machine Demo Round 1")</f>
        <v>Machine Demo Round 1</v>
      </c>
      <c r="B466" s="10"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466" s="10" t="str">
        <f>IFERROR(__xludf.DUMMYFUNCTION("""COMPUTED_VALUE"""),"Machine Demo")</f>
        <v>Machine Demo</v>
      </c>
      <c r="D466" s="10" t="str">
        <f>IFERROR(__xludf.DUMMYFUNCTION("""COMPUTED_VALUE"""),"Yamilette Cano, Olivier Zitvogel, Leo Scott Smith, Siva Chennupati, Daniel Sozonov and Egor Pchelnikov")</f>
        <v>Yamilette Cano, Olivier Zitvogel, Leo Scott Smith, Siva Chennupati, Daniel Sozonov and Egor Pchelnikov</v>
      </c>
      <c r="E466" s="10" t="str">
        <f>IFERROR(__xludf.DUMMYFUNCTION("""COMPUTED_VALUE"""),"Yamilette Cano,Olivier Zitvogel,Leo Scott Smith,Siva Chennupati,Daniel Sozonov,Egor Pchelnikov")</f>
        <v>Yamilette Cano,Olivier Zitvogel,Leo Scott Smith,Siva Chennupati,Daniel Sozonov,Egor Pchelnikov</v>
      </c>
      <c r="F466" s="10" t="str">
        <f>IFERROR(__xludf.DUMMYFUNCTION("""COMPUTED_VALUE"""),"2019/11/07 09:15:00")</f>
        <v>2019/11/07 09:15:00</v>
      </c>
      <c r="G466" s="10" t="str">
        <f>IFERROR(__xludf.DUMMYFUNCTION("""COMPUTED_VALUE"""),"2019/11/07 10:15:00")</f>
        <v>2019/11/07 10:15:00</v>
      </c>
      <c r="H466" s="10" t="str">
        <f>IFERROR(__xludf.DUMMYFUNCTION("""COMPUTED_VALUE"""),"0df02c2b-2564-48dd-bd12-11d2393f31eb")</f>
        <v>0df02c2b-2564-48dd-bd12-11d2393f31eb</v>
      </c>
      <c r="I466" s="10" t="str">
        <f>IFERROR(__xludf.DUMMYFUNCTION("""COMPUTED_VALUE"""),"0df02c2b-2564-48dd-bd12-11d2393f31eb")</f>
        <v>0df02c2b-2564-48dd-bd12-11d2393f31eb</v>
      </c>
    </row>
    <row r="467">
      <c r="A467" s="10" t="str">
        <f>IFERROR(__xludf.DUMMYFUNCTION("""COMPUTED_VALUE"""),"ATM 2")</f>
        <v>ATM 2</v>
      </c>
      <c r="B467" s="10" t="str">
        <f>IFERROR(__xludf.DUMMYFUNCTION("""COMPUTED_VALUE"""),"")</f>
        <v/>
      </c>
      <c r="C467" s="10" t="str">
        <f>IFERROR(__xludf.DUMMYFUNCTION("""COMPUTED_VALUE"""),"ATM - 2 - Nov 6")</f>
        <v>ATM - 2 - Nov 6</v>
      </c>
      <c r="D467" s="10" t="str">
        <f>IFERROR(__xludf.DUMMYFUNCTION("""COMPUTED_VALUE"""),"")</f>
        <v/>
      </c>
      <c r="E467" s="10" t="str">
        <f>IFERROR(__xludf.DUMMYFUNCTION("""COMPUTED_VALUE"""),"")</f>
        <v/>
      </c>
      <c r="F467" s="10" t="str">
        <f>IFERROR(__xludf.DUMMYFUNCTION("""COMPUTED_VALUE"""),"2019/11/06 20:01:00")</f>
        <v>2019/11/06 20:01:00</v>
      </c>
      <c r="G467" s="10" t="str">
        <f>IFERROR(__xludf.DUMMYFUNCTION("""COMPUTED_VALUE"""),"2019/11/07 02:00:00")</f>
        <v>2019/11/07 02:00:00</v>
      </c>
      <c r="H467" s="10" t="str">
        <f>IFERROR(__xludf.DUMMYFUNCTION("""COMPUTED_VALUE"""),"2798ce0a-13b4-4df5-9d57-fd9ee08c2af8")</f>
        <v>2798ce0a-13b4-4df5-9d57-fd9ee08c2af8</v>
      </c>
      <c r="I467" s="10" t="str">
        <f>IFERROR(__xludf.DUMMYFUNCTION("""COMPUTED_VALUE"""),"2798ce0a-13b4-4df5-9d57-fd9ee08c2af8")</f>
        <v>2798ce0a-13b4-4df5-9d57-fd9ee08c2af8</v>
      </c>
    </row>
    <row r="468">
      <c r="A468" s="24" t="str">
        <f>IFERROR(__xludf.DUMMYFUNCTION("""COMPUTED_VALUE"""),"Amazon.ai")</f>
        <v>Amazon.ai</v>
      </c>
      <c r="B468" s="10" t="str">
        <f>IFERROR(__xludf.DUMMYFUNCTION("""COMPUTED_VALUE"""),"Machine learning is fundamentally changing the world around us. Amazon has been one of the powerhouses of applied ML almost from its start 25 years ago. It operates hundreds of ML driven services, from counterfeit good detection to consumer review quality"&amp;" management. In this presentation Dr. Vogels details how Amazon has been successful in the application of ML and how AWS is democratising machine learning and putting it in the hands of every developer.")</f>
        <v>Machine learning is fundamentally changing the world around us. Amazon has been one of the powerhouses of applied ML almost from its start 25 years ago. It operates hundreds of ML driven services, from counterfeit good detection to consumer review quality management. In this presentation Dr. Vogels details how Amazon has been successful in the application of ML and how AWS is democratising machine learning and putting it in the hands of every developer.</v>
      </c>
      <c r="C468" s="10" t="str">
        <f>IFERROR(__xludf.DUMMYFUNCTION("""COMPUTED_VALUE"""),"Centre Stage")</f>
        <v>Centre Stage</v>
      </c>
      <c r="D468" s="10" t="str">
        <f>IFERROR(__xludf.DUMMYFUNCTION("""COMPUTED_VALUE"""),"Werner Vogels")</f>
        <v>Werner Vogels</v>
      </c>
      <c r="E468" s="10" t="str">
        <f>IFERROR(__xludf.DUMMYFUNCTION("""COMPUTED_VALUE"""),"Werner Vogels")</f>
        <v>Werner Vogels</v>
      </c>
      <c r="F468" s="10" t="str">
        <f>IFERROR(__xludf.DUMMYFUNCTION("""COMPUTED_VALUE"""),"2019/11/06 16:40:00")</f>
        <v>2019/11/06 16:40:00</v>
      </c>
      <c r="G468" s="10" t="str">
        <f>IFERROR(__xludf.DUMMYFUNCTION("""COMPUTED_VALUE"""),"2019/11/06 17:00:00")</f>
        <v>2019/11/06 17:00:00</v>
      </c>
      <c r="H468" s="10" t="str">
        <f>IFERROR(__xludf.DUMMYFUNCTION("""COMPUTED_VALUE"""),"9197b5fd-4b13-4003-9582-e68c131c44f3")</f>
        <v>9197b5fd-4b13-4003-9582-e68c131c44f3</v>
      </c>
      <c r="I468" s="10" t="str">
        <f>IFERROR(__xludf.DUMMYFUNCTION("""COMPUTED_VALUE"""),"9197b5fd-4b13-4003-9582-e68c131c44f3")</f>
        <v>9197b5fd-4b13-4003-9582-e68c131c44f3</v>
      </c>
    </row>
    <row r="469">
      <c r="A469" s="10" t="str">
        <f>IFERROR(__xludf.DUMMYFUNCTION("""COMPUTED_VALUE"""),"The DNA of a great invention is a great unmet need")</f>
        <v>The DNA of a great invention is a great unmet need</v>
      </c>
      <c r="B469" s="10" t="str">
        <f>IFERROR(__xludf.DUMMYFUNCTION("""COMPUTED_VALUE"""),"Founder of Cala Health, Kate will outline how a relentless focus on customer's needs can lead to breakthrough innovation that transcends traditional industry boundaries. By reimagining electricity as a medicine, she'll explain how her company is changing "&amp;"both the way we treat the body and the way patients access their healthcare.")</f>
        <v>Founder of Cala Health, Kate will outline how a relentless focus on customer's needs can lead to breakthrough innovation that transcends traditional industry boundaries. By reimagining electricity as a medicine, she'll explain how her company is changing both the way we treat the body and the way patients access their healthcare.</v>
      </c>
      <c r="C469" s="10" t="str">
        <f>IFERROR(__xludf.DUMMYFUNCTION("""COMPUTED_VALUE"""),"Growth Summit")</f>
        <v>Growth Summit</v>
      </c>
      <c r="D469" s="10" t="str">
        <f>IFERROR(__xludf.DUMMYFUNCTION("""COMPUTED_VALUE"""),"Kate Rosenbluth")</f>
        <v>Kate Rosenbluth</v>
      </c>
      <c r="E469" s="10" t="str">
        <f>IFERROR(__xludf.DUMMYFUNCTION("""COMPUTED_VALUE"""),"Kate Rosenbluth")</f>
        <v>Kate Rosenbluth</v>
      </c>
      <c r="F469" s="10" t="str">
        <f>IFERROR(__xludf.DUMMYFUNCTION("""COMPUTED_VALUE"""),"2019/11/05 15:59:00")</f>
        <v>2019/11/05 15:59:00</v>
      </c>
      <c r="G469" s="10" t="str">
        <f>IFERROR(__xludf.DUMMYFUNCTION("""COMPUTED_VALUE"""),"2019/11/05 16:10:00")</f>
        <v>2019/11/05 16:10:00</v>
      </c>
      <c r="H469" s="10" t="str">
        <f>IFERROR(__xludf.DUMMYFUNCTION("""COMPUTED_VALUE"""),"8f1fb494-18df-473f-8594-3f5388e5f785")</f>
        <v>8f1fb494-18df-473f-8594-3f5388e5f785</v>
      </c>
      <c r="I469" s="10" t="str">
        <f>IFERROR(__xludf.DUMMYFUNCTION("""COMPUTED_VALUE"""),"8f1fb494-18df-473f-8594-3f5388e5f785")</f>
        <v>8f1fb494-18df-473f-8594-3f5388e5f785</v>
      </c>
    </row>
    <row r="470">
      <c r="A470" s="10" t="str">
        <f>IFERROR(__xludf.DUMMYFUNCTION("""COMPUTED_VALUE"""),"ShopAdvizor: Building collaborative ecosystems")</f>
        <v>ShopAdvizor: Building collaborative ecosystems</v>
      </c>
      <c r="B470" s="10" t="str">
        <f>IFERROR(__xludf.DUMMYFUNCTION("""COMPUTED_VALUE"""),"The CEO of ShopAdvizor, Diego will share how without fundraising, they have been able to onboard 1,000+ companies to participate in a collaborative ecosystem that turned into the biggest community of consumer goods reviews in France.")</f>
        <v>The CEO of ShopAdvizor, Diego will share how without fundraising, they have been able to onboard 1,000+ companies to participate in a collaborative ecosystem that turned into the biggest community of consumer goods reviews in France.</v>
      </c>
      <c r="C470" s="10" t="str">
        <f>IFERROR(__xludf.DUMMYFUNCTION("""COMPUTED_VALUE"""),"Growth Summit")</f>
        <v>Growth Summit</v>
      </c>
      <c r="D470" s="10" t="str">
        <f>IFERROR(__xludf.DUMMYFUNCTION("""COMPUTED_VALUE"""),"Diego Chorny")</f>
        <v>Diego Chorny</v>
      </c>
      <c r="E470" s="10" t="str">
        <f>IFERROR(__xludf.DUMMYFUNCTION("""COMPUTED_VALUE"""),"Diego Chorny")</f>
        <v>Diego Chorny</v>
      </c>
      <c r="F470" s="10" t="str">
        <f>IFERROR(__xludf.DUMMYFUNCTION("""COMPUTED_VALUE"""),"2019/11/06 10:14:00")</f>
        <v>2019/11/06 10:14:00</v>
      </c>
      <c r="G470" s="10" t="str">
        <f>IFERROR(__xludf.DUMMYFUNCTION("""COMPUTED_VALUE"""),"2019/11/06 10:18:00")</f>
        <v>2019/11/06 10:18:00</v>
      </c>
      <c r="H470" s="10" t="str">
        <f>IFERROR(__xludf.DUMMYFUNCTION("""COMPUTED_VALUE"""),"617644be-ed2a-4d1d-81a2-7d2a002112e1")</f>
        <v>617644be-ed2a-4d1d-81a2-7d2a002112e1</v>
      </c>
      <c r="I470" s="10" t="str">
        <f>IFERROR(__xludf.DUMMYFUNCTION("""COMPUTED_VALUE"""),"617644be-ed2a-4d1d-81a2-7d2a002112e1")</f>
        <v>617644be-ed2a-4d1d-81a2-7d2a002112e1</v>
      </c>
    </row>
    <row r="471">
      <c r="A471" s="10" t="str">
        <f>IFERROR(__xludf.DUMMYFUNCTION("""COMPUTED_VALUE"""),"The next generation of CRISPR")</f>
        <v>The next generation of CRISPR</v>
      </c>
      <c r="B471" s="10" t="str">
        <f>IFERROR(__xludf.DUMMYFUNCTION("""COMPUTED_VALUE"""),"Most people associate CRISPR with editing the genome, but Mammoth are building the next generation CRISPR platform with new enzymes that enable novel functions, including a brand new type of CRISPR based diagnostics. 
")</f>
        <v>Most people associate CRISPR with editing the genome, but Mammoth are building the next generation CRISPR platform with new enzymes that enable novel functions, including a brand new type of CRISPR based diagnostics. 
</v>
      </c>
      <c r="C471" s="10" t="str">
        <f>IFERROR(__xludf.DUMMYFUNCTION("""COMPUTED_VALUE"""),"Growth Summit")</f>
        <v>Growth Summit</v>
      </c>
      <c r="D471" s="10" t="str">
        <f>IFERROR(__xludf.DUMMYFUNCTION("""COMPUTED_VALUE"""),"Trevor Martin")</f>
        <v>Trevor Martin</v>
      </c>
      <c r="E471" s="10" t="str">
        <f>IFERROR(__xludf.DUMMYFUNCTION("""COMPUTED_VALUE"""),"Trevor Martin")</f>
        <v>Trevor Martin</v>
      </c>
      <c r="F471" s="10" t="str">
        <f>IFERROR(__xludf.DUMMYFUNCTION("""COMPUTED_VALUE"""),"2019/11/07 13:58:00")</f>
        <v>2019/11/07 13:58:00</v>
      </c>
      <c r="G471" s="10" t="str">
        <f>IFERROR(__xludf.DUMMYFUNCTION("""COMPUTED_VALUE"""),"2019/11/07 14:09:00")</f>
        <v>2019/11/07 14:09:00</v>
      </c>
      <c r="H471" s="10" t="str">
        <f>IFERROR(__xludf.DUMMYFUNCTION("""COMPUTED_VALUE"""),"0f8b290c-0329-4873-b798-cf319141eafd")</f>
        <v>0f8b290c-0329-4873-b798-cf319141eafd</v>
      </c>
      <c r="I471" s="10" t="str">
        <f>IFERROR(__xludf.DUMMYFUNCTION("""COMPUTED_VALUE"""),"0f8b290c-0329-4873-b798-cf319141eafd")</f>
        <v>0f8b290c-0329-4873-b798-cf319141eafd</v>
      </c>
    </row>
    <row r="472">
      <c r="A472" s="10" t="str">
        <f>IFERROR(__xludf.DUMMYFUNCTION("""COMPUTED_VALUE"""),"What is the role of a leader? ")</f>
        <v>What is the role of a leader? </v>
      </c>
      <c r="B472" s="10" t="str">
        <f>IFERROR(__xludf.DUMMYFUNCTION("""COMPUTED_VALUE"""),"Leading imaging unicorn Light talks about the pressure of leading a robust in-house R&amp;D department with the relentless pressure to go to market.
")</f>
        <v>Leading imaging unicorn Light talks about the pressure of leading a robust in-house R&amp;D department with the relentless pressure to go to market.
</v>
      </c>
      <c r="C472" s="10" t="str">
        <f>IFERROR(__xludf.DUMMYFUNCTION("""COMPUTED_VALUE"""),"Startup University")</f>
        <v>Startup University</v>
      </c>
      <c r="D472" s="10" t="str">
        <f>IFERROR(__xludf.DUMMYFUNCTION("""COMPUTED_VALUE"""),"Dave Grannan")</f>
        <v>Dave Grannan</v>
      </c>
      <c r="E472" s="10" t="str">
        <f>IFERROR(__xludf.DUMMYFUNCTION("""COMPUTED_VALUE"""),"Dave Grannan")</f>
        <v>Dave Grannan</v>
      </c>
      <c r="F472" s="10" t="str">
        <f>IFERROR(__xludf.DUMMYFUNCTION("""COMPUTED_VALUE"""),"2019/11/05 15:45:00")</f>
        <v>2019/11/05 15:45:00</v>
      </c>
      <c r="G472" s="10" t="str">
        <f>IFERROR(__xludf.DUMMYFUNCTION("""COMPUTED_VALUE"""),"2019/11/05 16:05:00")</f>
        <v>2019/11/05 16:05:00</v>
      </c>
      <c r="H472" s="10" t="str">
        <f>IFERROR(__xludf.DUMMYFUNCTION("""COMPUTED_VALUE"""),"c30ac702-fbcb-4f44-a5f8-5232947804fc")</f>
        <v>c30ac702-fbcb-4f44-a5f8-5232947804fc</v>
      </c>
      <c r="I472" s="10" t="str">
        <f>IFERROR(__xludf.DUMMYFUNCTION("""COMPUTED_VALUE"""),"c30ac702-fbcb-4f44-a5f8-5232947804fc")</f>
        <v>c30ac702-fbcb-4f44-a5f8-5232947804fc</v>
      </c>
    </row>
    <row r="473">
      <c r="A473" s="10" t="str">
        <f>IFERROR(__xludf.DUMMYFUNCTION("""COMPUTED_VALUE"""),"The three things every leader should know")</f>
        <v>The three things every leader should know</v>
      </c>
      <c r="B473" s="10" t="str">
        <f>IFERROR(__xludf.DUMMYFUNCTION("""COMPUTED_VALUE"""),"How can we inspire the next generation and create a new form of leadership in the digital age? What are the greatest challenges to a modern day leader? The leaders of eToro, Andela , Walmart and Mozilla share their insights.")</f>
        <v>How can we inspire the next generation and create a new form of leadership in the digital age? What are the greatest challenges to a modern day leader? The leaders of eToro, Andela , Walmart and Mozilla share their insights.</v>
      </c>
      <c r="C473" s="10" t="str">
        <f>IFERROR(__xludf.DUMMYFUNCTION("""COMPUTED_VALUE"""),"Centre Stage")</f>
        <v>Centre Stage</v>
      </c>
      <c r="D473" s="10" t="str">
        <f>IFERROR(__xludf.DUMMYFUNCTION("""COMPUTED_VALUE"""),"Yoni Assia, Mitchell Baker, Christina Sass, Jamie Iannone and Mike Butcher")</f>
        <v>Yoni Assia, Mitchell Baker, Christina Sass, Jamie Iannone and Mike Butcher</v>
      </c>
      <c r="E473" s="10" t="str">
        <f>IFERROR(__xludf.DUMMYFUNCTION("""COMPUTED_VALUE"""),"Yoni Assia,Mitchell Baker,Christina Sass,Jamie Iannone,Mike Butcher")</f>
        <v>Yoni Assia,Mitchell Baker,Christina Sass,Jamie Iannone,Mike Butcher</v>
      </c>
      <c r="F473" s="10" t="str">
        <f>IFERROR(__xludf.DUMMYFUNCTION("""COMPUTED_VALUE"""),"2019/11/07 10:50:00")</f>
        <v>2019/11/07 10:50:00</v>
      </c>
      <c r="G473" s="10" t="str">
        <f>IFERROR(__xludf.DUMMYFUNCTION("""COMPUTED_VALUE"""),"2019/11/07 11:15:00")</f>
        <v>2019/11/07 11:15:00</v>
      </c>
      <c r="H473" s="10" t="str">
        <f>IFERROR(__xludf.DUMMYFUNCTION("""COMPUTED_VALUE"""),"c37ddbc8-871a-4362-af76-1732220ef09a")</f>
        <v>c37ddbc8-871a-4362-af76-1732220ef09a</v>
      </c>
      <c r="I473" s="10" t="str">
        <f>IFERROR(__xludf.DUMMYFUNCTION("""COMPUTED_VALUE"""),"c37ddbc8-871a-4362-af76-1732220ef09a")</f>
        <v>c37ddbc8-871a-4362-af76-1732220ef09a</v>
      </c>
    </row>
    <row r="474">
      <c r="A474" s="10" t="str">
        <f>IFERROR(__xludf.DUMMYFUNCTION("""COMPUTED_VALUE"""),"Startup, then scale up.")</f>
        <v>Startup, then scale up.</v>
      </c>
      <c r="B474" s="10" t="str">
        <f>IFERROR(__xludf.DUMMYFUNCTION("""COMPUTED_VALUE"""),"Serial entrepreneurs talk about starting up on your own terms, and the formula to scaling without compromise. ")</f>
        <v>Serial entrepreneurs talk about starting up on your own terms, and the formula to scaling without compromise. </v>
      </c>
      <c r="C474" s="10" t="str">
        <f>IFERROR(__xludf.DUMMYFUNCTION("""COMPUTED_VALUE"""),"Startup University")</f>
        <v>Startup University</v>
      </c>
      <c r="D474" s="10" t="str">
        <f>IFERROR(__xludf.DUMMYFUNCTION("""COMPUTED_VALUE"""),"Francis Davidson and Shalini Khemka")</f>
        <v>Francis Davidson and Shalini Khemka</v>
      </c>
      <c r="E474" s="10" t="str">
        <f>IFERROR(__xludf.DUMMYFUNCTION("""COMPUTED_VALUE"""),"Francis Davidson,Shalini Khemka")</f>
        <v>Francis Davidson,Shalini Khemka</v>
      </c>
      <c r="F474" s="10" t="str">
        <f>IFERROR(__xludf.DUMMYFUNCTION("""COMPUTED_VALUE"""),"2019/11/06 14:35:00")</f>
        <v>2019/11/06 14:35:00</v>
      </c>
      <c r="G474" s="10" t="str">
        <f>IFERROR(__xludf.DUMMYFUNCTION("""COMPUTED_VALUE"""),"2019/11/06 14:55:00")</f>
        <v>2019/11/06 14:55:00</v>
      </c>
      <c r="H474" s="10" t="str">
        <f>IFERROR(__xludf.DUMMYFUNCTION("""COMPUTED_VALUE"""),"bd19905f-30c5-4192-87af-a121c85a5c37")</f>
        <v>bd19905f-30c5-4192-87af-a121c85a5c37</v>
      </c>
      <c r="I474" s="10" t="str">
        <f>IFERROR(__xludf.DUMMYFUNCTION("""COMPUTED_VALUE"""),"bd19905f-30c5-4192-87af-a121c85a5c37")</f>
        <v>bd19905f-30c5-4192-87af-a121c85a5c37</v>
      </c>
    </row>
    <row r="475">
      <c r="A475" s="10" t="str">
        <f>IFERROR(__xludf.DUMMYFUNCTION("""COMPUTED_VALUE"""),"Growing a celebrity brand in the digital age")</f>
        <v>Growing a celebrity brand in the digital age</v>
      </c>
      <c r="B475" s="10" t="str">
        <f>IFERROR(__xludf.DUMMYFUNCTION("""COMPUTED_VALUE"""),"How do you turn a sporting talent into a brand?  Sports stars have the platform but not always the know how to convert their status into success. Let's hear from the stars and the agents to the stars on how it's done.")</f>
        <v>How do you turn a sporting talent into a brand?  Sports stars have the platform but not always the know how to convert their status into success. Let's hear from the stars and the agents to the stars on how it's done.</v>
      </c>
      <c r="C475" s="10" t="str">
        <f>IFERROR(__xludf.DUMMYFUNCTION("""COMPUTED_VALUE"""),"PandaConf")</f>
        <v>PandaConf</v>
      </c>
      <c r="D475" s="10" t="str">
        <f>IFERROR(__xludf.DUMMYFUNCTION("""COMPUTED_VALUE"""),"Louis Saha, Simon Oliveira, Paige VanZant and Miguel Delaney")</f>
        <v>Louis Saha, Simon Oliveira, Paige VanZant and Miguel Delaney</v>
      </c>
      <c r="E475" s="10" t="str">
        <f>IFERROR(__xludf.DUMMYFUNCTION("""COMPUTED_VALUE"""),"Louis Saha,Simon Oliveira,Paige VanZant,Miguel Delaney")</f>
        <v>Louis Saha,Simon Oliveira,Paige VanZant,Miguel Delaney</v>
      </c>
      <c r="F475" s="10" t="str">
        <f>IFERROR(__xludf.DUMMYFUNCTION("""COMPUTED_VALUE"""),"2019/11/06 14:20:00")</f>
        <v>2019/11/06 14:20:00</v>
      </c>
      <c r="G475" s="10" t="str">
        <f>IFERROR(__xludf.DUMMYFUNCTION("""COMPUTED_VALUE"""),"2019/11/06 14:45:00")</f>
        <v>2019/11/06 14:45:00</v>
      </c>
      <c r="H475" s="10" t="str">
        <f>IFERROR(__xludf.DUMMYFUNCTION("""COMPUTED_VALUE"""),"390ba761-c981-4b58-94f6-84489df157bb")</f>
        <v>390ba761-c981-4b58-94f6-84489df157bb</v>
      </c>
      <c r="I475" s="10" t="str">
        <f>IFERROR(__xludf.DUMMYFUNCTION("""COMPUTED_VALUE"""),"390ba761-c981-4b58-94f6-84489df157bb")</f>
        <v>390ba761-c981-4b58-94f6-84489df157bb</v>
      </c>
    </row>
    <row r="476">
      <c r="A476" s="10" t="str">
        <f>IFERROR(__xludf.DUMMYFUNCTION("""COMPUTED_VALUE"""),"How to rise above digital noise and achieve hypergrowth")</f>
        <v>How to rise above digital noise and achieve hypergrowth</v>
      </c>
      <c r="B476" s="10" t="str">
        <f>IFERROR(__xludf.DUMMYFUNCTION("""COMPUTED_VALUE"""),"Learn how Sendoso got on people’s desks, instead of their inboxes, and saw triple-digit YoY customer growth and 893% user growth since the beginning of 2018.")</f>
        <v>Learn how Sendoso got on people’s desks, instead of their inboxes, and saw triple-digit YoY customer growth and 893% user growth since the beginning of 2018.</v>
      </c>
      <c r="C476" s="10" t="str">
        <f>IFERROR(__xludf.DUMMYFUNCTION("""COMPUTED_VALUE"""),"Growth Summit")</f>
        <v>Growth Summit</v>
      </c>
      <c r="D476" s="10" t="str">
        <f>IFERROR(__xludf.DUMMYFUNCTION("""COMPUTED_VALUE"""),"Kris Rudeegraap")</f>
        <v>Kris Rudeegraap</v>
      </c>
      <c r="E476" s="10" t="str">
        <f>IFERROR(__xludf.DUMMYFUNCTION("""COMPUTED_VALUE"""),"Kris Rudeegraap")</f>
        <v>Kris Rudeegraap</v>
      </c>
      <c r="F476" s="10" t="str">
        <f>IFERROR(__xludf.DUMMYFUNCTION("""COMPUTED_VALUE"""),"2019/11/06 10:30:00")</f>
        <v>2019/11/06 10:30:00</v>
      </c>
      <c r="G476" s="10" t="str">
        <f>IFERROR(__xludf.DUMMYFUNCTION("""COMPUTED_VALUE"""),"2019/11/06 10:34:00")</f>
        <v>2019/11/06 10:34:00</v>
      </c>
      <c r="H476" s="10" t="str">
        <f>IFERROR(__xludf.DUMMYFUNCTION("""COMPUTED_VALUE"""),"ea6b06e5-9ca9-4e4b-92e8-bcfdb371ddcf")</f>
        <v>ea6b06e5-9ca9-4e4b-92e8-bcfdb371ddcf</v>
      </c>
      <c r="I476" s="10" t="str">
        <f>IFERROR(__xludf.DUMMYFUNCTION("""COMPUTED_VALUE"""),"ea6b06e5-9ca9-4e4b-92e8-bcfdb371ddcf")</f>
        <v>ea6b06e5-9ca9-4e4b-92e8-bcfdb371ddcf</v>
      </c>
    </row>
    <row r="477">
      <c r="A477" s="10" t="str">
        <f>IFERROR(__xludf.DUMMYFUNCTION("""COMPUTED_VALUE"""),"Smart exits: How can we help?")</f>
        <v>Smart exits: How can we help?</v>
      </c>
      <c r="B477" s="10" t="str">
        <f>IFERROR(__xludf.DUMMYFUNCTION("""COMPUTED_VALUE"""),"Investors work together to help founders grow their companies and eventually reach the exit scenario. Join this panel to find out what role investors play in supporting their founders.
")</f>
        <v>Investors work together to help founders grow their companies and eventually reach the exit scenario. Join this panel to find out what role investors play in supporting their founders.
</v>
      </c>
      <c r="C477" s="10" t="str">
        <f>IFERROR(__xludf.DUMMYFUNCTION("""COMPUTED_VALUE"""),"Venture stage")</f>
        <v>Venture stage</v>
      </c>
      <c r="D477" s="10" t="str">
        <f>IFERROR(__xludf.DUMMYFUNCTION("""COMPUTED_VALUE"""),"Younghoon Park, Jean-Marc Patouillaud, Asaf Horesh and Mike Hollinger")</f>
        <v>Younghoon Park, Jean-Marc Patouillaud, Asaf Horesh and Mike Hollinger</v>
      </c>
      <c r="E477" s="10" t="str">
        <f>IFERROR(__xludf.DUMMYFUNCTION("""COMPUTED_VALUE"""),"Younghoon Park,Jean-Marc Patouillaud,Asaf Horesh,Mike Hollinger")</f>
        <v>Younghoon Park,Jean-Marc Patouillaud,Asaf Horesh,Mike Hollinger</v>
      </c>
      <c r="F477" s="10" t="str">
        <f>IFERROR(__xludf.DUMMYFUNCTION("""COMPUTED_VALUE"""),"2019/11/05 11:35:00")</f>
        <v>2019/11/05 11:35:00</v>
      </c>
      <c r="G477" s="10" t="str">
        <f>IFERROR(__xludf.DUMMYFUNCTION("""COMPUTED_VALUE"""),"2019/11/05 12:00:00")</f>
        <v>2019/11/05 12:00:00</v>
      </c>
      <c r="H477" s="10" t="str">
        <f>IFERROR(__xludf.DUMMYFUNCTION("""COMPUTED_VALUE"""),"a86f6d35-9ddf-4888-a2da-8c6f010e86fe")</f>
        <v>a86f6d35-9ddf-4888-a2da-8c6f010e86fe</v>
      </c>
      <c r="I477" s="10" t="str">
        <f>IFERROR(__xludf.DUMMYFUNCTION("""COMPUTED_VALUE"""),"a86f6d35-9ddf-4888-a2da-8c6f010e86fe")</f>
        <v>a86f6d35-9ddf-4888-a2da-8c6f010e86fe</v>
      </c>
    </row>
    <row r="478">
      <c r="A478" s="10" t="str">
        <f>IFERROR(__xludf.DUMMYFUNCTION("""COMPUTED_VALUE"""),"Improving your security posture with the AWS cloud")</f>
        <v>Improving your security posture with the AWS cloud</v>
      </c>
      <c r="B478" s="10" t="str">
        <f>IFERROR(__xludf.DUMMYFUNCTION("""COMPUTED_VALUE"""),"Security is priority number one for both AWS and our customers. In this session, learn how moving to the cloud can provide a higher degree of security compliant for your workload and understand how in the cloud, security scales as your business does. We w"&amp;"ill cover concepts such as the “shared responsibility model” and share real world examples of how customers have improved their security posture in the cloud, instead of with traditional approaches.")</f>
        <v>Security is priority number one for both AWS and our customers. In this session, learn how moving to the cloud can provide a higher degree of security compliant for your workload and understand how in the cloud, security scales as your business does. We will cover concepts such as the “shared responsibility model” and share real world examples of how customers have improved their security posture in the cloud, instead of with traditional approaches.</v>
      </c>
      <c r="C478" s="10" t="str">
        <f>IFERROR(__xludf.DUMMYFUNCTION("""COMPUTED_VALUE"""),"AWS Developer Workshops")</f>
        <v>AWS Developer Workshops</v>
      </c>
      <c r="D478" s="10" t="str">
        <f>IFERROR(__xludf.DUMMYFUNCTION("""COMPUTED_VALUE"""),"")</f>
        <v/>
      </c>
      <c r="E478" s="10" t="str">
        <f>IFERROR(__xludf.DUMMYFUNCTION("""COMPUTED_VALUE"""),"")</f>
        <v/>
      </c>
      <c r="F478" s="10" t="str">
        <f>IFERROR(__xludf.DUMMYFUNCTION("""COMPUTED_VALUE"""),"2019/11/06 15:00:00")</f>
        <v>2019/11/06 15:00:00</v>
      </c>
      <c r="G478" s="10" t="str">
        <f>IFERROR(__xludf.DUMMYFUNCTION("""COMPUTED_VALUE"""),"2019/11/06 15:50:00")</f>
        <v>2019/11/06 15:50:00</v>
      </c>
      <c r="H478" s="10" t="str">
        <f>IFERROR(__xludf.DUMMYFUNCTION("""COMPUTED_VALUE"""),"c7270c62-c100-4560-8cc1-0ba3c8fe3ff7")</f>
        <v>c7270c62-c100-4560-8cc1-0ba3c8fe3ff7</v>
      </c>
      <c r="I478" s="10" t="str">
        <f>IFERROR(__xludf.DUMMYFUNCTION("""COMPUTED_VALUE"""),"c7270c62-c100-4560-8cc1-0ba3c8fe3ff7")</f>
        <v>c7270c62-c100-4560-8cc1-0ba3c8fe3ff7</v>
      </c>
    </row>
    <row r="479">
      <c r="A479" s="10" t="str">
        <f>IFERROR(__xludf.DUMMYFUNCTION("""COMPUTED_VALUE"""),"Creating the Android of WiFi networks")</f>
        <v>Creating the Android of WiFi networks</v>
      </c>
      <c r="B479" s="10" t="str">
        <f>IFERROR(__xludf.DUMMYFUNCTION("""COMPUTED_VALUE"""),"Sebastiano, CEO of Tanaza, will explain how Tanaza is replicating Android’s approach of creating a horizontal market in the wireless networking sector.")</f>
        <v>Sebastiano, CEO of Tanaza, will explain how Tanaza is replicating Android’s approach of creating a horizontal market in the wireless networking sector.</v>
      </c>
      <c r="C479" s="10" t="str">
        <f>IFERROR(__xludf.DUMMYFUNCTION("""COMPUTED_VALUE"""),"Growth Summit")</f>
        <v>Growth Summit</v>
      </c>
      <c r="D479" s="10" t="str">
        <f>IFERROR(__xludf.DUMMYFUNCTION("""COMPUTED_VALUE"""),"Sebastiano Bertani")</f>
        <v>Sebastiano Bertani</v>
      </c>
      <c r="E479" s="10" t="str">
        <f>IFERROR(__xludf.DUMMYFUNCTION("""COMPUTED_VALUE"""),"Sebastiano Bertani")</f>
        <v>Sebastiano Bertani</v>
      </c>
      <c r="F479" s="10" t="str">
        <f>IFERROR(__xludf.DUMMYFUNCTION("""COMPUTED_VALUE"""),"2019/11/06 10:58:00")</f>
        <v>2019/11/06 10:58:00</v>
      </c>
      <c r="G479" s="10" t="str">
        <f>IFERROR(__xludf.DUMMYFUNCTION("""COMPUTED_VALUE"""),"2019/11/06 11:02:00")</f>
        <v>2019/11/06 11:02:00</v>
      </c>
      <c r="H479" s="10" t="str">
        <f>IFERROR(__xludf.DUMMYFUNCTION("""COMPUTED_VALUE"""),"18d984ca-d851-4f55-b503-6f10cbe565bd")</f>
        <v>18d984ca-d851-4f55-b503-6f10cbe565bd</v>
      </c>
      <c r="I479" s="10" t="str">
        <f>IFERROR(__xludf.DUMMYFUNCTION("""COMPUTED_VALUE"""),"18d984ca-d851-4f55-b503-6f10cbe565bd")</f>
        <v>18d984ca-d851-4f55-b503-6f10cbe565bd</v>
      </c>
    </row>
    <row r="480">
      <c r="A480" s="10" t="str">
        <f>IFERROR(__xludf.DUMMYFUNCTION("""COMPUTED_VALUE"""),"Digging deep and beating burnout ")</f>
        <v>Digging deep and beating burnout </v>
      </c>
      <c r="B480" s="10" t="str">
        <f>IFERROR(__xludf.DUMMYFUNCTION("""COMPUTED_VALUE"""),"We ask veteran creative thinkers in business and the arts how to keep the well of creativity and longevity flowing.  ")</f>
        <v>We ask veteran creative thinkers in business and the arts how to keep the well of creativity and longevity flowing.  </v>
      </c>
      <c r="C480" s="10" t="str">
        <f>IFERROR(__xludf.DUMMYFUNCTION("""COMPUTED_VALUE"""),"Startup University")</f>
        <v>Startup University</v>
      </c>
      <c r="D480" s="10" t="str">
        <f>IFERROR(__xludf.DUMMYFUNCTION("""COMPUTED_VALUE"""),"Mitchell Baker, Paige VanZant and Steve Clemons")</f>
        <v>Mitchell Baker, Paige VanZant and Steve Clemons</v>
      </c>
      <c r="E480" s="10" t="str">
        <f>IFERROR(__xludf.DUMMYFUNCTION("""COMPUTED_VALUE"""),"Mitchell Baker,Paige VanZant,Steve Clemons")</f>
        <v>Mitchell Baker,Paige VanZant,Steve Clemons</v>
      </c>
      <c r="F480" s="10" t="str">
        <f>IFERROR(__xludf.DUMMYFUNCTION("""COMPUTED_VALUE"""),"2019/11/06 13:15:00")</f>
        <v>2019/11/06 13:15:00</v>
      </c>
      <c r="G480" s="10" t="str">
        <f>IFERROR(__xludf.DUMMYFUNCTION("""COMPUTED_VALUE"""),"2019/11/06 13:35:00")</f>
        <v>2019/11/06 13:35:00</v>
      </c>
      <c r="H480" s="10" t="str">
        <f>IFERROR(__xludf.DUMMYFUNCTION("""COMPUTED_VALUE"""),"1edf5f99-3d0a-4aea-972e-90a156a6a41e")</f>
        <v>1edf5f99-3d0a-4aea-972e-90a156a6a41e</v>
      </c>
      <c r="I480" s="10" t="str">
        <f>IFERROR(__xludf.DUMMYFUNCTION("""COMPUTED_VALUE"""),"1edf5f99-3d0a-4aea-972e-90a156a6a41e")</f>
        <v>1edf5f99-3d0a-4aea-972e-90a156a6a41e</v>
      </c>
    </row>
    <row r="481">
      <c r="A481" s="10" t="str">
        <f>IFERROR(__xludf.DUMMYFUNCTION("""COMPUTED_VALUE"""),"Fuelling the esports phenomenon ")</f>
        <v>Fuelling the esports phenomenon </v>
      </c>
      <c r="B481" s="10" t="str">
        <f>IFERROR(__xludf.DUMMYFUNCTION("""COMPUTED_VALUE"""),"From Seoul to the USA, esports have taken over the world. From international live competitions, training camps, and in-game advertising, the business opportunity expands far beyond those who work in gaming. Whether you work in music, marketing, or social "&amp;"media, you should be paying attention to esports. Find out how to tap this new channel and connect with a global audience. ")</f>
        <v>From Seoul to the USA, esports have taken over the world. From international live competitions, training camps, and in-game advertising, the business opportunity expands far beyond those who work in gaming. Whether you work in music, marketing, or social media, you should be paying attention to esports. Find out how to tap this new channel and connect with a global audience. </v>
      </c>
      <c r="C481" s="10" t="str">
        <f>IFERROR(__xludf.DUMMYFUNCTION("""COMPUTED_VALUE"""),"ContentMakers")</f>
        <v>ContentMakers</v>
      </c>
      <c r="D481" s="10" t="str">
        <f>IFERROR(__xludf.DUMMYFUNCTION("""COMPUTED_VALUE"""),"Bono Huis, Gavin Poole, Rachel Gowers and Dave Thier")</f>
        <v>Bono Huis, Gavin Poole, Rachel Gowers and Dave Thier</v>
      </c>
      <c r="E481" s="10" t="str">
        <f>IFERROR(__xludf.DUMMYFUNCTION("""COMPUTED_VALUE"""),"Bono Huis,Gavin Poole,Rachel Gowers,Dave Thier")</f>
        <v>Bono Huis,Gavin Poole,Rachel Gowers,Dave Thier</v>
      </c>
      <c r="F481" s="10" t="str">
        <f>IFERROR(__xludf.DUMMYFUNCTION("""COMPUTED_VALUE"""),"2019/11/07 15:00:00")</f>
        <v>2019/11/07 15:00:00</v>
      </c>
      <c r="G481" s="10" t="str">
        <f>IFERROR(__xludf.DUMMYFUNCTION("""COMPUTED_VALUE"""),"2019/11/07 15:20:00")</f>
        <v>2019/11/07 15:20:00</v>
      </c>
      <c r="H481" s="10" t="str">
        <f>IFERROR(__xludf.DUMMYFUNCTION("""COMPUTED_VALUE"""),"d9e939e7-e53b-4e77-a39d-c5a98fb80471")</f>
        <v>d9e939e7-e53b-4e77-a39d-c5a98fb80471</v>
      </c>
      <c r="I481" s="10" t="str">
        <f>IFERROR(__xludf.DUMMYFUNCTION("""COMPUTED_VALUE"""),"d9e939e7-e53b-4e77-a39d-c5a98fb80471")</f>
        <v>d9e939e7-e53b-4e77-a39d-c5a98fb80471</v>
      </c>
    </row>
    <row r="482">
      <c r="A482" s="10" t="str">
        <f>IFERROR(__xludf.DUMMYFUNCTION("""COMPUTED_VALUE"""),"Lunch break")</f>
        <v>Lunch break</v>
      </c>
      <c r="B482" s="10" t="str">
        <f>IFERROR(__xludf.DUMMYFUNCTION("""COMPUTED_VALUE"""),"")</f>
        <v/>
      </c>
      <c r="C482" s="10" t="str">
        <f>IFERROR(__xludf.DUMMYFUNCTION("""COMPUTED_VALUE"""),"Venture stage")</f>
        <v>Venture stage</v>
      </c>
      <c r="D482" s="10" t="str">
        <f>IFERROR(__xludf.DUMMYFUNCTION("""COMPUTED_VALUE"""),"")</f>
        <v/>
      </c>
      <c r="E482" s="10" t="str">
        <f>IFERROR(__xludf.DUMMYFUNCTION("""COMPUTED_VALUE"""),"")</f>
        <v/>
      </c>
      <c r="F482" s="10" t="str">
        <f>IFERROR(__xludf.DUMMYFUNCTION("""COMPUTED_VALUE"""),"2019/11/05 12:45:00")</f>
        <v>2019/11/05 12:45:00</v>
      </c>
      <c r="G482" s="10" t="str">
        <f>IFERROR(__xludf.DUMMYFUNCTION("""COMPUTED_VALUE"""),"2019/11/05 13:30:00")</f>
        <v>2019/11/05 13:30:00</v>
      </c>
      <c r="H482" s="10" t="str">
        <f>IFERROR(__xludf.DUMMYFUNCTION("""COMPUTED_VALUE"""),"a8a30424-4365-4a89-89c7-95d1c9c7d96c")</f>
        <v>a8a30424-4365-4a89-89c7-95d1c9c7d96c</v>
      </c>
      <c r="I482" s="10" t="str">
        <f>IFERROR(__xludf.DUMMYFUNCTION("""COMPUTED_VALUE"""),"a8a30424-4365-4a89-89c7-95d1c9c7d96c")</f>
        <v>a8a30424-4365-4a89-89c7-95d1c9c7d96c</v>
      </c>
    </row>
    <row r="483">
      <c r="A483" s="10" t="str">
        <f>IFERROR(__xludf.DUMMYFUNCTION("""COMPUTED_VALUE"""),"Opening remarks")</f>
        <v>Opening remarks</v>
      </c>
      <c r="B483" s="10" t="str">
        <f>IFERROR(__xludf.DUMMYFUNCTION("""COMPUTED_VALUE"""),"Welcome to Corporate Innovation Summit, where we unfold the secrets of the worlds largest firms.")</f>
        <v>Welcome to Corporate Innovation Summit, where we unfold the secrets of the worlds largest firms.</v>
      </c>
      <c r="C483" s="10" t="str">
        <f>IFERROR(__xludf.DUMMYFUNCTION("""COMPUTED_VALUE"""),"Corporate Innovation Summit")</f>
        <v>Corporate Innovation Summit</v>
      </c>
      <c r="D483" s="10" t="str">
        <f>IFERROR(__xludf.DUMMYFUNCTION("""COMPUTED_VALUE"""),"Shivani Sopory")</f>
        <v>Shivani Sopory</v>
      </c>
      <c r="E483" s="10" t="str">
        <f>IFERROR(__xludf.DUMMYFUNCTION("""COMPUTED_VALUE"""),"Shivani Sopory")</f>
        <v>Shivani Sopory</v>
      </c>
      <c r="F483" s="10" t="str">
        <f>IFERROR(__xludf.DUMMYFUNCTION("""COMPUTED_VALUE"""),"2019/11/07 10:45:00")</f>
        <v>2019/11/07 10:45:00</v>
      </c>
      <c r="G483" s="10" t="str">
        <f>IFERROR(__xludf.DUMMYFUNCTION("""COMPUTED_VALUE"""),"2019/11/07 11:00:00")</f>
        <v>2019/11/07 11:00:00</v>
      </c>
      <c r="H483" s="10" t="str">
        <f>IFERROR(__xludf.DUMMYFUNCTION("""COMPUTED_VALUE"""),"febf04c1-e73e-46f0-a6b9-173ce6c5fc2d")</f>
        <v>febf04c1-e73e-46f0-a6b9-173ce6c5fc2d</v>
      </c>
      <c r="I483" s="10" t="str">
        <f>IFERROR(__xludf.DUMMYFUNCTION("""COMPUTED_VALUE"""),"febf04c1-e73e-46f0-a6b9-173ce6c5fc2d")</f>
        <v>febf04c1-e73e-46f0-a6b9-173ce6c5fc2d</v>
      </c>
    </row>
    <row r="484">
      <c r="A484" s="10" t="str">
        <f>IFERROR(__xludf.DUMMYFUNCTION("""COMPUTED_VALUE"""),"Balancing product and go-to-market: Going from $0 to $100m ARR in 4 Years")</f>
        <v>Balancing product and go-to-market: Going from $0 to $100m ARR in 4 Years</v>
      </c>
      <c r="B484" s="10" t="str">
        <f>IFERROR(__xludf.DUMMYFUNCTION("""COMPUTED_VALUE"""),"While there are many notable product leaders as well as prolific go-to-market examples in tech, there is one thing that all of the fastest hypergrowth companies have in common - striking a healthy balance and tension between the two. Podium co-founder Den"&amp;"nis Steele will share the most potent secrets to achieving this balance and show the strategies that have allowed Podium to be one of the fastest growth companies ever in SaaS, going from $1m-$100m in ARR in just over four years.")</f>
        <v>While there are many notable product leaders as well as prolific go-to-market examples in tech, there is one thing that all of the fastest hypergrowth companies have in common - striking a healthy balance and tension between the two. Podium co-founder Dennis Steele will share the most potent secrets to achieving this balance and show the strategies that have allowed Podium to be one of the fastest growth companies ever in SaaS, going from $1m-$100m in ARR in just over four years.</v>
      </c>
      <c r="C484" s="10" t="str">
        <f>IFERROR(__xludf.DUMMYFUNCTION("""COMPUTED_VALUE"""),"Growth Summit")</f>
        <v>Growth Summit</v>
      </c>
      <c r="D484" s="10" t="str">
        <f>IFERROR(__xludf.DUMMYFUNCTION("""COMPUTED_VALUE"""),"Dennis Steele")</f>
        <v>Dennis Steele</v>
      </c>
      <c r="E484" s="10" t="str">
        <f>IFERROR(__xludf.DUMMYFUNCTION("""COMPUTED_VALUE"""),"Dennis Steele")</f>
        <v>Dennis Steele</v>
      </c>
      <c r="F484" s="10" t="str">
        <f>IFERROR(__xludf.DUMMYFUNCTION("""COMPUTED_VALUE"""),"2019/11/07 12:30:00")</f>
        <v>2019/11/07 12:30:00</v>
      </c>
      <c r="G484" s="10" t="str">
        <f>IFERROR(__xludf.DUMMYFUNCTION("""COMPUTED_VALUE"""),"2019/11/07 12:41:00")</f>
        <v>2019/11/07 12:41:00</v>
      </c>
      <c r="H484" s="10" t="str">
        <f>IFERROR(__xludf.DUMMYFUNCTION("""COMPUTED_VALUE"""),"833691c4-5059-463a-8069-d0fbfc726325")</f>
        <v>833691c4-5059-463a-8069-d0fbfc726325</v>
      </c>
      <c r="I484" s="10" t="str">
        <f>IFERROR(__xludf.DUMMYFUNCTION("""COMPUTED_VALUE"""),"833691c4-5059-463a-8069-d0fbfc726325")</f>
        <v>833691c4-5059-463a-8069-d0fbfc726325</v>
      </c>
    </row>
    <row r="485">
      <c r="A485" s="10" t="str">
        <f>IFERROR(__xludf.DUMMYFUNCTION("""COMPUTED_VALUE"""),"Breakout startups")</f>
        <v>Breakout startups</v>
      </c>
      <c r="B485" s="10" t="str">
        <f>IFERROR(__xludf.DUMMYFUNCTION("""COMPUTED_VALUE"""),"Are these the companies everyone will be talking about in 2020? Dozens of the world’s leading investors think so. Each morning and lunchtime on Centre Stage you’ll get an introduction to some of the world’s most exciting early and growth stage startups. E"&amp;"ach of the startups have been hand-selected by some of the world’s most successful investors. You’re in for a treat.")</f>
        <v>Are these the companies everyone will be talking about in 2020? Dozens of the world’s leading investors think so. Each morning and lunchtime on Centre Stage you’ll get an introduction to some of the world’s most exciting early and growth stage startups. Each of the startups have been hand-selected by some of the world’s most successful investors. You’re in for a treat.</v>
      </c>
      <c r="C485" s="10" t="str">
        <f>IFERROR(__xludf.DUMMYFUNCTION("""COMPUTED_VALUE"""),"Centre Stage")</f>
        <v>Centre Stage</v>
      </c>
      <c r="D485" s="10" t="str">
        <f>IFERROR(__xludf.DUMMYFUNCTION("""COMPUTED_VALUE"""),"Daniela Seixas, Elissa Shevinsky, Alexey Moiseenkov, Chetan Venkatesh, Curran McKay, Dave McGibbon, Kate Boyle, Mariano Kostelec, Sarah Sandnes, Dario Galbiati Alborghetti and Hugh Geiger")</f>
        <v>Daniela Seixas, Elissa Shevinsky, Alexey Moiseenkov, Chetan Venkatesh, Curran McKay, Dave McGibbon, Kate Boyle, Mariano Kostelec, Sarah Sandnes, Dario Galbiati Alborghetti and Hugh Geiger</v>
      </c>
      <c r="E485" s="10" t="str">
        <f>IFERROR(__xludf.DUMMYFUNCTION("""COMPUTED_VALUE"""),"Daniela Seixas,Elissa Shevinsky,Alexey Moiseenkov,Chetan Venkatesh,Curran McKay,Dave McGibbon,Kate Boyle,Mariano Kostelec,Sarah Sandnes,Dario Galbiati Alborghetti,Hugh Geiger")</f>
        <v>Daniela Seixas,Elissa Shevinsky,Alexey Moiseenkov,Chetan Venkatesh,Curran McKay,Dave McGibbon,Kate Boyle,Mariano Kostelec,Sarah Sandnes,Dario Galbiati Alborghetti,Hugh Geiger</v>
      </c>
      <c r="F485" s="10" t="str">
        <f>IFERROR(__xludf.DUMMYFUNCTION("""COMPUTED_VALUE"""),"2019/11/07 09:30:00")</f>
        <v>2019/11/07 09:30:00</v>
      </c>
      <c r="G485" s="10" t="str">
        <f>IFERROR(__xludf.DUMMYFUNCTION("""COMPUTED_VALUE"""),"2019/11/07 10:15:00")</f>
        <v>2019/11/07 10:15:00</v>
      </c>
      <c r="H485" s="10" t="str">
        <f>IFERROR(__xludf.DUMMYFUNCTION("""COMPUTED_VALUE"""),"270664fa-82ed-43e6-b5dc-82f0ebec2ebd")</f>
        <v>270664fa-82ed-43e6-b5dc-82f0ebec2ebd</v>
      </c>
      <c r="I485" s="10" t="str">
        <f>IFERROR(__xludf.DUMMYFUNCTION("""COMPUTED_VALUE"""),"270664fa-82ed-43e6-b5dc-82f0ebec2ebd")</f>
        <v>270664fa-82ed-43e6-b5dc-82f0ebec2ebd</v>
      </c>
    </row>
    <row r="486">
      <c r="A486" s="10" t="str">
        <f>IFERROR(__xludf.DUMMYFUNCTION("""COMPUTED_VALUE"""),"Baby shark: Creating a multi-billion dollar monster")</f>
        <v>Baby shark: Creating a multi-billion dollar monster</v>
      </c>
      <c r="B486" s="10" t="str">
        <f>IFERROR(__xludf.DUMMYFUNCTION("""COMPUTED_VALUE"""),"Love it or hate it, you can't deny the success of Pinkfong's Baby Shark. Hear from the man behind the fish on how to create a worldwide viral sensation. ")</f>
        <v>Love it or hate it, you can't deny the success of Pinkfong's Baby Shark. Hear from the man behind the fish on how to create a worldwide viral sensation. </v>
      </c>
      <c r="C486" s="10" t="str">
        <f>IFERROR(__xludf.DUMMYFUNCTION("""COMPUTED_VALUE"""),"ContentMakers")</f>
        <v>ContentMakers</v>
      </c>
      <c r="D486" s="10" t="str">
        <f>IFERROR(__xludf.DUMMYFUNCTION("""COMPUTED_VALUE"""),"Ryan Lee")</f>
        <v>Ryan Lee</v>
      </c>
      <c r="E486" s="10" t="str">
        <f>IFERROR(__xludf.DUMMYFUNCTION("""COMPUTED_VALUE"""),"Ryan Lee")</f>
        <v>Ryan Lee</v>
      </c>
      <c r="F486" s="10" t="str">
        <f>IFERROR(__xludf.DUMMYFUNCTION("""COMPUTED_VALUE"""),"2019/11/06 15:15:00")</f>
        <v>2019/11/06 15:15:00</v>
      </c>
      <c r="G486" s="10" t="str">
        <f>IFERROR(__xludf.DUMMYFUNCTION("""COMPUTED_VALUE"""),"2019/11/06 15:35:00")</f>
        <v>2019/11/06 15:35:00</v>
      </c>
      <c r="H486" s="10" t="str">
        <f>IFERROR(__xludf.DUMMYFUNCTION("""COMPUTED_VALUE"""),"70f7e88e-19cc-4fb0-b821-3bbe460a531a")</f>
        <v>70f7e88e-19cc-4fb0-b821-3bbe460a531a</v>
      </c>
      <c r="I486" s="10" t="str">
        <f>IFERROR(__xludf.DUMMYFUNCTION("""COMPUTED_VALUE"""),"70f7e88e-19cc-4fb0-b821-3bbe460a531a")</f>
        <v>70f7e88e-19cc-4fb0-b821-3bbe460a531a</v>
      </c>
    </row>
    <row r="487">
      <c r="A487" s="10" t="str">
        <f>IFERROR(__xludf.DUMMYFUNCTION("""COMPUTED_VALUE"""),"Emerging tech sectors in Saudi Arabia: What’s next? hosted by Invest Saudi ")</f>
        <v>Emerging tech sectors in Saudi Arabia: What’s next? hosted by Invest Saudi </v>
      </c>
      <c r="B487" s="10" t="str">
        <f>IFERROR(__xludf.DUMMYFUNCTION("""COMPUTED_VALUE"""),"As Saudi Arabia opens its doors and looks to accelerate its digital transformation journey, specific sectors are drawing significant capital; essential services like fintech, foodtech and proptech, as well as transformational technologies like AI and auto"&amp;"nomous vehicles. We’ll provide an overview of what sectors are viewed to be highly strategic, and what that means for the market as the country looks to fuel innovation and jumpstart the regional ecosystem.")</f>
        <v>As Saudi Arabia opens its doors and looks to accelerate its digital transformation journey, specific sectors are drawing significant capital; essential services like fintech, foodtech and proptech, as well as transformational technologies like AI and autonomous vehicles. We’ll provide an overview of what sectors are viewed to be highly strategic, and what that means for the market as the country looks to fuel innovation and jumpstart the regional ecosystem.</v>
      </c>
      <c r="C487" s="10" t="str">
        <f>IFERROR(__xludf.DUMMYFUNCTION("""COMPUTED_VALUE"""),"Workshop 4")</f>
        <v>Workshop 4</v>
      </c>
      <c r="D487" s="10" t="str">
        <f>IFERROR(__xludf.DUMMYFUNCTION("""COMPUTED_VALUE"""),"")</f>
        <v/>
      </c>
      <c r="E487" s="10" t="str">
        <f>IFERROR(__xludf.DUMMYFUNCTION("""COMPUTED_VALUE"""),"")</f>
        <v/>
      </c>
      <c r="F487" s="10" t="str">
        <f>IFERROR(__xludf.DUMMYFUNCTION("""COMPUTED_VALUE"""),"2019/11/06 14:00:00")</f>
        <v>2019/11/06 14:00:00</v>
      </c>
      <c r="G487" s="10" t="str">
        <f>IFERROR(__xludf.DUMMYFUNCTION("""COMPUTED_VALUE"""),"2019/11/06 15:00:00")</f>
        <v>2019/11/06 15:00:00</v>
      </c>
      <c r="H487" s="10" t="str">
        <f>IFERROR(__xludf.DUMMYFUNCTION("""COMPUTED_VALUE"""),"8f185201-8382-4e4f-9245-034895283da4")</f>
        <v>8f185201-8382-4e4f-9245-034895283da4</v>
      </c>
      <c r="I487" s="10" t="str">
        <f>IFERROR(__xludf.DUMMYFUNCTION("""COMPUTED_VALUE"""),"8f185201-8382-4e4f-9245-034895283da4")</f>
        <v>8f185201-8382-4e4f-9245-034895283da4</v>
      </c>
    </row>
    <row r="488">
      <c r="A488" s="10" t="str">
        <f>IFERROR(__xludf.DUMMYFUNCTION("""COMPUTED_VALUE"""),"Join SAP at Web Summit: The future of business has feelings")</f>
        <v>Join SAP at Web Summit: The future of business has feelings</v>
      </c>
      <c r="B488" s="10"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488" s="10" t="str">
        <f>IFERROR(__xludf.DUMMYFUNCTION("""COMPUTED_VALUE"""),"SAP, E350, FIL 3")</f>
        <v>SAP, E350, FIL 3</v>
      </c>
      <c r="D488" s="10" t="str">
        <f>IFERROR(__xludf.DUMMYFUNCTION("""COMPUTED_VALUE"""),"")</f>
        <v/>
      </c>
      <c r="E488" s="10" t="str">
        <f>IFERROR(__xludf.DUMMYFUNCTION("""COMPUTED_VALUE"""),"")</f>
        <v/>
      </c>
      <c r="F488" s="10" t="str">
        <f>IFERROR(__xludf.DUMMYFUNCTION("""COMPUTED_VALUE"""),"2019/11/06 10:00:00")</f>
        <v>2019/11/06 10:00:00</v>
      </c>
      <c r="G488" s="10" t="str">
        <f>IFERROR(__xludf.DUMMYFUNCTION("""COMPUTED_VALUE"""),"2019/11/06 17:00:00")</f>
        <v>2019/11/06 17:00:00</v>
      </c>
      <c r="H488" s="10" t="str">
        <f>IFERROR(__xludf.DUMMYFUNCTION("""COMPUTED_VALUE"""),"008a03e2-f83a-4af3-b1a3-4a56a06b6f47")</f>
        <v>008a03e2-f83a-4af3-b1a3-4a56a06b6f47</v>
      </c>
      <c r="I488" s="10" t="str">
        <f>IFERROR(__xludf.DUMMYFUNCTION("""COMPUTED_VALUE"""),"008a03e2-f83a-4af3-b1a3-4a56a06b6f47")</f>
        <v>008a03e2-f83a-4af3-b1a3-4a56a06b6f47</v>
      </c>
    </row>
    <row r="489">
      <c r="A489" s="10" t="str">
        <f>IFERROR(__xludf.DUMMYFUNCTION("""COMPUTED_VALUE"""),"Being a brand disruptor and proud")</f>
        <v>Being a brand disruptor and proud</v>
      </c>
      <c r="B489" s="10" t="str">
        <f>IFERROR(__xludf.DUMMYFUNCTION("""COMPUTED_VALUE"""),"To be a disruptor is to be either a troublemaker or an agent of change and renewal. It all depends on your perspective. Let's take a look at what it takes to ruffle the feathers of the advertising establishment.")</f>
        <v>To be a disruptor is to be either a troublemaker or an agent of change and renewal. It all depends on your perspective. Let's take a look at what it takes to ruffle the feathers of the advertising establishment.</v>
      </c>
      <c r="C489" s="10" t="str">
        <f>IFERROR(__xludf.DUMMYFUNCTION("""COMPUTED_VALUE"""),"PandaConf")</f>
        <v>PandaConf</v>
      </c>
      <c r="D489" s="10" t="str">
        <f>IFERROR(__xludf.DUMMYFUNCTION("""COMPUTED_VALUE"""),"Anthemos Georgiades, Rafael Museri and Katie Deighton")</f>
        <v>Anthemos Georgiades, Rafael Museri and Katie Deighton</v>
      </c>
      <c r="E489" s="10" t="str">
        <f>IFERROR(__xludf.DUMMYFUNCTION("""COMPUTED_VALUE"""),"Anthemos Georgiades,Rafael Museri,Katie Deighton")</f>
        <v>Anthemos Georgiades,Rafael Museri,Katie Deighton</v>
      </c>
      <c r="F489" s="10" t="str">
        <f>IFERROR(__xludf.DUMMYFUNCTION("""COMPUTED_VALUE"""),"2019/11/07 14:55:00")</f>
        <v>2019/11/07 14:55:00</v>
      </c>
      <c r="G489" s="10" t="str">
        <f>IFERROR(__xludf.DUMMYFUNCTION("""COMPUTED_VALUE"""),"2019/11/07 15:15:00")</f>
        <v>2019/11/07 15:15:00</v>
      </c>
      <c r="H489" s="10" t="str">
        <f>IFERROR(__xludf.DUMMYFUNCTION("""COMPUTED_VALUE"""),"f56a8a31-db97-4b6d-8821-caa5e70a2744")</f>
        <v>f56a8a31-db97-4b6d-8821-caa5e70a2744</v>
      </c>
      <c r="I489" s="10" t="str">
        <f>IFERROR(__xludf.DUMMYFUNCTION("""COMPUTED_VALUE"""),"f56a8a31-db97-4b6d-8821-caa5e70a2744")</f>
        <v>f56a8a31-db97-4b6d-8821-caa5e70a2744</v>
      </c>
    </row>
    <row r="490">
      <c r="A490" s="10" t="str">
        <f>IFERROR(__xludf.DUMMYFUNCTION("""COMPUTED_VALUE"""),"Exponential growth in traditional markets ")</f>
        <v>Exponential growth in traditional markets </v>
      </c>
      <c r="B490" s="10" t="str">
        <f>IFERROR(__xludf.DUMMYFUNCTION("""COMPUTED_VALUE"""),"How do you balance the pace of innovation and potential new services within slowly transforming industrial markets? CTO and co-founder of Augury, Gal will share how fast moving startups can drive a faster rate of change and growth in traditional markets.")</f>
        <v>How do you balance the pace of innovation and potential new services within slowly transforming industrial markets? CTO and co-founder of Augury, Gal will share how fast moving startups can drive a faster rate of change and growth in traditional markets.</v>
      </c>
      <c r="C490" s="10" t="str">
        <f>IFERROR(__xludf.DUMMYFUNCTION("""COMPUTED_VALUE"""),"Growth Summit")</f>
        <v>Growth Summit</v>
      </c>
      <c r="D490" s="10" t="str">
        <f>IFERROR(__xludf.DUMMYFUNCTION("""COMPUTED_VALUE"""),"Gal Shaul")</f>
        <v>Gal Shaul</v>
      </c>
      <c r="E490" s="10" t="str">
        <f>IFERROR(__xludf.DUMMYFUNCTION("""COMPUTED_VALUE"""),"Gal Shaul")</f>
        <v>Gal Shaul</v>
      </c>
      <c r="F490" s="10" t="str">
        <f>IFERROR(__xludf.DUMMYFUNCTION("""COMPUTED_VALUE"""),"2019/11/07 14:20:00")</f>
        <v>2019/11/07 14:20:00</v>
      </c>
      <c r="G490" s="10" t="str">
        <f>IFERROR(__xludf.DUMMYFUNCTION("""COMPUTED_VALUE"""),"2019/11/07 14:31:00")</f>
        <v>2019/11/07 14:31:00</v>
      </c>
      <c r="H490" s="10" t="str">
        <f>IFERROR(__xludf.DUMMYFUNCTION("""COMPUTED_VALUE"""),"1c4c7be2-0143-4568-ad7c-441ae6753d71")</f>
        <v>1c4c7be2-0143-4568-ad7c-441ae6753d71</v>
      </c>
      <c r="I490" s="10" t="str">
        <f>IFERROR(__xludf.DUMMYFUNCTION("""COMPUTED_VALUE"""),"1c4c7be2-0143-4568-ad7c-441ae6753d71")</f>
        <v>1c4c7be2-0143-4568-ad7c-441ae6753d71</v>
      </c>
    </row>
    <row r="491">
      <c r="A491" s="10" t="str">
        <f>IFERROR(__xludf.DUMMYFUNCTION("""COMPUTED_VALUE"""),"Keynote with Roland Lamb")</f>
        <v>Keynote with Roland Lamb</v>
      </c>
      <c r="B491" s="10" t="str">
        <f>IFERROR(__xludf.DUMMYFUNCTION("""COMPUTED_VALUE"""),"")</f>
        <v/>
      </c>
      <c r="C491" s="10" t="str">
        <f>IFERROR(__xludf.DUMMYFUNCTION("""COMPUTED_VALUE"""),"MusicNotes")</f>
        <v>MusicNotes</v>
      </c>
      <c r="D491" s="10" t="str">
        <f>IFERROR(__xludf.DUMMYFUNCTION("""COMPUTED_VALUE"""),"Roland Lamb")</f>
        <v>Roland Lamb</v>
      </c>
      <c r="E491" s="10" t="str">
        <f>IFERROR(__xludf.DUMMYFUNCTION("""COMPUTED_VALUE"""),"Roland Lamb")</f>
        <v>Roland Lamb</v>
      </c>
      <c r="F491" s="10" t="str">
        <f>IFERROR(__xludf.DUMMYFUNCTION("""COMPUTED_VALUE"""),"2019/11/07 11:35:00")</f>
        <v>2019/11/07 11:35:00</v>
      </c>
      <c r="G491" s="10" t="str">
        <f>IFERROR(__xludf.DUMMYFUNCTION("""COMPUTED_VALUE"""),"2019/11/07 11:55:00")</f>
        <v>2019/11/07 11:55:00</v>
      </c>
      <c r="H491" s="10" t="str">
        <f>IFERROR(__xludf.DUMMYFUNCTION("""COMPUTED_VALUE"""),"d202a93f-3a50-42cb-9180-fc0a048c905f")</f>
        <v>d202a93f-3a50-42cb-9180-fc0a048c905f</v>
      </c>
      <c r="I491" s="10" t="str">
        <f>IFERROR(__xludf.DUMMYFUNCTION("""COMPUTED_VALUE"""),"d202a93f-3a50-42cb-9180-fc0a048c905f")</f>
        <v>d202a93f-3a50-42cb-9180-fc0a048c905f</v>
      </c>
    </row>
    <row r="492">
      <c r="A492" s="10" t="str">
        <f>IFERROR(__xludf.DUMMYFUNCTION("""COMPUTED_VALUE"""),"FutureProofing Golf ")</f>
        <v>FutureProofing Golf </v>
      </c>
      <c r="B492" s="10" t="str">
        <f>IFERROR(__xludf.DUMMYFUNCTION("""COMPUTED_VALUE"""),"Tracing its origins back to 15th century Scotland, the ancient game of golf is fighting to stay at the forefront of innovation. Hear from people helping them do that in this session featuring the President of the Golf Channel and the CEO of the European T"&amp;"our.
")</f>
        <v>Tracing its origins back to 15th century Scotland, the ancient game of golf is fighting to stay at the forefront of innovation. Hear from people helping them do that in this session featuring the President of the Golf Channel and the CEO of the European Tour.
</v>
      </c>
      <c r="C492" s="10" t="str">
        <f>IFERROR(__xludf.DUMMYFUNCTION("""COMPUTED_VALUE"""),"SportsTrade")</f>
        <v>SportsTrade</v>
      </c>
      <c r="D492" s="10" t="str">
        <f>IFERROR(__xludf.DUMMYFUNCTION("""COMPUTED_VALUE"""),"Mike McCarley, Keith Pelley and Rob Harris")</f>
        <v>Mike McCarley, Keith Pelley and Rob Harris</v>
      </c>
      <c r="E492" s="10" t="str">
        <f>IFERROR(__xludf.DUMMYFUNCTION("""COMPUTED_VALUE"""),"Mike McCarley,Keith Pelley,Rob Harris")</f>
        <v>Mike McCarley,Keith Pelley,Rob Harris</v>
      </c>
      <c r="F492" s="10" t="str">
        <f>IFERROR(__xludf.DUMMYFUNCTION("""COMPUTED_VALUE"""),"2019/11/05 12:20:00")</f>
        <v>2019/11/05 12:20:00</v>
      </c>
      <c r="G492" s="10" t="str">
        <f>IFERROR(__xludf.DUMMYFUNCTION("""COMPUTED_VALUE"""),"2019/11/05 12:40:00")</f>
        <v>2019/11/05 12:40:00</v>
      </c>
      <c r="H492" s="10" t="str">
        <f>IFERROR(__xludf.DUMMYFUNCTION("""COMPUTED_VALUE"""),"0708fd2b-82b4-403f-84b0-8bacd6d1cf2e")</f>
        <v>0708fd2b-82b4-403f-84b0-8bacd6d1cf2e</v>
      </c>
      <c r="I492" s="10" t="str">
        <f>IFERROR(__xludf.DUMMYFUNCTION("""COMPUTED_VALUE"""),"0708fd2b-82b4-403f-84b0-8bacd6d1cf2e")</f>
        <v>0708fd2b-82b4-403f-84b0-8bacd6d1cf2e</v>
      </c>
    </row>
    <row r="493">
      <c r="A493" s="10" t="str">
        <f>IFERROR(__xludf.DUMMYFUNCTION("""COMPUTED_VALUE"""),"PITCH group round 8")</f>
        <v>PITCH group round 8</v>
      </c>
      <c r="B493" s="10" t="str">
        <f>IFERROR(__xludf.DUMMYFUNCTION("""COMPUTED_VALUE"""),"")</f>
        <v/>
      </c>
      <c r="C493" s="10" t="str">
        <f>IFERROR(__xludf.DUMMYFUNCTION("""COMPUTED_VALUE"""),"PITCH 2")</f>
        <v>PITCH 2</v>
      </c>
      <c r="D493" s="10" t="str">
        <f>IFERROR(__xludf.DUMMYFUNCTION("""COMPUTED_VALUE"""),"Adrian Lloyd, Werner Vogels, James Stewart, Jag Singh, Ahmed Habib, Amali de Alwis, Naor Amir, Oliver Werneyer, Will Ben Sims, Gabriel Fumagalli and Lucas Nygaard")</f>
        <v>Adrian Lloyd, Werner Vogels, James Stewart, Jag Singh, Ahmed Habib, Amali de Alwis, Naor Amir, Oliver Werneyer, Will Ben Sims, Gabriel Fumagalli and Lucas Nygaard</v>
      </c>
      <c r="E493" s="10" t="str">
        <f>IFERROR(__xludf.DUMMYFUNCTION("""COMPUTED_VALUE"""),"Adrian Lloyd,Werner Vogels,James Stewart,Jag Singh,Ahmed Habib,Amali de Alwis,Naor Amir,Oliver Werneyer,Will Ben Sims,Gabriel Fumagalli,Lucas Nygaard")</f>
        <v>Adrian Lloyd,Werner Vogels,James Stewart,Jag Singh,Ahmed Habib,Amali de Alwis,Naor Amir,Oliver Werneyer,Will Ben Sims,Gabriel Fumagalli,Lucas Nygaard</v>
      </c>
      <c r="F493" s="10" t="str">
        <f>IFERROR(__xludf.DUMMYFUNCTION("""COMPUTED_VALUE"""),"2019/11/05 11:15:00")</f>
        <v>2019/11/05 11:15:00</v>
      </c>
      <c r="G493" s="10" t="str">
        <f>IFERROR(__xludf.DUMMYFUNCTION("""COMPUTED_VALUE"""),"2019/11/05 12:15:00")</f>
        <v>2019/11/05 12:15:00</v>
      </c>
      <c r="H493" s="10" t="str">
        <f>IFERROR(__xludf.DUMMYFUNCTION("""COMPUTED_VALUE"""),"de7faddb-ccd2-4045-9922-e81e5c42fef9")</f>
        <v>de7faddb-ccd2-4045-9922-e81e5c42fef9</v>
      </c>
      <c r="I493" s="10" t="str">
        <f>IFERROR(__xludf.DUMMYFUNCTION("""COMPUTED_VALUE"""),"de7faddb-ccd2-4045-9922-e81e5c42fef9")</f>
        <v>de7faddb-ccd2-4045-9922-e81e5c42fef9</v>
      </c>
    </row>
    <row r="494">
      <c r="A494" s="10" t="str">
        <f>IFERROR(__xludf.DUMMYFUNCTION("""COMPUTED_VALUE"""),"ATM 2")</f>
        <v>ATM 2</v>
      </c>
      <c r="B494" s="10" t="str">
        <f>IFERROR(__xludf.DUMMYFUNCTION("""COMPUTED_VALUE"""),"")</f>
        <v/>
      </c>
      <c r="C494" s="10" t="str">
        <f>IFERROR(__xludf.DUMMYFUNCTION("""COMPUTED_VALUE"""),"ATM - 2 - Nov 5")</f>
        <v>ATM - 2 - Nov 5</v>
      </c>
      <c r="D494" s="10" t="str">
        <f>IFERROR(__xludf.DUMMYFUNCTION("""COMPUTED_VALUE"""),"")</f>
        <v/>
      </c>
      <c r="E494" s="10" t="str">
        <f>IFERROR(__xludf.DUMMYFUNCTION("""COMPUTED_VALUE"""),"")</f>
        <v/>
      </c>
      <c r="F494" s="10" t="str">
        <f>IFERROR(__xludf.DUMMYFUNCTION("""COMPUTED_VALUE"""),"2019/11/05 20:01:00")</f>
        <v>2019/11/05 20:01:00</v>
      </c>
      <c r="G494" s="10" t="str">
        <f>IFERROR(__xludf.DUMMYFUNCTION("""COMPUTED_VALUE"""),"2019/11/06 00:00:00")</f>
        <v>2019/11/06 00:00:00</v>
      </c>
      <c r="H494" s="10" t="str">
        <f>IFERROR(__xludf.DUMMYFUNCTION("""COMPUTED_VALUE"""),"d10999f3-ba51-46b4-b5bd-c23b37708367")</f>
        <v>d10999f3-ba51-46b4-b5bd-c23b37708367</v>
      </c>
      <c r="I494" s="10" t="str">
        <f>IFERROR(__xludf.DUMMYFUNCTION("""COMPUTED_VALUE"""),"d10999f3-ba51-46b4-b5bd-c23b37708367")</f>
        <v>d10999f3-ba51-46b4-b5bd-c23b37708367</v>
      </c>
    </row>
    <row r="495">
      <c r="A495" s="10" t="str">
        <f>IFERROR(__xludf.DUMMYFUNCTION("""COMPUTED_VALUE"""),"Startup Showcase")</f>
        <v>Startup Showcase</v>
      </c>
      <c r="B495" s="10" t="str">
        <f>IFERROR(__xludf.DUMMYFUNCTION("""COMPUTED_VALUE"""),"On this brand new stage, expect quickfire presentations where startups will showcase their solutions to the future's biggest challenges. This hour focuses on the consumer, covering topics like lifestyle, B2C And C2C, entertainment and social apps
")</f>
        <v>On this brand new stage, expect quickfire presentations where startups will showcase their solutions to the future's biggest challenges. This hour focuses on the consumer, covering topics like lifestyle, B2C And C2C, entertainment and social apps
</v>
      </c>
      <c r="C495" s="10" t="str">
        <f>IFERROR(__xludf.DUMMYFUNCTION("""COMPUTED_VALUE"""),"Startup Showcase 3")</f>
        <v>Startup Showcase 3</v>
      </c>
      <c r="D495" s="10" t="str">
        <f>IFERROR(__xludf.DUMMYFUNCTION("""COMPUTED_VALUE"""),"Chris McClelland, Thiago de Souza Nascimento, Shahin Lauritzen, Emile Milot, Chris Campbell, Justin Frischmuth, Andrea Concas, Andrea Concas, Hannah Todd, Alfie Payne, Samet Arabacıoğlu, Michael Kirsanov, aline matulja, Tsz Ying Yu, Ivandro Ribeiro, Dimit"&amp;"rios Tsioutsiopoulos, Emmanuel Tei-Tetteh, Olivier Zitvogel, marina matulja, Timofey Moskalev, Alessia Cuccu, Douglas Mochrie, Vasyl Hukalyuk, Klaudia Magierowska, Vitalii Polishchuk, Michael Schöggl, İsmail Kerim Sabunis, Luke Hogan, Bojana Knezevic , Eg"&amp;"emen Aksungur, Andy Pavletich, Jacob Waern, Caio Graco, Eliza Lopes, Vadim Yakovliev, Biagio Bartoli, Mads Klokkerholm, Sri Yuliyanti, Paweł Konikiewicz, Tolga Emre Aslan, Yulia Sedova, Deivid Alves, Benjamin Gareis, Sener Abanozoglu, Daiki Nishiyama, Jos"&amp;"elito Coutinho, Felipe Kraskoff Esteves, Gaurav Goel, Blake Evertsen and Juraj Masar")</f>
        <v>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Blake Evertsen and Juraj Masar</v>
      </c>
      <c r="E495" s="10" t="str">
        <f>IFERROR(__xludf.DUMMYFUNCTION("""COMPUTED_VALUE"""),"Chris McClelland,Thiago de Souza Nascimento,Shahin Lauritzen,Emile Milot,Chris Campbell,Justin Frischmuth,Andrea Concas,Andrea Concas,Hannah Todd,Alfie Payne,Samet Arabacıoğlu,Michael Kirsanov,aline matulja,Tsz Ying Yu,Ivandro Ribeiro,Dimitrios Tsioutsiop"&amp;"oulos,Emmanuel Tei-Tetteh,Olivier Zitvogel,marina matulja,Timofey Moskalev,Alessia Cuccu,Douglas Mochrie,Vasyl Hukalyuk,Klaudia Magierowska,Vitalii Polishchuk,Michael Schöggl,İsmail Kerim Sabunis,Luke Hogan,Bojana Knezevic ,Egemen Aksungur,Andy Pavletich,"&amp;"Jacob Waern,Caio Graco,Eliza Lopes,Vadim Yakovliev,Biagio Bartoli,Mads Klokkerholm,Sri Yuliyanti,Paweł Konikiewicz,Tolga Emre Aslan,Yulia Sedova,Deivid Alves,Benjamin Gareis,Sener Abanozoglu,Daiki Nishiyama,Joselito Coutinho,Felipe Kraskoff Esteves,Gaurav"&amp;" Goel,Blake Evertsen,Juraj Masar")</f>
        <v>Chris McClelland,Thiago de Souza Nascimento,Shahin Lauritzen,Emile Milot,Chris Campbell,Justin Frischmuth,Andrea Concas,Andrea Concas,Hannah Todd,Alfie Payne,Samet Arabacıoğlu,Michael Kirsanov,aline matulja,Tsz Ying Yu,Ivandro Ribeiro,Dimitrios Tsioutsiopoulos,Emmanuel Tei-Tetteh,Olivier Zitvogel,marina matulja,Timofey Moskalev,Alessia Cuccu,Douglas Mochrie,Vasyl Hukalyuk,Klaudia Magierowska,Vitalii Polishchuk,Michael Schöggl,İsmail Kerim Sabunis,Luke Hogan,Bojana Knezevic ,Egemen Aksungur,Andy Pavletich,Jacob Waern,Caio Graco,Eliza Lopes,Vadim Yakovliev,Biagio Bartoli,Mads Klokkerholm,Sri Yuliyanti,Paweł Konikiewicz,Tolga Emre Aslan,Yulia Sedova,Deivid Alves,Benjamin Gareis,Sener Abanozoglu,Daiki Nishiyama,Joselito Coutinho,Felipe Kraskoff Esteves,Gaurav Goel,Blake Evertsen,Juraj Masar</v>
      </c>
      <c r="F495" s="10" t="str">
        <f>IFERROR(__xludf.DUMMYFUNCTION("""COMPUTED_VALUE"""),"2019/11/07 12:15:00")</f>
        <v>2019/11/07 12:15:00</v>
      </c>
      <c r="G495" s="10" t="str">
        <f>IFERROR(__xludf.DUMMYFUNCTION("""COMPUTED_VALUE"""),"2019/11/07 13:15:00")</f>
        <v>2019/11/07 13:15:00</v>
      </c>
      <c r="H495" s="10" t="str">
        <f>IFERROR(__xludf.DUMMYFUNCTION("""COMPUTED_VALUE"""),"42de2f20-2451-4cb7-97b3-57f9daac93e5")</f>
        <v>42de2f20-2451-4cb7-97b3-57f9daac93e5</v>
      </c>
      <c r="I495" s="10" t="str">
        <f>IFERROR(__xludf.DUMMYFUNCTION("""COMPUTED_VALUE"""),"42de2f20-2451-4cb7-97b3-57f9daac93e5")</f>
        <v>42de2f20-2451-4cb7-97b3-57f9daac93e5</v>
      </c>
    </row>
    <row r="496">
      <c r="A496" s="10" t="str">
        <f>IFERROR(__xludf.DUMMYFUNCTION("""COMPUTED_VALUE"""),"Food truck 3")</f>
        <v>Food truck 3</v>
      </c>
      <c r="B496" s="10" t="str">
        <f>IFERROR(__xludf.DUMMYFUNCTION("""COMPUTED_VALUE"""),"")</f>
        <v/>
      </c>
      <c r="C496" s="10" t="str">
        <f>IFERROR(__xludf.DUMMYFUNCTION("""COMPUTED_VALUE"""),"Food truck 3 - Nov 5")</f>
        <v>Food truck 3 - Nov 5</v>
      </c>
      <c r="D496" s="10" t="str">
        <f>IFERROR(__xludf.DUMMYFUNCTION("""COMPUTED_VALUE"""),"")</f>
        <v/>
      </c>
      <c r="E496" s="10" t="str">
        <f>IFERROR(__xludf.DUMMYFUNCTION("""COMPUTED_VALUE"""),"")</f>
        <v/>
      </c>
      <c r="F496" s="10" t="str">
        <f>IFERROR(__xludf.DUMMYFUNCTION("""COMPUTED_VALUE"""),"2019/11/05 20:01:00")</f>
        <v>2019/11/05 20:01:00</v>
      </c>
      <c r="G496" s="10" t="str">
        <f>IFERROR(__xludf.DUMMYFUNCTION("""COMPUTED_VALUE"""),"2019/11/05 23:59:00")</f>
        <v>2019/11/05 23:59:00</v>
      </c>
      <c r="H496" s="10" t="str">
        <f>IFERROR(__xludf.DUMMYFUNCTION("""COMPUTED_VALUE"""),"d71888d3-619b-4801-aece-71fce5c3a3dc")</f>
        <v>d71888d3-619b-4801-aece-71fce5c3a3dc</v>
      </c>
      <c r="I496" s="10" t="str">
        <f>IFERROR(__xludf.DUMMYFUNCTION("""COMPUTED_VALUE"""),"d71888d3-619b-4801-aece-71fce5c3a3dc")</f>
        <v>d71888d3-619b-4801-aece-71fce5c3a3dc</v>
      </c>
    </row>
    <row r="497">
      <c r="A497" s="10" t="str">
        <f>IFERROR(__xludf.DUMMYFUNCTION("""COMPUTED_VALUE"""),"Opening remarks")</f>
        <v>Opening remarks</v>
      </c>
      <c r="B497" s="10" t="str">
        <f>IFERROR(__xludf.DUMMYFUNCTION("""COMPUTED_VALUE"""),"Next year 40% of consumers will be Gen Z. But do you know how to engage them? Anastasia gives an overview and shares practical tips, using music merch as an example of how artists and creators can reinvent their online strategy and income.")</f>
        <v>Next year 40% of consumers will be Gen Z. But do you know how to engage them? Anastasia gives an overview and shares practical tips, using music merch as an example of how artists and creators can reinvent their online strategy and income.</v>
      </c>
      <c r="C497" s="10" t="str">
        <f>IFERROR(__xludf.DUMMYFUNCTION("""COMPUTED_VALUE"""),"MusicNotes")</f>
        <v>MusicNotes</v>
      </c>
      <c r="D497" s="10" t="str">
        <f>IFERROR(__xludf.DUMMYFUNCTION("""COMPUTED_VALUE"""),"Anastasia Markova")</f>
        <v>Anastasia Markova</v>
      </c>
      <c r="E497" s="10" t="str">
        <f>IFERROR(__xludf.DUMMYFUNCTION("""COMPUTED_VALUE"""),"Anastasia Markova")</f>
        <v>Anastasia Markova</v>
      </c>
      <c r="F497" s="10" t="str">
        <f>IFERROR(__xludf.DUMMYFUNCTION("""COMPUTED_VALUE"""),"2019/11/07 10:45:00")</f>
        <v>2019/11/07 10:45:00</v>
      </c>
      <c r="G497" s="10" t="str">
        <f>IFERROR(__xludf.DUMMYFUNCTION("""COMPUTED_VALUE"""),"2019/11/07 11:00:00")</f>
        <v>2019/11/07 11:00:00</v>
      </c>
      <c r="H497" s="10" t="str">
        <f>IFERROR(__xludf.DUMMYFUNCTION("""COMPUTED_VALUE"""),"15f8a1a9-677a-465c-8c5d-e9d61399bccd")</f>
        <v>15f8a1a9-677a-465c-8c5d-e9d61399bccd</v>
      </c>
      <c r="I497" s="10" t="str">
        <f>IFERROR(__xludf.DUMMYFUNCTION("""COMPUTED_VALUE"""),"15f8a1a9-677a-465c-8c5d-e9d61399bccd")</f>
        <v>15f8a1a9-677a-465c-8c5d-e9d61399bccd</v>
      </c>
    </row>
    <row r="498">
      <c r="A498" s="10" t="str">
        <f>IFERROR(__xludf.DUMMYFUNCTION("""COMPUTED_VALUE"""),"Opening remarks")</f>
        <v>Opening remarks</v>
      </c>
      <c r="B498" s="10" t="str">
        <f>IFERROR(__xludf.DUMMYFUNCTION("""COMPUTED_VALUE"""),"")</f>
        <v/>
      </c>
      <c r="C498" s="10" t="str">
        <f>IFERROR(__xludf.DUMMYFUNCTION("""COMPUTED_VALUE"""),"DeepTech")</f>
        <v>DeepTech</v>
      </c>
      <c r="D498" s="10" t="str">
        <f>IFERROR(__xludf.DUMMYFUNCTION("""COMPUTED_VALUE"""),"Vikram Ahuja")</f>
        <v>Vikram Ahuja</v>
      </c>
      <c r="E498" s="10" t="str">
        <f>IFERROR(__xludf.DUMMYFUNCTION("""COMPUTED_VALUE"""),"Vikram Ahuja")</f>
        <v>Vikram Ahuja</v>
      </c>
      <c r="F498" s="10" t="str">
        <f>IFERROR(__xludf.DUMMYFUNCTION("""COMPUTED_VALUE"""),"2019/11/06 11:00:00")</f>
        <v>2019/11/06 11:00:00</v>
      </c>
      <c r="G498" s="10" t="str">
        <f>IFERROR(__xludf.DUMMYFUNCTION("""COMPUTED_VALUE"""),"2019/11/06 11:05:00")</f>
        <v>2019/11/06 11:05:00</v>
      </c>
      <c r="H498" s="10" t="str">
        <f>IFERROR(__xludf.DUMMYFUNCTION("""COMPUTED_VALUE"""),"a6f78178-23f5-492b-96f7-1ebbf8969876")</f>
        <v>a6f78178-23f5-492b-96f7-1ebbf8969876</v>
      </c>
      <c r="I498" s="10" t="str">
        <f>IFERROR(__xludf.DUMMYFUNCTION("""COMPUTED_VALUE"""),"a6f78178-23f5-492b-96f7-1ebbf8969876")</f>
        <v>a6f78178-23f5-492b-96f7-1ebbf8969876</v>
      </c>
    </row>
    <row r="499">
      <c r="A499" s="10" t="str">
        <f>IFERROR(__xludf.DUMMYFUNCTION("""COMPUTED_VALUE"""),"Mawdoo3.com: How quality content and AI made them the world's most visited Arabic website")</f>
        <v>Mawdoo3.com: How quality content and AI made them the world's most visited Arabic website</v>
      </c>
      <c r="B499" s="10" t="str">
        <f>IFERROR(__xludf.DUMMYFUNCTION("""COMPUTED_VALUE"""),"The founders of Mawdoo3 explain how they identified the need for high-quality Arabic online content, and decided to build a digital platform to address this gap. They'll outline how they made use of technology, artificial intelligence and scalability to b"&amp;"ecome the leading company in the region.")</f>
        <v>The founders of Mawdoo3 explain how they identified the need for high-quality Arabic online content, and decided to build a digital platform to address this gap. They'll outline how they made use of technology, artificial intelligence and scalability to become the leading company in the region.</v>
      </c>
      <c r="C499" s="10" t="str">
        <f>IFERROR(__xludf.DUMMYFUNCTION("""COMPUTED_VALUE"""),"Growth Summit")</f>
        <v>Growth Summit</v>
      </c>
      <c r="D499" s="10" t="str">
        <f>IFERROR(__xludf.DUMMYFUNCTION("""COMPUTED_VALUE"""),"Rami Al-Qawasmi")</f>
        <v>Rami Al-Qawasmi</v>
      </c>
      <c r="E499" s="10" t="str">
        <f>IFERROR(__xludf.DUMMYFUNCTION("""COMPUTED_VALUE"""),"Rami Al-Qawasmi")</f>
        <v>Rami Al-Qawasmi</v>
      </c>
      <c r="F499" s="10" t="str">
        <f>IFERROR(__xludf.DUMMYFUNCTION("""COMPUTED_VALUE"""),"2019/11/07 13:47:00")</f>
        <v>2019/11/07 13:47:00</v>
      </c>
      <c r="G499" s="10" t="str">
        <f>IFERROR(__xludf.DUMMYFUNCTION("""COMPUTED_VALUE"""),"2019/11/07 13:58:00")</f>
        <v>2019/11/07 13:58:00</v>
      </c>
      <c r="H499" s="10" t="str">
        <f>IFERROR(__xludf.DUMMYFUNCTION("""COMPUTED_VALUE"""),"6882af20-c700-49db-96d4-f7b53cbbac7e")</f>
        <v>6882af20-c700-49db-96d4-f7b53cbbac7e</v>
      </c>
      <c r="I499" s="10" t="str">
        <f>IFERROR(__xludf.DUMMYFUNCTION("""COMPUTED_VALUE"""),"6882af20-c700-49db-96d4-f7b53cbbac7e")</f>
        <v>6882af20-c700-49db-96d4-f7b53cbbac7e</v>
      </c>
    </row>
    <row r="500">
      <c r="A500" s="10" t="str">
        <f>IFERROR(__xludf.DUMMYFUNCTION("""COMPUTED_VALUE"""),"Startup Showcase")</f>
        <v>Startup Showcase</v>
      </c>
      <c r="B500" s="10" t="str">
        <f>IFERROR(__xludf.DUMMYFUNCTION("""COMPUTED_VALUE"""),"On this brand new stage, expect quickfire presentations where startups will showcase their solutions to the future's biggest challenges. This hour focuses on media &amp; communication, covering topics like ad tech, marketing products, and journalism platforms"&amp;"; as well as communication-related areas, such as chatbots, messaging platforms, and conversational AI.
")</f>
        <v>On this brand new stage, expect quickfire presentations where startups will showcase their solutions to the future's biggest challenges. This hour focuses on media &amp; communication, covering topics like ad tech, marketing products, and journalism platforms; as well as communication-related areas, such as chatbots, messaging platforms, and conversational AI.
</v>
      </c>
      <c r="C500" s="10" t="str">
        <f>IFERROR(__xludf.DUMMYFUNCTION("""COMPUTED_VALUE"""),"Startup Showcase 1")</f>
        <v>Startup Showcase 1</v>
      </c>
      <c r="D500" s="10" t="str">
        <f>IFERROR(__xludf.DUMMYFUNCTION("""COMPUTED_VALUE"""),"Angus Davis, Francesco Ambrosiano, Joseph Hyosub Lee, Laura Siltala, Jeremie Olivier, JUAN HERNANDEZ, Elina Scorey, Wilber Colmerauër, Raphael Allstadt, Anouar El-Mourabit, Kim Murashov, Amin El Husseini, Alexey Obraztsov, Fadel Zahreddine, Mariella Goebl"&amp;", Gerry McNicol, Carlos Alzate, Maciej Ciołek, Christian Sundgaard, Yunji Won, Matt Robbins, Sasha Schriber, Jere Seppala, PH Zabisky, Maxime Bétas, Johannes Knierzinger, Jacques Sirot, Kacper Wójcik, Alexander Kondrashkin, Francesco Bettinzana, Susan Pou"&amp;"lsen, Jeff Linihan, Anna Downes, Brian Handrigan, Povilas Goberis, David Böhm, Toms Panders, Wonhee Lee, LEONARDO MARTINEZ LUNA, Sewon Yoon, Danilo Ohtani, Assem Chammah, Tero Seppala, Andrew Downes, Arif Abed, Amy Bobchek, Jeongpyo Hong, Andrei Netto, Ma"&amp;"ja Schefer and Linda Kolontaja")</f>
        <v>Angus Davis, Francesco Ambrosiano, Joseph Hyosub Lee, Laura Siltala, Jeremie Olivier, JUAN HERNANDEZ, Elina Scorey, Wilber Colmerauër, Raphael Allstadt, Anouar El-Mourabit, Kim Murashov, Amin El Husseini, Alexey Obraztsov, Fadel Zahreddine, Mariella Goebl, Gerry McNicol, Carlos Alzate, Maciej Ciołek, Christian Sundgaard, Yunji Won, Matt Robbins, Sasha Schriber, Jere Seppala, PH Zabisky, Maxime Bétas, Johannes Knierzinger, Jacques Sirot, Kacper Wójcik, Alexander Kondrashkin, Francesco Bettinzana, Susan Poulsen, Jeff Linihan, Anna Downes, Brian Handrigan, Povilas Goberis, David Böhm, Toms Panders, Wonhee Lee, LEONARDO MARTINEZ LUNA, Sewon Yoon, Danilo Ohtani, Assem Chammah, Tero Seppala, Andrew Downes, Arif Abed, Amy Bobchek, Jeongpyo Hong, Andrei Netto, Maja Schefer and Linda Kolontaja</v>
      </c>
      <c r="E500" s="10" t="str">
        <f>IFERROR(__xludf.DUMMYFUNCTION("""COMPUTED_VALUE"""),"Angus Davis,Francesco Ambrosiano,Joseph Hyosub Lee,Laura Siltala,Jeremie Olivier,JUAN HERNANDEZ,Elina Scorey,Wilber Colmerauër,Raphael Allstadt,Anouar El-Mourabit,Kim Murashov,Amin El Husseini,Alexey Obraztsov,Fadel Zahreddine,Mariella Goebl,Gerry McNicol"&amp;",Carlos Alzate,Maciej Ciołek,Christian Sundgaard,Yunji Won,Matt Robbins,Sasha Schriber,Jere Seppala,PH Zabisky,Maxime Bétas,Johannes Knierzinger,Jacques Sirot,Kacper Wójcik,Alexander Kondrashkin,Francesco Bettinzana,Susan Poulsen,Jeff Linihan,Anna Downes,"&amp;"Brian Handrigan,Povilas Goberis,David Böhm,Toms Panders,Wonhee Lee,LEONARDO MARTINEZ LUNA,Sewon Yoon,Danilo Ohtani,Assem Chammah,Tero Seppala,Andrew Downes,Arif Abed,Amy Bobchek,Jeongpyo Hong,Andrei Netto,Maja Schefer,Linda Kolontaja")</f>
        <v>Angus Davis,Francesco Ambrosiano,Joseph Hyosub Lee,Laura Siltala,Jeremie Olivier,JUAN HERNANDEZ,Elina Scorey,Wilber Colmerauër,Raphael Allstadt,Anouar El-Mourabit,Kim Murashov,Amin El Husseini,Alexey Obraztsov,Fadel Zahreddine,Mariella Goebl,Gerry McNicol,Carlos Alzate,Maciej Ciołek,Christian Sundgaard,Yunji Won,Matt Robbins,Sasha Schriber,Jere Seppala,PH Zabisky,Maxime Bétas,Johannes Knierzinger,Jacques Sirot,Kacper Wójcik,Alexander Kondrashkin,Francesco Bettinzana,Susan Poulsen,Jeff Linihan,Anna Downes,Brian Handrigan,Povilas Goberis,David Böhm,Toms Panders,Wonhee Lee,LEONARDO MARTINEZ LUNA,Sewon Yoon,Danilo Ohtani,Assem Chammah,Tero Seppala,Andrew Downes,Arif Abed,Amy Bobchek,Jeongpyo Hong,Andrei Netto,Maja Schefer,Linda Kolontaja</v>
      </c>
      <c r="F500" s="10" t="str">
        <f>IFERROR(__xludf.DUMMYFUNCTION("""COMPUTED_VALUE"""),"2019/11/06 10:15:00")</f>
        <v>2019/11/06 10:15:00</v>
      </c>
      <c r="G500" s="10" t="str">
        <f>IFERROR(__xludf.DUMMYFUNCTION("""COMPUTED_VALUE"""),"2019/11/06 11:15:00")</f>
        <v>2019/11/06 11:15:00</v>
      </c>
      <c r="H500" s="10" t="str">
        <f>IFERROR(__xludf.DUMMYFUNCTION("""COMPUTED_VALUE"""),"e42a0d7f-abd3-49a7-9064-beeffe476535")</f>
        <v>e42a0d7f-abd3-49a7-9064-beeffe476535</v>
      </c>
      <c r="I500" s="10" t="str">
        <f>IFERROR(__xludf.DUMMYFUNCTION("""COMPUTED_VALUE"""),"e42a0d7f-abd3-49a7-9064-beeffe476535")</f>
        <v>e42a0d7f-abd3-49a7-9064-beeffe476535</v>
      </c>
    </row>
    <row r="501">
      <c r="A501" s="10" t="str">
        <f>IFERROR(__xludf.DUMMYFUNCTION("""COMPUTED_VALUE"""),"Saving the planet, one drop at a time")</f>
        <v>Saving the planet, one drop at a time</v>
      </c>
      <c r="B501" s="10" t="str">
        <f>IFERROR(__xludf.DUMMYFUNCTION("""COMPUTED_VALUE"""),"Why is water attracting the next generation of high profile entrepreneurs? Join three of the stars of a new feature length documentary – Brave Blue World – to find out.
")</f>
        <v>Why is water attracting the next generation of high profile entrepreneurs? Join three of the stars of a new feature length documentary – Brave Blue World – to find out.
</v>
      </c>
      <c r="C501" s="10" t="str">
        <f>IFERROR(__xludf.DUMMYFUNCTION("""COMPUTED_VALUE"""),"Centre Stage")</f>
        <v>Centre Stage</v>
      </c>
      <c r="D501" s="10" t="str">
        <f>IFERROR(__xludf.DUMMYFUNCTION("""COMPUTED_VALUE"""),"Jaden Smith, Gary White, Paul O'Callaghan and Laurie Segall")</f>
        <v>Jaden Smith, Gary White, Paul O'Callaghan and Laurie Segall</v>
      </c>
      <c r="E501" s="10" t="str">
        <f>IFERROR(__xludf.DUMMYFUNCTION("""COMPUTED_VALUE"""),"Jaden Smith,Gary White,Paul O'Callaghan,Laurie Segall")</f>
        <v>Jaden Smith,Gary White,Paul O'Callaghan,Laurie Segall</v>
      </c>
      <c r="F501" s="10" t="str">
        <f>IFERROR(__xludf.DUMMYFUNCTION("""COMPUTED_VALUE"""),"2019/11/04 19:18:00")</f>
        <v>2019/11/04 19:18:00</v>
      </c>
      <c r="G501" s="10" t="str">
        <f>IFERROR(__xludf.DUMMYFUNCTION("""COMPUTED_VALUE"""),"2019/11/04 19:35:00")</f>
        <v>2019/11/04 19:35:00</v>
      </c>
      <c r="H501" s="10" t="str">
        <f>IFERROR(__xludf.DUMMYFUNCTION("""COMPUTED_VALUE"""),"9a152918-ff5d-49ed-869c-0df761510a22")</f>
        <v>9a152918-ff5d-49ed-869c-0df761510a22</v>
      </c>
      <c r="I501" s="10" t="str">
        <f>IFERROR(__xludf.DUMMYFUNCTION("""COMPUTED_VALUE"""),"9a152918-ff5d-49ed-869c-0df761510a22")</f>
        <v>9a152918-ff5d-49ed-869c-0df761510a22</v>
      </c>
    </row>
    <row r="502">
      <c r="A502" s="10" t="str">
        <f>IFERROR(__xludf.DUMMYFUNCTION("""COMPUTED_VALUE"""),"How can tech companies regain our trust?")</f>
        <v>How can tech companies regain our trust?</v>
      </c>
      <c r="B502" s="10" t="str">
        <f>IFERROR(__xludf.DUMMYFUNCTION("""COMPUTED_VALUE"""),"Trust in tech is wavering and companies must act now. Last year, the phrase “techlash” was runner-up for Oxford Dictionary’s word of the year. Why are the big tech companies failing to win us over and what can be done about it?")</f>
        <v>Trust in tech is wavering and companies must act now. Last year, the phrase “techlash” was runner-up for Oxford Dictionary’s word of the year. Why are the big tech companies failing to win us over and what can be done about it?</v>
      </c>
      <c r="C502" s="10" t="str">
        <f>IFERROR(__xludf.DUMMYFUNCTION("""COMPUTED_VALUE"""),"PandaConf")</f>
        <v>PandaConf</v>
      </c>
      <c r="D502" s="10" t="str">
        <f>IFERROR(__xludf.DUMMYFUNCTION("""COMPUTED_VALUE"""),"Richard Edelman and Sara Fischer")</f>
        <v>Richard Edelman and Sara Fischer</v>
      </c>
      <c r="E502" s="10" t="str">
        <f>IFERROR(__xludf.DUMMYFUNCTION("""COMPUTED_VALUE"""),"Richard Edelman,Sara Fischer")</f>
        <v>Richard Edelman,Sara Fischer</v>
      </c>
      <c r="F502" s="10" t="str">
        <f>IFERROR(__xludf.DUMMYFUNCTION("""COMPUTED_VALUE"""),"2019/11/06 12:30:00")</f>
        <v>2019/11/06 12:30:00</v>
      </c>
      <c r="G502" s="10" t="str">
        <f>IFERROR(__xludf.DUMMYFUNCTION("""COMPUTED_VALUE"""),"2019/11/06 12:50:00")</f>
        <v>2019/11/06 12:50:00</v>
      </c>
      <c r="H502" s="10" t="str">
        <f>IFERROR(__xludf.DUMMYFUNCTION("""COMPUTED_VALUE"""),"e5951b2b-a338-4770-ac0d-d01d3e50257f")</f>
        <v>e5951b2b-a338-4770-ac0d-d01d3e50257f</v>
      </c>
      <c r="I502" s="10" t="str">
        <f>IFERROR(__xludf.DUMMYFUNCTION("""COMPUTED_VALUE"""),"e5951b2b-a338-4770-ac0d-d01d3e50257f")</f>
        <v>e5951b2b-a338-4770-ac0d-d01d3e50257f</v>
      </c>
    </row>
    <row r="503">
      <c r="A503" s="10" t="str">
        <f>IFERROR(__xludf.DUMMYFUNCTION("""COMPUTED_VALUE"""),"Sustainability: A moment, or a movement?")</f>
        <v>Sustainability: A moment, or a movement?</v>
      </c>
      <c r="B503" s="10" t="str">
        <f>IFERROR(__xludf.DUMMYFUNCTION("""COMPUTED_VALUE"""),"Sure, we all love a tote bag, and sustainable sneakers have become celebrity must-haves. However, fashion and beauty remain some of the most wasteful industries in the world. How can brands use tech to move beyond the sustainability ""moment"" and make a "&amp;"real difference? ")</f>
        <v>Sure, we all love a tote bag, and sustainable sneakers have become celebrity must-haves. However, fashion and beauty remain some of the most wasteful industries in the world. How can brands use tech to move beyond the sustainability "moment" and make a real difference? </v>
      </c>
      <c r="C503" s="10" t="str">
        <f>IFERROR(__xludf.DUMMYFUNCTION("""COMPUTED_VALUE"""),"Modum")</f>
        <v>Modum</v>
      </c>
      <c r="D503" s="10" t="str">
        <f>IFERROR(__xludf.DUMMYFUNCTION("""COMPUTED_VALUE"""),"Katrin Ley, Charlotte Nisbet, Simon Beckerman and Mark Russell")</f>
        <v>Katrin Ley, Charlotte Nisbet, Simon Beckerman and Mark Russell</v>
      </c>
      <c r="E503" s="10" t="str">
        <f>IFERROR(__xludf.DUMMYFUNCTION("""COMPUTED_VALUE"""),"Katrin Ley,Charlotte Nisbet,Simon Beckerman,Mark Russell")</f>
        <v>Katrin Ley,Charlotte Nisbet,Simon Beckerman,Mark Russell</v>
      </c>
      <c r="F503" s="10" t="str">
        <f>IFERROR(__xludf.DUMMYFUNCTION("""COMPUTED_VALUE"""),"2019/11/07 15:00:00")</f>
        <v>2019/11/07 15:00:00</v>
      </c>
      <c r="G503" s="10" t="str">
        <f>IFERROR(__xludf.DUMMYFUNCTION("""COMPUTED_VALUE"""),"2019/11/07 15:25:00")</f>
        <v>2019/11/07 15:25:00</v>
      </c>
      <c r="H503" s="10" t="str">
        <f>IFERROR(__xludf.DUMMYFUNCTION("""COMPUTED_VALUE"""),"586a71c2-3585-4d55-9eb9-3505a177046a")</f>
        <v>586a71c2-3585-4d55-9eb9-3505a177046a</v>
      </c>
      <c r="I503" s="10" t="str">
        <f>IFERROR(__xludf.DUMMYFUNCTION("""COMPUTED_VALUE"""),"586a71c2-3585-4d55-9eb9-3505a177046a")</f>
        <v>586a71c2-3585-4d55-9eb9-3505a177046a</v>
      </c>
    </row>
    <row r="504">
      <c r="A504" s="10" t="str">
        <f>IFERROR(__xludf.DUMMYFUNCTION("""COMPUTED_VALUE"""),"What happens to teamwork when you rapidly increase your workforce in 18 months?")</f>
        <v>What happens to teamwork when you rapidly increase your workforce in 18 months?</v>
      </c>
      <c r="B504" s="10" t="str">
        <f>IFERROR(__xludf.DUMMYFUNCTION("""COMPUTED_VALUE"""),"Whether for its millions of users or internally, Klaxoon has always shaken up the way teams work. CEO, Matthieu, explains Klaxoon's journey and also how to preserve amazing teamwork when scaling and leading a ""meeting revolution"" into 120 countries.")</f>
        <v>Whether for its millions of users or internally, Klaxoon has always shaken up the way teams work. CEO, Matthieu, explains Klaxoon's journey and also how to preserve amazing teamwork when scaling and leading a "meeting revolution" into 120 countries.</v>
      </c>
      <c r="C504" s="10" t="str">
        <f>IFERROR(__xludf.DUMMYFUNCTION("""COMPUTED_VALUE"""),"Growth Summit")</f>
        <v>Growth Summit</v>
      </c>
      <c r="D504" s="10" t="str">
        <f>IFERROR(__xludf.DUMMYFUNCTION("""COMPUTED_VALUE"""),"")</f>
        <v/>
      </c>
      <c r="E504" s="10" t="str">
        <f>IFERROR(__xludf.DUMMYFUNCTION("""COMPUTED_VALUE"""),"")</f>
        <v/>
      </c>
      <c r="F504" s="10" t="str">
        <f>IFERROR(__xludf.DUMMYFUNCTION("""COMPUTED_VALUE"""),"2019/11/05 12:41:00")</f>
        <v>2019/11/05 12:41:00</v>
      </c>
      <c r="G504" s="10" t="str">
        <f>IFERROR(__xludf.DUMMYFUNCTION("""COMPUTED_VALUE"""),"2019/11/05 12:52:00")</f>
        <v>2019/11/05 12:52:00</v>
      </c>
      <c r="H504" s="10" t="str">
        <f>IFERROR(__xludf.DUMMYFUNCTION("""COMPUTED_VALUE"""),"54fec332-95c0-4240-9033-9baf09c9e7da")</f>
        <v>54fec332-95c0-4240-9033-9baf09c9e7da</v>
      </c>
      <c r="I504" s="10" t="str">
        <f>IFERROR(__xludf.DUMMYFUNCTION("""COMPUTED_VALUE"""),"54fec332-95c0-4240-9033-9baf09c9e7da")</f>
        <v>54fec332-95c0-4240-9033-9baf09c9e7da</v>
      </c>
    </row>
    <row r="505">
      <c r="A505" s="10" t="str">
        <f>IFERROR(__xludf.DUMMYFUNCTION("""COMPUTED_VALUE"""),"Autonomy and the future of transportation")</f>
        <v>Autonomy and the future of transportation</v>
      </c>
      <c r="B505" s="10" t="str">
        <f>IFERROR(__xludf.DUMMYFUNCTION("""COMPUTED_VALUE"""),"Hear from AEye co-founder, Ransom on autonomy and the future of transportation")</f>
        <v>Hear from AEye co-founder, Ransom on autonomy and the future of transportation</v>
      </c>
      <c r="C505" s="10" t="str">
        <f>IFERROR(__xludf.DUMMYFUNCTION("""COMPUTED_VALUE"""),"Growth Summit")</f>
        <v>Growth Summit</v>
      </c>
      <c r="D505" s="10" t="str">
        <f>IFERROR(__xludf.DUMMYFUNCTION("""COMPUTED_VALUE"""),"Ransom Wuller")</f>
        <v>Ransom Wuller</v>
      </c>
      <c r="E505" s="10" t="str">
        <f>IFERROR(__xludf.DUMMYFUNCTION("""COMPUTED_VALUE"""),"Ransom Wuller")</f>
        <v>Ransom Wuller</v>
      </c>
      <c r="F505" s="10" t="str">
        <f>IFERROR(__xludf.DUMMYFUNCTION("""COMPUTED_VALUE"""),"2019/11/05 14:09:00")</f>
        <v>2019/11/05 14:09:00</v>
      </c>
      <c r="G505" s="10" t="str">
        <f>IFERROR(__xludf.DUMMYFUNCTION("""COMPUTED_VALUE"""),"2019/11/05 14:20:00")</f>
        <v>2019/11/05 14:20:00</v>
      </c>
      <c r="H505" s="10" t="str">
        <f>IFERROR(__xludf.DUMMYFUNCTION("""COMPUTED_VALUE"""),"1a38029c-c419-4fd5-a55f-b8af322dcbf9")</f>
        <v>1a38029c-c419-4fd5-a55f-b8af322dcbf9</v>
      </c>
      <c r="I505" s="10" t="str">
        <f>IFERROR(__xludf.DUMMYFUNCTION("""COMPUTED_VALUE"""),"1a38029c-c419-4fd5-a55f-b8af322dcbf9")</f>
        <v>1a38029c-c419-4fd5-a55f-b8af322dcbf9</v>
      </c>
    </row>
    <row r="506">
      <c r="A506" s="10" t="str">
        <f>IFERROR(__xludf.DUMMYFUNCTION("""COMPUTED_VALUE"""),"Good in the Machine: Engineering Ethical AI")</f>
        <v>Good in the Machine: Engineering Ethical AI</v>
      </c>
      <c r="B506" s="10" t="str">
        <f>IFERROR(__xludf.DUMMYFUNCTION("""COMPUTED_VALUE"""),"It’s not too late to make sure AI is working for humanity rather than the other way around. What principles do we need to agree upon and who needs to be involved? Hear Carolyn Herzog of Arm discuss the big challenges we face in creating trustworthy machin"&amp;"es.")</f>
        <v>It’s not too late to make sure AI is working for humanity rather than the other way around. What principles do we need to agree upon and who needs to be involved? Hear Carolyn Herzog of Arm discuss the big challenges we face in creating trustworthy machines.</v>
      </c>
      <c r="C506" s="10" t="str">
        <f>IFERROR(__xludf.DUMMYFUNCTION("""COMPUTED_VALUE"""),"Auto/Tech &amp; TalkRobot")</f>
        <v>Auto/Tech &amp; TalkRobot</v>
      </c>
      <c r="D506" s="10" t="str">
        <f>IFERROR(__xludf.DUMMYFUNCTION("""COMPUTED_VALUE"""),"Carolyn Herzog")</f>
        <v>Carolyn Herzog</v>
      </c>
      <c r="E506" s="10" t="str">
        <f>IFERROR(__xludf.DUMMYFUNCTION("""COMPUTED_VALUE"""),"Carolyn Herzog")</f>
        <v>Carolyn Herzog</v>
      </c>
      <c r="F506" s="10" t="str">
        <f>IFERROR(__xludf.DUMMYFUNCTION("""COMPUTED_VALUE"""),"2019/11/06 16:20:00")</f>
        <v>2019/11/06 16:20:00</v>
      </c>
      <c r="G506" s="10" t="str">
        <f>IFERROR(__xludf.DUMMYFUNCTION("""COMPUTED_VALUE"""),"2019/11/06 16:40:00")</f>
        <v>2019/11/06 16:40:00</v>
      </c>
      <c r="H506" s="10" t="str">
        <f>IFERROR(__xludf.DUMMYFUNCTION("""COMPUTED_VALUE"""),"5c721e31-d86a-4ed5-95c4-6adf1c523ba2")</f>
        <v>5c721e31-d86a-4ed5-95c4-6adf1c523ba2</v>
      </c>
      <c r="I506" s="10" t="str">
        <f>IFERROR(__xludf.DUMMYFUNCTION("""COMPUTED_VALUE"""),"5c721e31-d86a-4ed5-95c4-6adf1c523ba2")</f>
        <v>5c721e31-d86a-4ed5-95c4-6adf1c523ba2</v>
      </c>
    </row>
    <row r="507">
      <c r="A507" s="10" t="str">
        <f>IFERROR(__xludf.DUMMYFUNCTION("""COMPUTED_VALUE"""),"How to build and scale products for and with users")</f>
        <v>How to build and scale products for and with users</v>
      </c>
      <c r="B507" s="10" t="str">
        <f>IFERROR(__xludf.DUMMYFUNCTION("""COMPUTED_VALUE"""),"In this talk, Reddit’s CTO and Founding Engineer, Chris Slowe, will share the process and philosophy of Reddit’s product development, reflect on the importance of community’s feedback and offer advice from designing hand-in-hand with arguably the internet"&amp;"’s most vocal, opinionated users.")</f>
        <v>In this talk, Reddit’s CTO and Founding Engineer, Chris Slowe, will share the process and philosophy of Reddit’s product development, reflect on the importance of community’s feedback and offer advice from designing hand-in-hand with arguably the internet’s most vocal, opinionated users.</v>
      </c>
      <c r="C507" s="10" t="str">
        <f>IFERROR(__xludf.DUMMYFUNCTION("""COMPUTED_VALUE"""),"FullSTK")</f>
        <v>FullSTK</v>
      </c>
      <c r="D507" s="10" t="str">
        <f>IFERROR(__xludf.DUMMYFUNCTION("""COMPUTED_VALUE"""),"Chris Slowe")</f>
        <v>Chris Slowe</v>
      </c>
      <c r="E507" s="10" t="str">
        <f>IFERROR(__xludf.DUMMYFUNCTION("""COMPUTED_VALUE"""),"Chris Slowe")</f>
        <v>Chris Slowe</v>
      </c>
      <c r="F507" s="10" t="str">
        <f>IFERROR(__xludf.DUMMYFUNCTION("""COMPUTED_VALUE"""),"2019/11/07 12:35:00")</f>
        <v>2019/11/07 12:35:00</v>
      </c>
      <c r="G507" s="10" t="str">
        <f>IFERROR(__xludf.DUMMYFUNCTION("""COMPUTED_VALUE"""),"2019/11/07 12:55:00")</f>
        <v>2019/11/07 12:55:00</v>
      </c>
      <c r="H507" s="10" t="str">
        <f>IFERROR(__xludf.DUMMYFUNCTION("""COMPUTED_VALUE"""),"8e629f04-926e-4248-8bc8-b9b92ff863b4")</f>
        <v>8e629f04-926e-4248-8bc8-b9b92ff863b4</v>
      </c>
      <c r="I507" s="10" t="str">
        <f>IFERROR(__xludf.DUMMYFUNCTION("""COMPUTED_VALUE"""),"8e629f04-926e-4248-8bc8-b9b92ff863b4")</f>
        <v>8e629f04-926e-4248-8bc8-b9b92ff863b4</v>
      </c>
    </row>
    <row r="508">
      <c r="A508" s="10" t="str">
        <f>IFERROR(__xludf.DUMMYFUNCTION("""COMPUTED_VALUE"""),"Breaking down doors with open source ")</f>
        <v>Breaking down doors with open source </v>
      </c>
      <c r="B508" s="10" t="str">
        <f>IFERROR(__xludf.DUMMYFUNCTION("""COMPUTED_VALUE"""),"The story of how Coder founders John and Kyle leveraged a community of hundreds of thousands of engineers to break into the enterprise market without sales people. ")</f>
        <v>The story of how Coder founders John and Kyle leveraged a community of hundreds of thousands of engineers to break into the enterprise market without sales people. </v>
      </c>
      <c r="C508" s="10" t="str">
        <f>IFERROR(__xludf.DUMMYFUNCTION("""COMPUTED_VALUE"""),"Growth Summit")</f>
        <v>Growth Summit</v>
      </c>
      <c r="D508" s="10" t="str">
        <f>IFERROR(__xludf.DUMMYFUNCTION("""COMPUTED_VALUE"""),"John A. Entwistle and Kyle Carberry")</f>
        <v>John A. Entwistle and Kyle Carberry</v>
      </c>
      <c r="E508" s="10" t="str">
        <f>IFERROR(__xludf.DUMMYFUNCTION("""COMPUTED_VALUE"""),"John A. Entwistle,Kyle Carberry")</f>
        <v>John A. Entwistle,Kyle Carberry</v>
      </c>
      <c r="F508" s="10" t="str">
        <f>IFERROR(__xludf.DUMMYFUNCTION("""COMPUTED_VALUE"""),"2019/11/06 10:38:00")</f>
        <v>2019/11/06 10:38:00</v>
      </c>
      <c r="G508" s="10" t="str">
        <f>IFERROR(__xludf.DUMMYFUNCTION("""COMPUTED_VALUE"""),"2019/11/06 10:42:00")</f>
        <v>2019/11/06 10:42:00</v>
      </c>
      <c r="H508" s="10" t="str">
        <f>IFERROR(__xludf.DUMMYFUNCTION("""COMPUTED_VALUE"""),"9292a315-9472-4fac-8eb8-60425a698d42")</f>
        <v>9292a315-9472-4fac-8eb8-60425a698d42</v>
      </c>
      <c r="I508" s="10" t="str">
        <f>IFERROR(__xludf.DUMMYFUNCTION("""COMPUTED_VALUE"""),"9292a315-9472-4fac-8eb8-60425a698d42")</f>
        <v>9292a315-9472-4fac-8eb8-60425a698d42</v>
      </c>
    </row>
    <row r="509">
      <c r="A509" s="10" t="str">
        <f>IFERROR(__xludf.DUMMYFUNCTION("""COMPUTED_VALUE"""),"Next-Generation Internet: Technology deep-dive, hosted by European Commission")</f>
        <v>Next-Generation Internet: Technology deep-dive, hosted by European Commission</v>
      </c>
      <c r="B509" s="10" t="str">
        <f>IFERROR(__xludf.DUMMYFUNCTION("""COMPUTED_VALUE"""),"Next-Generation Internet (NGI) is a forward-looking initiative launched in 2018 by the European Commission to fund top-level internet innovators in shaping the human-centric internet of the future.
Developers will present the most powerful and promising "&amp;"technologies developed in the first year of the programme, in the field of Privacy Enhancing Technologies, Search and Discovery, Decentralized Data Governance and Blockchain.
Current and future funding opportunities will also be presented.")</f>
        <v>Next-Generation Internet (NGI) is a forward-looking initiative launched in 2018 by the European Commission to fund top-level internet innovators in shaping the human-centric internet of the future.
Developers will present the most powerful and promising technologies developed in the first year of the programme, in the field of Privacy Enhancing Technologies, Search and Discovery, Decentralized Data Governance and Blockchain.
Current and future funding opportunities will also be presented.</v>
      </c>
      <c r="C509" s="10" t="str">
        <f>IFERROR(__xludf.DUMMYFUNCTION("""COMPUTED_VALUE"""),"Workshop 2")</f>
        <v>Workshop 2</v>
      </c>
      <c r="D509" s="10" t="str">
        <f>IFERROR(__xludf.DUMMYFUNCTION("""COMPUTED_VALUE"""),"Olivier Bringer, Stefano Foglietta, Aleksandar Jevremovic, Nuno Garcia, Dominik Beron and Daniel Kastl")</f>
        <v>Olivier Bringer, Stefano Foglietta, Aleksandar Jevremovic, Nuno Garcia, Dominik Beron and Daniel Kastl</v>
      </c>
      <c r="E509" s="10" t="str">
        <f>IFERROR(__xludf.DUMMYFUNCTION("""COMPUTED_VALUE"""),"Olivier Bringer,Stefano Foglietta,Aleksandar Jevremovic,Nuno Garcia,Dominik Beron,Daniel Kastl")</f>
        <v>Olivier Bringer,Stefano Foglietta,Aleksandar Jevremovic,Nuno Garcia,Dominik Beron,Daniel Kastl</v>
      </c>
      <c r="F509" s="10" t="str">
        <f>IFERROR(__xludf.DUMMYFUNCTION("""COMPUTED_VALUE"""),"2019/11/07 11:00:00")</f>
        <v>2019/11/07 11:00:00</v>
      </c>
      <c r="G509" s="10" t="str">
        <f>IFERROR(__xludf.DUMMYFUNCTION("""COMPUTED_VALUE"""),"2019/11/07 11:45:00")</f>
        <v>2019/11/07 11:45:00</v>
      </c>
      <c r="H509" s="10" t="str">
        <f>IFERROR(__xludf.DUMMYFUNCTION("""COMPUTED_VALUE"""),"c13aa693-f8ed-4c7b-9eea-d975579f350b")</f>
        <v>c13aa693-f8ed-4c7b-9eea-d975579f350b</v>
      </c>
      <c r="I509" s="10" t="str">
        <f>IFERROR(__xludf.DUMMYFUNCTION("""COMPUTED_VALUE"""),"c13aa693-f8ed-4c7b-9eea-d975579f350b")</f>
        <v>c13aa693-f8ed-4c7b-9eea-d975579f350b</v>
      </c>
    </row>
    <row r="510">
      <c r="A510" s="10" t="str">
        <f>IFERROR(__xludf.DUMMYFUNCTION("""COMPUTED_VALUE"""),"Nail it before you scale it")</f>
        <v>Nail it before you scale it</v>
      </c>
      <c r="B510" s="10" t="str">
        <f>IFERROR(__xludf.DUMMYFUNCTION("""COMPUTED_VALUE"""),"How to grow your platform without breaking the bank. What do investors want to see in terms of beta platforms, and how much is too much to spend on tech before revenues and customer numbers start to grow?")</f>
        <v>How to grow your platform without breaking the bank. What do investors want to see in terms of beta platforms, and how much is too much to spend on tech before revenues and customer numbers start to grow?</v>
      </c>
      <c r="C510" s="10" t="str">
        <f>IFERROR(__xludf.DUMMYFUNCTION("""COMPUTED_VALUE"""),"Venture stage")</f>
        <v>Venture stage</v>
      </c>
      <c r="D510" s="10" t="str">
        <f>IFERROR(__xludf.DUMMYFUNCTION("""COMPUTED_VALUE"""),"George Henry, Anton Waitz, Ricardo Sequerra and Karen McCormick")</f>
        <v>George Henry, Anton Waitz, Ricardo Sequerra and Karen McCormick</v>
      </c>
      <c r="E510" s="10" t="str">
        <f>IFERROR(__xludf.DUMMYFUNCTION("""COMPUTED_VALUE"""),"George Henry,Anton Waitz,Ricardo Sequerra,Karen McCormick")</f>
        <v>George Henry,Anton Waitz,Ricardo Sequerra,Karen McCormick</v>
      </c>
      <c r="F510" s="10" t="str">
        <f>IFERROR(__xludf.DUMMYFUNCTION("""COMPUTED_VALUE"""),"2019/11/06 10:45:00")</f>
        <v>2019/11/06 10:45:00</v>
      </c>
      <c r="G510" s="10" t="str">
        <f>IFERROR(__xludf.DUMMYFUNCTION("""COMPUTED_VALUE"""),"2019/11/06 11:05:00")</f>
        <v>2019/11/06 11:05:00</v>
      </c>
      <c r="H510" s="10" t="str">
        <f>IFERROR(__xludf.DUMMYFUNCTION("""COMPUTED_VALUE"""),"d28a2173-86b5-4962-9040-6b00522abdf3")</f>
        <v>d28a2173-86b5-4962-9040-6b00522abdf3</v>
      </c>
      <c r="I510" s="10" t="str">
        <f>IFERROR(__xludf.DUMMYFUNCTION("""COMPUTED_VALUE"""),"d28a2173-86b5-4962-9040-6b00522abdf3")</f>
        <v>d28a2173-86b5-4962-9040-6b00522abdf3</v>
      </c>
    </row>
    <row r="511">
      <c r="A511" s="10" t="str">
        <f>IFERROR(__xludf.DUMMYFUNCTION("""COMPUTED_VALUE"""),"Winning in round 1: Exciting the world's best seed investors")</f>
        <v>Winning in round 1: Exciting the world's best seed investors</v>
      </c>
      <c r="B511" s="10" t="str">
        <f>IFERROR(__xludf.DUMMYFUNCTION("""COMPUTED_VALUE"""),"The most influential seed stage investors in the world come together to discuss trends for the next 12 months, and what it takes to raise that first round.")</f>
        <v>The most influential seed stage investors in the world come together to discuss trends for the next 12 months, and what it takes to raise that first round.</v>
      </c>
      <c r="C511" s="10" t="str">
        <f>IFERROR(__xludf.DUMMYFUNCTION("""COMPUTED_VALUE"""),"Centre Stage")</f>
        <v>Centre Stage</v>
      </c>
      <c r="D511" s="10" t="str">
        <f>IFERROR(__xludf.DUMMYFUNCTION("""COMPUTED_VALUE"""),"Reshma Sohoni, Saul Klein, David Brown and Mike Butcher")</f>
        <v>Reshma Sohoni, Saul Klein, David Brown and Mike Butcher</v>
      </c>
      <c r="E511" s="10" t="str">
        <f>IFERROR(__xludf.DUMMYFUNCTION("""COMPUTED_VALUE"""),"Reshma Sohoni,Saul Klein,David Brown,Mike Butcher")</f>
        <v>Reshma Sohoni,Saul Klein,David Brown,Mike Butcher</v>
      </c>
      <c r="F511" s="10" t="str">
        <f>IFERROR(__xludf.DUMMYFUNCTION("""COMPUTED_VALUE"""),"2019/11/05 11:10:00")</f>
        <v>2019/11/05 11:10:00</v>
      </c>
      <c r="G511" s="10" t="str">
        <f>IFERROR(__xludf.DUMMYFUNCTION("""COMPUTED_VALUE"""),"2019/11/05 11:30:00")</f>
        <v>2019/11/05 11:30:00</v>
      </c>
      <c r="H511" s="10" t="str">
        <f>IFERROR(__xludf.DUMMYFUNCTION("""COMPUTED_VALUE"""),"a421dcf6-c709-47c8-9338-de768cfdb856")</f>
        <v>a421dcf6-c709-47c8-9338-de768cfdb856</v>
      </c>
      <c r="I511" s="10" t="str">
        <f>IFERROR(__xludf.DUMMYFUNCTION("""COMPUTED_VALUE"""),"a421dcf6-c709-47c8-9338-de768cfdb856")</f>
        <v>a421dcf6-c709-47c8-9338-de768cfdb856</v>
      </c>
    </row>
    <row r="512">
      <c r="A512" s="10" t="str">
        <f>IFERROR(__xludf.DUMMYFUNCTION("""COMPUTED_VALUE"""),"The democratisation of banking ")</f>
        <v>The democratisation of banking </v>
      </c>
      <c r="B512" s="10" t="str">
        <f>IFERROR(__xludf.DUMMYFUNCTION("""COMPUTED_VALUE"""),"Savings and investments have now become anyone's game. Raisin co-founder, Tamaz, will discuss how online marketplaces represent a new era of equal opportunity in finance. ")</f>
        <v>Savings and investments have now become anyone's game. Raisin co-founder, Tamaz, will discuss how online marketplaces represent a new era of equal opportunity in finance. </v>
      </c>
      <c r="C512" s="10" t="str">
        <f>IFERROR(__xludf.DUMMYFUNCTION("""COMPUTED_VALUE"""),"MoneyConf")</f>
        <v>MoneyConf</v>
      </c>
      <c r="D512" s="10" t="str">
        <f>IFERROR(__xludf.DUMMYFUNCTION("""COMPUTED_VALUE"""),"Tamaz Georgadze and Callum Burroughs")</f>
        <v>Tamaz Georgadze and Callum Burroughs</v>
      </c>
      <c r="E512" s="10" t="str">
        <f>IFERROR(__xludf.DUMMYFUNCTION("""COMPUTED_VALUE"""),"Tamaz Georgadze,Callum Burroughs")</f>
        <v>Tamaz Georgadze,Callum Burroughs</v>
      </c>
      <c r="F512" s="10" t="str">
        <f>IFERROR(__xludf.DUMMYFUNCTION("""COMPUTED_VALUE"""),"2019/11/07 13:00:00")</f>
        <v>2019/11/07 13:00:00</v>
      </c>
      <c r="G512" s="10" t="str">
        <f>IFERROR(__xludf.DUMMYFUNCTION("""COMPUTED_VALUE"""),"2019/11/07 13:20:00")</f>
        <v>2019/11/07 13:20:00</v>
      </c>
      <c r="H512" s="10" t="str">
        <f>IFERROR(__xludf.DUMMYFUNCTION("""COMPUTED_VALUE"""),"41166d01-eab0-4807-a8a3-d33e96da71fc")</f>
        <v>41166d01-eab0-4807-a8a3-d33e96da71fc</v>
      </c>
      <c r="I512" s="10" t="str">
        <f>IFERROR(__xludf.DUMMYFUNCTION("""COMPUTED_VALUE"""),"41166d01-eab0-4807-a8a3-d33e96da71fc")</f>
        <v>41166d01-eab0-4807-a8a3-d33e96da71fc</v>
      </c>
    </row>
    <row r="513">
      <c r="A513" s="10" t="str">
        <f>IFERROR(__xludf.DUMMYFUNCTION("""COMPUTED_VALUE"""),"Adapting crypto for the real world")</f>
        <v>Adapting crypto for the real world</v>
      </c>
      <c r="B513" s="10" t="str">
        <f>IFERROR(__xludf.DUMMYFUNCTION("""COMPUTED_VALUE"""),"The rapid mountain climb of crypto's value has reestablished trust in its longevity. However, the current atmosphere still remains - adapt or die. In this conversation, we ask four experts: how can real-world adaptations benefit cryptocurrency?  ")</f>
        <v>The rapid mountain climb of crypto's value has reestablished trust in its longevity. However, the current atmosphere still remains - adapt or die. In this conversation, we ask four experts: how can real-world adaptations benefit cryptocurrency?  </v>
      </c>
      <c r="C513" s="10" t="str">
        <f>IFERROR(__xludf.DUMMYFUNCTION("""COMPUTED_VALUE"""),"MoneyConf")</f>
        <v>MoneyConf</v>
      </c>
      <c r="D513" s="10" t="str">
        <f>IFERROR(__xludf.DUMMYFUNCTION("""COMPUTED_VALUE"""),"Olga Feldmeier, Gin Chao, Leemon Baird and Anne Gaviola")</f>
        <v>Olga Feldmeier, Gin Chao, Leemon Baird and Anne Gaviola</v>
      </c>
      <c r="E513" s="10" t="str">
        <f>IFERROR(__xludf.DUMMYFUNCTION("""COMPUTED_VALUE"""),"Olga Feldmeier,Gin Chao,Leemon Baird,Anne Gaviola")</f>
        <v>Olga Feldmeier,Gin Chao,Leemon Baird,Anne Gaviola</v>
      </c>
      <c r="F513" s="10" t="str">
        <f>IFERROR(__xludf.DUMMYFUNCTION("""COMPUTED_VALUE"""),"2019/11/07 15:10:00")</f>
        <v>2019/11/07 15:10:00</v>
      </c>
      <c r="G513" s="10" t="str">
        <f>IFERROR(__xludf.DUMMYFUNCTION("""COMPUTED_VALUE"""),"2019/11/07 15:35:00")</f>
        <v>2019/11/07 15:35:00</v>
      </c>
      <c r="H513" s="10" t="str">
        <f>IFERROR(__xludf.DUMMYFUNCTION("""COMPUTED_VALUE"""),"78a8c54f-0c56-49bb-8be2-4d1e7b810ef5")</f>
        <v>78a8c54f-0c56-49bb-8be2-4d1e7b810ef5</v>
      </c>
      <c r="I513" s="10" t="str">
        <f>IFERROR(__xludf.DUMMYFUNCTION("""COMPUTED_VALUE"""),"78a8c54f-0c56-49bb-8be2-4d1e7b810ef5")</f>
        <v>78a8c54f-0c56-49bb-8be2-4d1e7b810ef5</v>
      </c>
    </row>
    <row r="514">
      <c r="A514" s="10" t="str">
        <f>IFERROR(__xludf.DUMMYFUNCTION("""COMPUTED_VALUE"""),"Tech unicorns and Web Summit
")</f>
        <v>Tech unicorns and Web Summit
</v>
      </c>
      <c r="B514" s="10" t="str">
        <f>IFERROR(__xludf.DUMMYFUNCTION("""COMPUTED_VALUE"""),"")</f>
        <v/>
      </c>
      <c r="C514" s="10" t="str">
        <f>IFERROR(__xludf.DUMMYFUNCTION("""COMPUTED_VALUE"""),"")</f>
        <v/>
      </c>
      <c r="D514" s="10" t="str">
        <f>IFERROR(__xludf.DUMMYFUNCTION("""COMPUTED_VALUE"""),"Daniela Braga,  Sam Zaid,  Paddy Cosgrave and  Lucy Liu
")</f>
        <v>Daniela Braga,  Sam Zaid,  Paddy Cosgrave and  Lucy Liu
</v>
      </c>
      <c r="E514" s="10" t="str">
        <f>IFERROR(__xludf.DUMMYFUNCTION("""COMPUTED_VALUE"""),"Daniela Braga, Sam Zaid, Paddy Cosgrave, Lucy Liu
")</f>
        <v>Daniela Braga, Sam Zaid, Paddy Cosgrave, Lucy Liu
</v>
      </c>
      <c r="F514" s="10" t="str">
        <f>IFERROR(__xludf.DUMMYFUNCTION("""COMPUTED_VALUE"""),"")</f>
        <v/>
      </c>
      <c r="G514" s="10" t="str">
        <f>IFERROR(__xludf.DUMMYFUNCTION("""COMPUTED_VALUE"""),"")</f>
        <v/>
      </c>
      <c r="H514" s="10" t="str">
        <f>IFERROR(__xludf.DUMMYFUNCTION("""COMPUTED_VALUE"""),"a1c82281-3ec5-5a0b-9d15-21c78b6e7a37")</f>
        <v>a1c82281-3ec5-5a0b-9d15-21c78b6e7a37</v>
      </c>
      <c r="I514" s="10" t="str">
        <f>IFERROR(__xludf.DUMMYFUNCTION("""COMPUTED_VALUE"""),"a1c82281-3ec5-5a0b-9d15-21c78b6e7a37")</f>
        <v>a1c82281-3ec5-5a0b-9d15-21c78b6e7a37</v>
      </c>
    </row>
    <row r="515">
      <c r="A515" s="10" t="str">
        <f>IFERROR(__xludf.DUMMYFUNCTION("""COMPUTED_VALUE"""),"Machine Demo Round 2")</f>
        <v>Machine Demo Round 2</v>
      </c>
      <c r="B515" s="10"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515" s="10" t="str">
        <f>IFERROR(__xludf.DUMMYFUNCTION("""COMPUTED_VALUE"""),"Machine Demo")</f>
        <v>Machine Demo</v>
      </c>
      <c r="D515" s="10" t="str">
        <f>IFERROR(__xludf.DUMMYFUNCTION("""COMPUTED_VALUE"""),"Jonathan Greene, Alexandre Santos, Andreas Botsch, Svitlana Malovana, Julien Yee and Achim Schneider")</f>
        <v>Jonathan Greene, Alexandre Santos, Andreas Botsch, Svitlana Malovana, Julien Yee and Achim Schneider</v>
      </c>
      <c r="E515" s="10" t="str">
        <f>IFERROR(__xludf.DUMMYFUNCTION("""COMPUTED_VALUE"""),"Jonathan Greene,Alexandre Santos,Andreas Botsch,Svitlana Malovana,Julien Yee,Achim Schneider")</f>
        <v>Jonathan Greene,Alexandre Santos,Andreas Botsch,Svitlana Malovana,Julien Yee,Achim Schneider</v>
      </c>
      <c r="F515" s="10" t="str">
        <f>IFERROR(__xludf.DUMMYFUNCTION("""COMPUTED_VALUE"""),"2019/11/07 10:15:00")</f>
        <v>2019/11/07 10:15:00</v>
      </c>
      <c r="G515" s="10" t="str">
        <f>IFERROR(__xludf.DUMMYFUNCTION("""COMPUTED_VALUE"""),"2019/11/07 11:15:00")</f>
        <v>2019/11/07 11:15:00</v>
      </c>
      <c r="H515" s="10" t="str">
        <f>IFERROR(__xludf.DUMMYFUNCTION("""COMPUTED_VALUE"""),"e3de49b2-8a9c-4848-a3a0-ddd679bbf03f")</f>
        <v>e3de49b2-8a9c-4848-a3a0-ddd679bbf03f</v>
      </c>
      <c r="I515" s="10" t="str">
        <f>IFERROR(__xludf.DUMMYFUNCTION("""COMPUTED_VALUE"""),"e3de49b2-8a9c-4848-a3a0-ddd679bbf03f")</f>
        <v>e3de49b2-8a9c-4848-a3a0-ddd679bbf03f</v>
      </c>
    </row>
    <row r="516">
      <c r="A516" s="10" t="str">
        <f>IFERROR(__xludf.DUMMYFUNCTION("""COMPUTED_VALUE"""),"No downside to the sharing economy")</f>
        <v>No downside to the sharing economy</v>
      </c>
      <c r="B516" s="10" t="str">
        <f>IFERROR(__xludf.DUMMYFUNCTION("""COMPUTED_VALUE"""),"A problem shared is a problem halved, so they say. In this panel, we're going to try and find the downside to the sharing economy (spoilers- there aren't any).")</f>
        <v>A problem shared is a problem halved, so they say. In this panel, we're going to try and find the downside to the sharing economy (spoilers- there aren't any).</v>
      </c>
      <c r="C516" s="10" t="str">
        <f>IFERROR(__xludf.DUMMYFUNCTION("""COMPUTED_VALUE"""),"Auto/Tech &amp; TalkRobot")</f>
        <v>Auto/Tech &amp; TalkRobot</v>
      </c>
      <c r="D516" s="10" t="str">
        <f>IFERROR(__xludf.DUMMYFUNCTION("""COMPUTED_VALUE"""),"Sam Zaid, Scott Painter and Alyssa Newcomb")</f>
        <v>Sam Zaid, Scott Painter and Alyssa Newcomb</v>
      </c>
      <c r="E516" s="10" t="str">
        <f>IFERROR(__xludf.DUMMYFUNCTION("""COMPUTED_VALUE"""),"Sam Zaid,Scott Painter,Alyssa Newcomb")</f>
        <v>Sam Zaid,Scott Painter,Alyssa Newcomb</v>
      </c>
      <c r="F516" s="10" t="str">
        <f>IFERROR(__xludf.DUMMYFUNCTION("""COMPUTED_VALUE"""),"2019/11/06 11:55:00")</f>
        <v>2019/11/06 11:55:00</v>
      </c>
      <c r="G516" s="10" t="str">
        <f>IFERROR(__xludf.DUMMYFUNCTION("""COMPUTED_VALUE"""),"2019/11/06 12:15:00")</f>
        <v>2019/11/06 12:15:00</v>
      </c>
      <c r="H516" s="10" t="str">
        <f>IFERROR(__xludf.DUMMYFUNCTION("""COMPUTED_VALUE"""),"bb57d8d9-330b-4704-bd3d-6983c7c0465f")</f>
        <v>bb57d8d9-330b-4704-bd3d-6983c7c0465f</v>
      </c>
      <c r="I516" s="10" t="str">
        <f>IFERROR(__xludf.DUMMYFUNCTION("""COMPUTED_VALUE"""),"bb57d8d9-330b-4704-bd3d-6983c7c0465f")</f>
        <v>bb57d8d9-330b-4704-bd3d-6983c7c0465f</v>
      </c>
    </row>
    <row r="517">
      <c r="A517" s="10" t="str">
        <f>IFERROR(__xludf.DUMMYFUNCTION("""COMPUTED_VALUE"""),"Friend or foe? Technology and the future of animation")</f>
        <v>Friend or foe? Technology and the future of animation</v>
      </c>
      <c r="B517" s="10" t="str">
        <f>IFERROR(__xludf.DUMMYFUNCTION("""COMPUTED_VALUE"""),"Technology has had a dramatic impact on the animation industry. These industry experts will discuss whether it has helped or hindered the birth of creativity in the art form. More importantly, what lies ahead for the industry as 2D animation continues to "&amp;"lose popularity?
")</f>
        <v>Technology has had a dramatic impact on the animation industry. These industry experts will discuss whether it has helped or hindered the birth of creativity in the art form. More importantly, what lies ahead for the industry as 2D animation continues to lose popularity?
</v>
      </c>
      <c r="C517" s="10" t="str">
        <f>IFERROR(__xludf.DUMMYFUNCTION("""COMPUTED_VALUE"""),"creatiff")</f>
        <v>creatiff</v>
      </c>
      <c r="D517" s="10" t="str">
        <f>IFERROR(__xludf.DUMMYFUNCTION("""COMPUTED_VALUE"""),"Darragh O'Connell, Sarah Fell, Mike McGee and Rob Schwartz")</f>
        <v>Darragh O'Connell, Sarah Fell, Mike McGee and Rob Schwartz</v>
      </c>
      <c r="E517" s="10" t="str">
        <f>IFERROR(__xludf.DUMMYFUNCTION("""COMPUTED_VALUE"""),"Darragh O'Connell,Sarah Fell,Mike McGee,Rob Schwartz")</f>
        <v>Darragh O'Connell,Sarah Fell,Mike McGee,Rob Schwartz</v>
      </c>
      <c r="F517" s="10" t="str">
        <f>IFERROR(__xludf.DUMMYFUNCTION("""COMPUTED_VALUE"""),"2019/11/05 14:50:00")</f>
        <v>2019/11/05 14:50:00</v>
      </c>
      <c r="G517" s="10" t="str">
        <f>IFERROR(__xludf.DUMMYFUNCTION("""COMPUTED_VALUE"""),"2019/11/05 15:15:00")</f>
        <v>2019/11/05 15:15:00</v>
      </c>
      <c r="H517" s="10" t="str">
        <f>IFERROR(__xludf.DUMMYFUNCTION("""COMPUTED_VALUE"""),"94dc0e43-42c9-4685-bcaf-fa1ed2cb29b8")</f>
        <v>94dc0e43-42c9-4685-bcaf-fa1ed2cb29b8</v>
      </c>
      <c r="I517" s="10" t="str">
        <f>IFERROR(__xludf.DUMMYFUNCTION("""COMPUTED_VALUE"""),"94dc0e43-42c9-4685-bcaf-fa1ed2cb29b8")</f>
        <v>94dc0e43-42c9-4685-bcaf-fa1ed2cb29b8</v>
      </c>
    </row>
    <row r="518">
      <c r="A518" s="10" t="str">
        <f>IFERROR(__xludf.DUMMYFUNCTION("""COMPUTED_VALUE"""),"With great AI comes great responsibility")</f>
        <v>With great AI comes great responsibility</v>
      </c>
      <c r="B518" s="10" t="str">
        <f>IFERROR(__xludf.DUMMYFUNCTION("""COMPUTED_VALUE"""),"One of the most crucial issues of our time, the ethical use of AI in medicine  tackled by two leading experts in the field of drug discovery and digital healthcare.")</f>
        <v>One of the most crucial issues of our time, the ethical use of AI in medicine  tackled by two leading experts in the field of drug discovery and digital healthcare.</v>
      </c>
      <c r="C518" s="10" t="str">
        <f>IFERROR(__xludf.DUMMYFUNCTION("""COMPUTED_VALUE"""),"HealthConf")</f>
        <v>HealthConf</v>
      </c>
      <c r="D518" s="10" t="str">
        <f>IFERROR(__xludf.DUMMYFUNCTION("""COMPUTED_VALUE"""),"Chris Gibson, Saskia Steinacker and Paul Nuki")</f>
        <v>Chris Gibson, Saskia Steinacker and Paul Nuki</v>
      </c>
      <c r="E518" s="10" t="str">
        <f>IFERROR(__xludf.DUMMYFUNCTION("""COMPUTED_VALUE"""),"Chris Gibson,Saskia Steinacker,Paul Nuki")</f>
        <v>Chris Gibson,Saskia Steinacker,Paul Nuki</v>
      </c>
      <c r="F518" s="10" t="str">
        <f>IFERROR(__xludf.DUMMYFUNCTION("""COMPUTED_VALUE"""),"2019/11/07 14:05:00")</f>
        <v>2019/11/07 14:05:00</v>
      </c>
      <c r="G518" s="10" t="str">
        <f>IFERROR(__xludf.DUMMYFUNCTION("""COMPUTED_VALUE"""),"2019/11/07 14:25:00")</f>
        <v>2019/11/07 14:25:00</v>
      </c>
      <c r="H518" s="10" t="str">
        <f>IFERROR(__xludf.DUMMYFUNCTION("""COMPUTED_VALUE"""),"d75ea3ca-707c-4021-b743-42b14c6071e2")</f>
        <v>d75ea3ca-707c-4021-b743-42b14c6071e2</v>
      </c>
      <c r="I518" s="10" t="str">
        <f>IFERROR(__xludf.DUMMYFUNCTION("""COMPUTED_VALUE"""),"d75ea3ca-707c-4021-b743-42b14c6071e2")</f>
        <v>d75ea3ca-707c-4021-b743-42b14c6071e2</v>
      </c>
    </row>
    <row r="519">
      <c r="A519" s="10" t="str">
        <f>IFERROR(__xludf.DUMMYFUNCTION("""COMPUTED_VALUE"""),"Meet the robot with the decentralised brain")</f>
        <v>Meet the robot with the decentralised brain</v>
      </c>
      <c r="B519" s="10" t="str">
        <f>IFERROR(__xludf.DUMMYFUNCTION("""COMPUTED_VALUE"""),"")</f>
        <v/>
      </c>
      <c r="C519" s="10" t="str">
        <f>IFERROR(__xludf.DUMMYFUNCTION("""COMPUTED_VALUE"""),"")</f>
        <v/>
      </c>
      <c r="D519" s="10" t="str">
        <f>IFERROR(__xludf.DUMMYFUNCTION("""COMPUTED_VALUE"""),"
Philip K. Dick (robot) and  Ben Goertzel")</f>
        <v>
Philip K. Dick (robot) and  Ben Goertzel</v>
      </c>
      <c r="E519" s="10" t="str">
        <f>IFERROR(__xludf.DUMMYFUNCTION("""COMPUTED_VALUE"""),"
Philip K. Dick (robot), Ben Goertzel")</f>
        <v>
Philip K. Dick (robot), Ben Goertzel</v>
      </c>
      <c r="F519" s="10" t="str">
        <f>IFERROR(__xludf.DUMMYFUNCTION("""COMPUTED_VALUE"""),"")</f>
        <v/>
      </c>
      <c r="G519" s="10" t="str">
        <f>IFERROR(__xludf.DUMMYFUNCTION("""COMPUTED_VALUE"""),"")</f>
        <v/>
      </c>
      <c r="H519" s="10" t="str">
        <f>IFERROR(__xludf.DUMMYFUNCTION("""COMPUTED_VALUE"""),"81db0202-15fa-5b95-bfc4-46a362f4a46e")</f>
        <v>81db0202-15fa-5b95-bfc4-46a362f4a46e</v>
      </c>
      <c r="I519" s="10" t="str">
        <f>IFERROR(__xludf.DUMMYFUNCTION("""COMPUTED_VALUE"""),"81db0202-15fa-5b95-bfc4-46a362f4a46e")</f>
        <v>81db0202-15fa-5b95-bfc4-46a362f4a46e</v>
      </c>
    </row>
    <row r="520">
      <c r="A520" s="10" t="str">
        <f>IFERROR(__xludf.DUMMYFUNCTION("""COMPUTED_VALUE"""),"Neurealms of brain tech")</f>
        <v>Neurealms of brain tech</v>
      </c>
      <c r="B520" s="10" t="str">
        <f>IFERROR(__xludf.DUMMYFUNCTION("""COMPUTED_VALUE"""),"With over 100 billion neurons firing, the brain is a powerful and mysterious tool.  Cutting edge science is only scratching the surface of this incredible organ. We're asking the experts what they're trying to uncover. ")</f>
        <v>With over 100 billion neurons firing, the brain is a powerful and mysterious tool.  Cutting edge science is only scratching the surface of this incredible organ. We're asking the experts what they're trying to uncover. </v>
      </c>
      <c r="C520" s="10" t="str">
        <f>IFERROR(__xludf.DUMMYFUNCTION("""COMPUTED_VALUE"""),"HealthConf")</f>
        <v>HealthConf</v>
      </c>
      <c r="D520" s="10" t="str">
        <f>IFERROR(__xludf.DUMMYFUNCTION("""COMPUTED_VALUE"""),"Ali Rezai, Thomas Reardon and Katie Collins")</f>
        <v>Ali Rezai, Thomas Reardon and Katie Collins</v>
      </c>
      <c r="E520" s="10" t="str">
        <f>IFERROR(__xludf.DUMMYFUNCTION("""COMPUTED_VALUE"""),"Ali Rezai,Thomas Reardon,Katie Collins")</f>
        <v>Ali Rezai,Thomas Reardon,Katie Collins</v>
      </c>
      <c r="F520" s="10" t="str">
        <f>IFERROR(__xludf.DUMMYFUNCTION("""COMPUTED_VALUE"""),"2019/11/07 14:25:00")</f>
        <v>2019/11/07 14:25:00</v>
      </c>
      <c r="G520" s="10" t="str">
        <f>IFERROR(__xludf.DUMMYFUNCTION("""COMPUTED_VALUE"""),"2019/11/07 14:45:00")</f>
        <v>2019/11/07 14:45:00</v>
      </c>
      <c r="H520" s="10" t="str">
        <f>IFERROR(__xludf.DUMMYFUNCTION("""COMPUTED_VALUE"""),"35fe50f5-b99d-4ca6-9d83-b32171501f9a")</f>
        <v>35fe50f5-b99d-4ca6-9d83-b32171501f9a</v>
      </c>
      <c r="I520" s="10" t="str">
        <f>IFERROR(__xludf.DUMMYFUNCTION("""COMPUTED_VALUE"""),"35fe50f5-b99d-4ca6-9d83-b32171501f9a")</f>
        <v>35fe50f5-b99d-4ca6-9d83-b32171501f9a</v>
      </c>
    </row>
    <row r="521">
      <c r="A521" s="10" t="str">
        <f>IFERROR(__xludf.DUMMYFUNCTION("""COMPUTED_VALUE"""),"Forget retail. Digitising the usage of fashion")</f>
        <v>Forget retail. Digitising the usage of fashion</v>
      </c>
      <c r="B521" s="10" t="str">
        <f>IFERROR(__xludf.DUMMYFUNCTION("""COMPUTED_VALUE"""),"We're at four million users but just getting started. Combyne's vision is to fully digitise the usage of fashion. Then use the resulting data points to stop the massive overproduction in the industry, which currently churns out 100bn pieces of clothing pe"&amp;"r year for 7bn people.")</f>
        <v>We're at four million users but just getting started. Combyne's vision is to fully digitise the usage of fashion. Then use the resulting data points to stop the massive overproduction in the industry, which currently churns out 100bn pieces of clothing per year for 7bn people.</v>
      </c>
      <c r="C521" s="10" t="str">
        <f>IFERROR(__xludf.DUMMYFUNCTION("""COMPUTED_VALUE"""),"Growth Summit")</f>
        <v>Growth Summit</v>
      </c>
      <c r="D521" s="10" t="str">
        <f>IFERROR(__xludf.DUMMYFUNCTION("""COMPUTED_VALUE"""),"Philipp Seybold")</f>
        <v>Philipp Seybold</v>
      </c>
      <c r="E521" s="10" t="str">
        <f>IFERROR(__xludf.DUMMYFUNCTION("""COMPUTED_VALUE"""),"Philipp Seybold")</f>
        <v>Philipp Seybold</v>
      </c>
      <c r="F521" s="10" t="str">
        <f>IFERROR(__xludf.DUMMYFUNCTION("""COMPUTED_VALUE"""),"2019/11/06 11:34:00")</f>
        <v>2019/11/06 11:34:00</v>
      </c>
      <c r="G521" s="10" t="str">
        <f>IFERROR(__xludf.DUMMYFUNCTION("""COMPUTED_VALUE"""),"2019/11/06 11:38:00")</f>
        <v>2019/11/06 11:38:00</v>
      </c>
      <c r="H521" s="10" t="str">
        <f>IFERROR(__xludf.DUMMYFUNCTION("""COMPUTED_VALUE"""),"6e57eb74-efd4-44cd-9f57-82186cc4b890")</f>
        <v>6e57eb74-efd4-44cd-9f57-82186cc4b890</v>
      </c>
      <c r="I521" s="10" t="str">
        <f>IFERROR(__xludf.DUMMYFUNCTION("""COMPUTED_VALUE"""),"6e57eb74-efd4-44cd-9f57-82186cc4b890")</f>
        <v>6e57eb74-efd4-44cd-9f57-82186cc4b890</v>
      </c>
    </row>
    <row r="522">
      <c r="A522" s="10" t="str">
        <f>IFERROR(__xludf.DUMMYFUNCTION("""COMPUTED_VALUE"""),"Inside Benfica: The standard setter in talent development")</f>
        <v>Inside Benfica: The standard setter in talent development</v>
      </c>
      <c r="B522" s="10" t="str">
        <f>IFERROR(__xludf.DUMMYFUNCTION("""COMPUTED_VALUE"""),"Benfica has established itself as one of the leaders in player development. This session offers an unrivaled insight into one of the most successful academies in the world from those who built it.")</f>
        <v>Benfica has established itself as one of the leaders in player development. This session offers an unrivaled insight into one of the most successful academies in the world from those who built it.</v>
      </c>
      <c r="C522" s="10" t="str">
        <f>IFERROR(__xludf.DUMMYFUNCTION("""COMPUTED_VALUE"""),"SportsTrade")</f>
        <v>SportsTrade</v>
      </c>
      <c r="D522" s="10" t="str">
        <f>IFERROR(__xludf.DUMMYFUNCTION("""COMPUTED_VALUE""")," , Pedro Marques and Pedro Pinto")</f>
        <v> , Pedro Marques and Pedro Pinto</v>
      </c>
      <c r="E522" s="10" t="str">
        <f>IFERROR(__xludf.DUMMYFUNCTION("""COMPUTED_VALUE""")," ,Pedro Marques,Pedro Pinto")</f>
        <v> ,Pedro Marques,Pedro Pinto</v>
      </c>
      <c r="F522" s="10" t="str">
        <f>IFERROR(__xludf.DUMMYFUNCTION("""COMPUTED_VALUE"""),"2019/11/05 10:30:00")</f>
        <v>2019/11/05 10:30:00</v>
      </c>
      <c r="G522" s="10" t="str">
        <f>IFERROR(__xludf.DUMMYFUNCTION("""COMPUTED_VALUE"""),"2019/11/05 10:50:00")</f>
        <v>2019/11/05 10:50:00</v>
      </c>
      <c r="H522" s="10" t="str">
        <f>IFERROR(__xludf.DUMMYFUNCTION("""COMPUTED_VALUE"""),"95532c47-2a3d-4fa5-a4d4-21cf50b965f2")</f>
        <v>95532c47-2a3d-4fa5-a4d4-21cf50b965f2</v>
      </c>
      <c r="I522" s="10" t="str">
        <f>IFERROR(__xludf.DUMMYFUNCTION("""COMPUTED_VALUE"""),"95532c47-2a3d-4fa5-a4d4-21cf50b965f2")</f>
        <v>95532c47-2a3d-4fa5-a4d4-21cf50b965f2</v>
      </c>
    </row>
    <row r="523">
      <c r="A523" s="10" t="str">
        <f>IFERROR(__xludf.DUMMYFUNCTION("""COMPUTED_VALUE"""),"Building the company we want to work for: Peakon and a values driven culture")</f>
        <v>Building the company we want to work for: Peakon and a values driven culture</v>
      </c>
      <c r="B523" s="10" t="str">
        <f>IFERROR(__xludf.DUMMYFUNCTION("""COMPUTED_VALUE"""),"CEO of the company, Phil Chambers will discuss how he helped grow Peakon, a platform for measuring and improving employee engagement.")</f>
        <v>CEO of the company, Phil Chambers will discuss how he helped grow Peakon, a platform for measuring and improving employee engagement.</v>
      </c>
      <c r="C523" s="10" t="str">
        <f>IFERROR(__xludf.DUMMYFUNCTION("""COMPUTED_VALUE"""),"Growth Summit")</f>
        <v>Growth Summit</v>
      </c>
      <c r="D523" s="10" t="str">
        <f>IFERROR(__xludf.DUMMYFUNCTION("""COMPUTED_VALUE"""),"Phil Chambers")</f>
        <v>Phil Chambers</v>
      </c>
      <c r="E523" s="10" t="str">
        <f>IFERROR(__xludf.DUMMYFUNCTION("""COMPUTED_VALUE"""),"Phil Chambers")</f>
        <v>Phil Chambers</v>
      </c>
      <c r="F523" s="10" t="str">
        <f>IFERROR(__xludf.DUMMYFUNCTION("""COMPUTED_VALUE"""),"2019/11/07 13:36:00")</f>
        <v>2019/11/07 13:36:00</v>
      </c>
      <c r="G523" s="10" t="str">
        <f>IFERROR(__xludf.DUMMYFUNCTION("""COMPUTED_VALUE"""),"2019/11/07 13:47:00")</f>
        <v>2019/11/07 13:47:00</v>
      </c>
      <c r="H523" s="10" t="str">
        <f>IFERROR(__xludf.DUMMYFUNCTION("""COMPUTED_VALUE"""),"2e070efe-0b5b-48de-a7cb-32e17e809d15")</f>
        <v>2e070efe-0b5b-48de-a7cb-32e17e809d15</v>
      </c>
      <c r="I523" s="10" t="str">
        <f>IFERROR(__xludf.DUMMYFUNCTION("""COMPUTED_VALUE"""),"2e070efe-0b5b-48de-a7cb-32e17e809d15")</f>
        <v>2e070efe-0b5b-48de-a7cb-32e17e809d15</v>
      </c>
    </row>
    <row r="524">
      <c r="A524" s="10" t="str">
        <f>IFERROR(__xludf.DUMMYFUNCTION("""COMPUTED_VALUE"""),"How to grow your presence on mobile from 10,000 to 10m users")</f>
        <v>How to grow your presence on mobile from 10,000 to 10m users</v>
      </c>
      <c r="B524" s="10" t="str">
        <f>IFERROR(__xludf.DUMMYFUNCTION("""COMPUTED_VALUE"""),"Micha Benoliel, co-founder and CEO of Nodle.io, and creator of the FireChat app, will share his experience and tips in growing your mobile presence. Micha will announce the launch of the Nodle Cash app, a new way for any smartphone user to earn cryptocurr"&amp;"ency by joining the global Citizen Network for IoT.")</f>
        <v>Micha Benoliel, co-founder and CEO of Nodle.io, and creator of the FireChat app, will share his experience and tips in growing your mobile presence. Micha will announce the launch of the Nodle Cash app, a new way for any smartphone user to earn cryptocurrency by joining the global Citizen Network for IoT.</v>
      </c>
      <c r="C524" s="10" t="str">
        <f>IFERROR(__xludf.DUMMYFUNCTION("""COMPUTED_VALUE"""),"Growth Summit")</f>
        <v>Growth Summit</v>
      </c>
      <c r="D524" s="10" t="str">
        <f>IFERROR(__xludf.DUMMYFUNCTION("""COMPUTED_VALUE"""),"Micha Benoliel")</f>
        <v>Micha Benoliel</v>
      </c>
      <c r="E524" s="10" t="str">
        <f>IFERROR(__xludf.DUMMYFUNCTION("""COMPUTED_VALUE"""),"Micha Benoliel")</f>
        <v>Micha Benoliel</v>
      </c>
      <c r="F524" s="10" t="str">
        <f>IFERROR(__xludf.DUMMYFUNCTION("""COMPUTED_VALUE"""),"2019/11/07 11:02:00")</f>
        <v>2019/11/07 11:02:00</v>
      </c>
      <c r="G524" s="10" t="str">
        <f>IFERROR(__xludf.DUMMYFUNCTION("""COMPUTED_VALUE"""),"2019/11/07 11:06:00")</f>
        <v>2019/11/07 11:06:00</v>
      </c>
      <c r="H524" s="10" t="str">
        <f>IFERROR(__xludf.DUMMYFUNCTION("""COMPUTED_VALUE"""),"243dfa18-bc62-4eb1-928f-6bdea7b9277b")</f>
        <v>243dfa18-bc62-4eb1-928f-6bdea7b9277b</v>
      </c>
      <c r="I524" s="10" t="str">
        <f>IFERROR(__xludf.DUMMYFUNCTION("""COMPUTED_VALUE"""),"243dfa18-bc62-4eb1-928f-6bdea7b9277b")</f>
        <v>243dfa18-bc62-4eb1-928f-6bdea7b9277b</v>
      </c>
    </row>
    <row r="525">
      <c r="A525" s="10" t="str">
        <f>IFERROR(__xludf.DUMMYFUNCTION("""COMPUTED_VALUE"""),"AI &amp; healthtech: Developing rare disease treatments at scale")</f>
        <v>AI &amp; healthtech: Developing rare disease treatments at scale</v>
      </c>
      <c r="B525" s="10" t="str">
        <f>IFERROR(__xludf.DUMMYFUNCTION("""COMPUTED_VALUE"""),"Co-founder of Healx, Tim discusses how the company has used AI to translate 100 rare disease treatments towards the clinic by 2025.")</f>
        <v>Co-founder of Healx, Tim discusses how the company has used AI to translate 100 rare disease treatments towards the clinic by 2025.</v>
      </c>
      <c r="C525" s="10" t="str">
        <f>IFERROR(__xludf.DUMMYFUNCTION("""COMPUTED_VALUE"""),"Growth Summit")</f>
        <v>Growth Summit</v>
      </c>
      <c r="D525" s="10" t="str">
        <f>IFERROR(__xludf.DUMMYFUNCTION("""COMPUTED_VALUE"""),"Tim Guilliams")</f>
        <v>Tim Guilliams</v>
      </c>
      <c r="E525" s="10" t="str">
        <f>IFERROR(__xludf.DUMMYFUNCTION("""COMPUTED_VALUE"""),"Tim Guilliams")</f>
        <v>Tim Guilliams</v>
      </c>
      <c r="F525" s="10" t="str">
        <f>IFERROR(__xludf.DUMMYFUNCTION("""COMPUTED_VALUE"""),"2019/11/05 11:14:00")</f>
        <v>2019/11/05 11:14:00</v>
      </c>
      <c r="G525" s="10" t="str">
        <f>IFERROR(__xludf.DUMMYFUNCTION("""COMPUTED_VALUE"""),"2019/11/05 11:18:00")</f>
        <v>2019/11/05 11:18:00</v>
      </c>
      <c r="H525" s="10" t="str">
        <f>IFERROR(__xludf.DUMMYFUNCTION("""COMPUTED_VALUE"""),"3837e75b-1c3d-4c91-bec7-dffbb7ac4d1c")</f>
        <v>3837e75b-1c3d-4c91-bec7-dffbb7ac4d1c</v>
      </c>
      <c r="I525" s="10" t="str">
        <f>IFERROR(__xludf.DUMMYFUNCTION("""COMPUTED_VALUE"""),"3837e75b-1c3d-4c91-bec7-dffbb7ac4d1c")</f>
        <v>3837e75b-1c3d-4c91-bec7-dffbb7ac4d1c</v>
      </c>
    </row>
    <row r="526">
      <c r="A526" s="10" t="str">
        <f>IFERROR(__xludf.DUMMYFUNCTION("""COMPUTED_VALUE"""),"The power of emotion on the (social) web: A journey of data scientists envisioning ""mindfulness"" for politics, hosted by European Commission")</f>
        <v>The power of emotion on the (social) web: A journey of data scientists envisioning "mindfulness" for politics, hosted by European Commission</v>
      </c>
      <c r="B526" s="10" t="str">
        <f>IFERROR(__xludf.DUMMYFUNCTION("""COMPUTED_VALUE"""),"Emotion is an integral part of our decision-making process. Emotion influences perception, values, goals, needs, memory, and ultimately, behaviour. As scientists working in media monitoring to support policy-makers in their decisions, our job is to look a"&amp;"t the facts, and also understand the emotion related to these facts. What are the citizen's concerns and what is important to them? We present a set of use cases that show the power emotions on the social web and their effects in policy-making.")</f>
        <v>Emotion is an integral part of our decision-making process. Emotion influences perception, values, goals, needs, memory, and ultimately, behaviour. As scientists working in media monitoring to support policy-makers in their decisions, our job is to look at the facts, and also understand the emotion related to these facts. What are the citizen's concerns and what is important to them? We present a set of use cases that show the power emotions on the social web and their effects in policy-making.</v>
      </c>
      <c r="C526" s="10" t="str">
        <f>IFERROR(__xludf.DUMMYFUNCTION("""COMPUTED_VALUE"""),"Workshop 2")</f>
        <v>Workshop 2</v>
      </c>
      <c r="D526" s="10" t="str">
        <f>IFERROR(__xludf.DUMMYFUNCTION("""COMPUTED_VALUE"""),"")</f>
        <v/>
      </c>
      <c r="E526" s="10" t="str">
        <f>IFERROR(__xludf.DUMMYFUNCTION("""COMPUTED_VALUE"""),"")</f>
        <v/>
      </c>
      <c r="F526" s="10" t="str">
        <f>IFERROR(__xludf.DUMMYFUNCTION("""COMPUTED_VALUE"""),"2019/11/05 14:00:00")</f>
        <v>2019/11/05 14:00:00</v>
      </c>
      <c r="G526" s="10" t="str">
        <f>IFERROR(__xludf.DUMMYFUNCTION("""COMPUTED_VALUE"""),"2019/11/05 14:45:00")</f>
        <v>2019/11/05 14:45:00</v>
      </c>
      <c r="H526" s="10" t="str">
        <f>IFERROR(__xludf.DUMMYFUNCTION("""COMPUTED_VALUE"""),"db1fc129-1f55-4fae-a8b2-7ca47c98ab7f")</f>
        <v>db1fc129-1f55-4fae-a8b2-7ca47c98ab7f</v>
      </c>
      <c r="I526" s="10" t="str">
        <f>IFERROR(__xludf.DUMMYFUNCTION("""COMPUTED_VALUE"""),"db1fc129-1f55-4fae-a8b2-7ca47c98ab7f")</f>
        <v>db1fc129-1f55-4fae-a8b2-7ca47c98ab7f</v>
      </c>
    </row>
    <row r="527">
      <c r="A527" s="10" t="str">
        <f>IFERROR(__xludf.DUMMYFUNCTION("""COMPUTED_VALUE"""),"How AI has opened up the world of data")</f>
        <v>How AI has opened up the world of data</v>
      </c>
      <c r="B527" s="10" t="str">
        <f>IFERROR(__xludf.DUMMYFUNCTION("""COMPUTED_VALUE"""),"For the majority of the digital age, data was not something the average worker thought about. It sat on servers, waiting to be accessed by data analysts and later presented by C-suite executives at board meetings. Then, in the early 2000s, data visualisat"&amp;"ion tools unlocked new ways for teams to create and present their own charts and graphs. Fast forward to today and the average worker in every industry is expected to make “data driven decisions” and be more “data literate.” Now, advances in artificial in"&amp;"telligence are making data insights better and more accessible, no data scientists required. It’s a remarkable evolution that is only just getting started. ")</f>
        <v>For the majority of the digital age, data was not something the average worker thought about. It sat on servers, waiting to be accessed by data analysts and later presented by C-suite executives at board meetings. Then, in the early 2000s, data visualisation tools unlocked new ways for teams to create and present their own charts and graphs. Fast forward to today and the average worker in every industry is expected to make “data driven decisions” and be more “data literate.” Now, advances in artificial intelligence are making data insights better and more accessible, no data scientists required. It’s a remarkable evolution that is only just getting started. </v>
      </c>
      <c r="C527" s="24" t="str">
        <f>IFERROR(__xludf.DUMMYFUNCTION("""COMPUTED_VALUE"""),"binate.io")</f>
        <v>binate.io</v>
      </c>
      <c r="D527" s="10" t="str">
        <f>IFERROR(__xludf.DUMMYFUNCTION("""COMPUTED_VALUE"""),"Sudheesh Nair")</f>
        <v>Sudheesh Nair</v>
      </c>
      <c r="E527" s="10" t="str">
        <f>IFERROR(__xludf.DUMMYFUNCTION("""COMPUTED_VALUE"""),"Sudheesh Nair")</f>
        <v>Sudheesh Nair</v>
      </c>
      <c r="F527" s="10" t="str">
        <f>IFERROR(__xludf.DUMMYFUNCTION("""COMPUTED_VALUE"""),"2019/11/06 12:05:00")</f>
        <v>2019/11/06 12:05:00</v>
      </c>
      <c r="G527" s="10" t="str">
        <f>IFERROR(__xludf.DUMMYFUNCTION("""COMPUTED_VALUE"""),"2019/11/06 12:25:00")</f>
        <v>2019/11/06 12:25:00</v>
      </c>
      <c r="H527" s="10" t="str">
        <f>IFERROR(__xludf.DUMMYFUNCTION("""COMPUTED_VALUE"""),"582f0ad8-e334-4559-916d-7039f21ac2e6")</f>
        <v>582f0ad8-e334-4559-916d-7039f21ac2e6</v>
      </c>
      <c r="I527" s="10" t="str">
        <f>IFERROR(__xludf.DUMMYFUNCTION("""COMPUTED_VALUE"""),"582f0ad8-e334-4559-916d-7039f21ac2e6")</f>
        <v>582f0ad8-e334-4559-916d-7039f21ac2e6</v>
      </c>
    </row>
    <row r="528">
      <c r="A528" s="10" t="str">
        <f>IFERROR(__xludf.DUMMYFUNCTION("""COMPUTED_VALUE"""),"She’s 'The Man': How superstar Becky Lynch came to dominate the WWE")</f>
        <v>She’s 'The Man': How superstar Becky Lynch came to dominate the WWE</v>
      </c>
      <c r="B528" s="10" t="str">
        <f>IFERROR(__xludf.DUMMYFUNCTION("""COMPUTED_VALUE"""),"Becky Lynch, the WWE superstar, talks about her route to the top of the wrestling world and the challenges she had to overcome.")</f>
        <v>Becky Lynch, the WWE superstar, talks about her route to the top of the wrestling world and the challenges she had to overcome.</v>
      </c>
      <c r="C528" s="10" t="str">
        <f>IFERROR(__xludf.DUMMYFUNCTION("""COMPUTED_VALUE"""),"Centre Stage")</f>
        <v>Centre Stage</v>
      </c>
      <c r="D528" s="10" t="str">
        <f>IFERROR(__xludf.DUMMYFUNCTION("""COMPUTED_VALUE"""),"Becky Lynch and Emma Paton")</f>
        <v>Becky Lynch and Emma Paton</v>
      </c>
      <c r="E528" s="10" t="str">
        <f>IFERROR(__xludf.DUMMYFUNCTION("""COMPUTED_VALUE"""),"Becky Lynch,Emma Paton")</f>
        <v>Becky Lynch,Emma Paton</v>
      </c>
      <c r="F528" s="10" t="str">
        <f>IFERROR(__xludf.DUMMYFUNCTION("""COMPUTED_VALUE"""),"2019/11/07 11:50:00")</f>
        <v>2019/11/07 11:50:00</v>
      </c>
      <c r="G528" s="10" t="str">
        <f>IFERROR(__xludf.DUMMYFUNCTION("""COMPUTED_VALUE"""),"2019/11/07 12:10:00")</f>
        <v>2019/11/07 12:10:00</v>
      </c>
      <c r="H528" s="10" t="str">
        <f>IFERROR(__xludf.DUMMYFUNCTION("""COMPUTED_VALUE"""),"b4367bce-dfa0-455f-8360-60159fbc99a8")</f>
        <v>b4367bce-dfa0-455f-8360-60159fbc99a8</v>
      </c>
      <c r="I528" s="10" t="str">
        <f>IFERROR(__xludf.DUMMYFUNCTION("""COMPUTED_VALUE"""),"b4367bce-dfa0-455f-8360-60159fbc99a8")</f>
        <v>b4367bce-dfa0-455f-8360-60159fbc99a8</v>
      </c>
    </row>
    <row r="529">
      <c r="A529" s="10" t="str">
        <f>IFERROR(__xludf.DUMMYFUNCTION("""COMPUTED_VALUE"""),"Ending corruption by exposing the truth")</f>
        <v>Ending corruption by exposing the truth</v>
      </c>
      <c r="B529" s="10" t="str">
        <f>IFERROR(__xludf.DUMMYFUNCTION("""COMPUTED_VALUE"""),"Corruption thrives only in darkness and shadows. Exposing corrupt actors to the cold light of day renders them powerless. This session will show how we can expose the truth and protect the vulnerable.")</f>
        <v>Corruption thrives only in darkness and shadows. Exposing corrupt actors to the cold light of day renders them powerless. This session will show how we can expose the truth and protect the vulnerable.</v>
      </c>
      <c r="C529" s="10" t="str">
        <f>IFERROR(__xludf.DUMMYFUNCTION("""COMPUTED_VALUE"""),"Future Societies")</f>
        <v>Future Societies</v>
      </c>
      <c r="D529" s="10" t="str">
        <f>IFERROR(__xludf.DUMMYFUNCTION("""COMPUTED_VALUE"""),"Juan Branco and Ryan Broderick")</f>
        <v>Juan Branco and Ryan Broderick</v>
      </c>
      <c r="E529" s="10" t="str">
        <f>IFERROR(__xludf.DUMMYFUNCTION("""COMPUTED_VALUE"""),"Juan Branco,Ryan Broderick")</f>
        <v>Juan Branco,Ryan Broderick</v>
      </c>
      <c r="F529" s="10" t="str">
        <f>IFERROR(__xludf.DUMMYFUNCTION("""COMPUTED_VALUE"""),"2019/11/07 10:30:00")</f>
        <v>2019/11/07 10:30:00</v>
      </c>
      <c r="G529" s="10" t="str">
        <f>IFERROR(__xludf.DUMMYFUNCTION("""COMPUTED_VALUE"""),"2019/11/07 10:50:00")</f>
        <v>2019/11/07 10:50:00</v>
      </c>
      <c r="H529" s="10" t="str">
        <f>IFERROR(__xludf.DUMMYFUNCTION("""COMPUTED_VALUE"""),"96f8e7fb-488e-4068-a7ea-0bae14301daa")</f>
        <v>96f8e7fb-488e-4068-a7ea-0bae14301daa</v>
      </c>
      <c r="I529" s="10" t="str">
        <f>IFERROR(__xludf.DUMMYFUNCTION("""COMPUTED_VALUE"""),"96f8e7fb-488e-4068-a7ea-0bae14301daa")</f>
        <v>96f8e7fb-488e-4068-a7ea-0bae14301daa</v>
      </c>
    </row>
    <row r="530">
      <c r="A530" s="10" t="str">
        <f>IFERROR(__xludf.DUMMYFUNCTION("""COMPUTED_VALUE"""),"Grin: The fastest growing company in the fastest growing industry ")</f>
        <v>Grin: The fastest growing company in the fastest growing industry </v>
      </c>
      <c r="B530" s="10" t="str">
        <f>IFERROR(__xludf.DUMMYFUNCTION("""COMPUTED_VALUE"""),"Co-founder of Grin Scooters, Jonathan will explain the challenges faced by his team while launching his micromobility company in Latin America.")</f>
        <v>Co-founder of Grin Scooters, Jonathan will explain the challenges faced by his team while launching his micromobility company in Latin America.</v>
      </c>
      <c r="C530" s="10" t="str">
        <f>IFERROR(__xludf.DUMMYFUNCTION("""COMPUTED_VALUE"""),"Growth Summit")</f>
        <v>Growth Summit</v>
      </c>
      <c r="D530" s="10" t="str">
        <f>IFERROR(__xludf.DUMMYFUNCTION("""COMPUTED_VALUE"""),"Jonathan Lewy")</f>
        <v>Jonathan Lewy</v>
      </c>
      <c r="E530" s="10" t="str">
        <f>IFERROR(__xludf.DUMMYFUNCTION("""COMPUTED_VALUE"""),"Jonathan Lewy")</f>
        <v>Jonathan Lewy</v>
      </c>
      <c r="F530" s="10" t="str">
        <f>IFERROR(__xludf.DUMMYFUNCTION("""COMPUTED_VALUE"""),"2019/11/07 12:52:00")</f>
        <v>2019/11/07 12:52:00</v>
      </c>
      <c r="G530" s="10" t="str">
        <f>IFERROR(__xludf.DUMMYFUNCTION("""COMPUTED_VALUE"""),"2019/11/07 13:03:00")</f>
        <v>2019/11/07 13:03:00</v>
      </c>
      <c r="H530" s="10" t="str">
        <f>IFERROR(__xludf.DUMMYFUNCTION("""COMPUTED_VALUE"""),"072a9b1f-9290-4549-9dc8-f25e97947463")</f>
        <v>072a9b1f-9290-4549-9dc8-f25e97947463</v>
      </c>
      <c r="I530" s="10" t="str">
        <f>IFERROR(__xludf.DUMMYFUNCTION("""COMPUTED_VALUE"""),"072a9b1f-9290-4549-9dc8-f25e97947463")</f>
        <v>072a9b1f-9290-4549-9dc8-f25e97947463</v>
      </c>
    </row>
    <row r="531">
      <c r="A531" s="10" t="str">
        <f>IFERROR(__xludf.DUMMYFUNCTION("""COMPUTED_VALUE"""),"PITCH group round 18")</f>
        <v>PITCH group round 18</v>
      </c>
      <c r="B531" s="10" t="str">
        <f>IFERROR(__xludf.DUMMYFUNCTION("""COMPUTED_VALUE"""),"")</f>
        <v/>
      </c>
      <c r="C531" s="10" t="str">
        <f>IFERROR(__xludf.DUMMYFUNCTION("""COMPUTED_VALUE"""),"PITCH 3")</f>
        <v>PITCH 3</v>
      </c>
      <c r="D531" s="10" t="str">
        <f>IFERROR(__xludf.DUMMYFUNCTION("""COMPUTED_VALUE"""),"Jens Lapinski, Sergio Raposo Frade, Saba Karim, Keshin Govender, Pakiza Abdulrahman, Christina Lock, Nick Nedelchuk, James Rees, Darina Momot, Maria Hahn, William Villalobos and Andrei Netto")</f>
        <v>Jens Lapinski, Sergio Raposo Frade, Saba Karim, Keshin Govender, Pakiza Abdulrahman, Christina Lock, Nick Nedelchuk, James Rees, Darina Momot, Maria Hahn, William Villalobos and Andrei Netto</v>
      </c>
      <c r="E531" s="10" t="str">
        <f>IFERROR(__xludf.DUMMYFUNCTION("""COMPUTED_VALUE"""),"Jens Lapinski,Sergio Raposo Frade,Saba Karim,Keshin Govender,Pakiza Abdulrahman,Christina Lock,Nick Nedelchuk,James Rees,Darina Momot,Maria Hahn,William Villalobos,Andrei Netto")</f>
        <v>Jens Lapinski,Sergio Raposo Frade,Saba Karim,Keshin Govender,Pakiza Abdulrahman,Christina Lock,Nick Nedelchuk,James Rees,Darina Momot,Maria Hahn,William Villalobos,Andrei Netto</v>
      </c>
      <c r="F531" s="10" t="str">
        <f>IFERROR(__xludf.DUMMYFUNCTION("""COMPUTED_VALUE"""),"2019/11/05 15:00:00")</f>
        <v>2019/11/05 15:00:00</v>
      </c>
      <c r="G531" s="10" t="str">
        <f>IFERROR(__xludf.DUMMYFUNCTION("""COMPUTED_VALUE"""),"2019/11/05 16:00:00")</f>
        <v>2019/11/05 16:00:00</v>
      </c>
      <c r="H531" s="10" t="str">
        <f>IFERROR(__xludf.DUMMYFUNCTION("""COMPUTED_VALUE"""),"3efb7bbd-4ab6-47e6-9b59-b76ddd34d459")</f>
        <v>3efb7bbd-4ab6-47e6-9b59-b76ddd34d459</v>
      </c>
      <c r="I531" s="10" t="str">
        <f>IFERROR(__xludf.DUMMYFUNCTION("""COMPUTED_VALUE"""),"3efb7bbd-4ab6-47e6-9b59-b76ddd34d459")</f>
        <v>3efb7bbd-4ab6-47e6-9b59-b76ddd34d459</v>
      </c>
    </row>
    <row r="532">
      <c r="A532" s="10" t="str">
        <f>IFERROR(__xludf.DUMMYFUNCTION("""COMPUTED_VALUE"""),"Inside the corporate/startup relationship")</f>
        <v>Inside the corporate/startup relationship</v>
      </c>
      <c r="B532" s="10" t="str">
        <f>IFERROR(__xludf.DUMMYFUNCTION("""COMPUTED_VALUE"""),"Big companies have realised they are never too strong to fail and need to get with the times or risk being left behind. This panel welcomes leaders and their insights on how startup innovation can thrive alongside corporate partners.")</f>
        <v>Big companies have realised they are never too strong to fail and need to get with the times or risk being left behind. This panel welcomes leaders and their insights on how startup innovation can thrive alongside corporate partners.</v>
      </c>
      <c r="C532" s="10" t="str">
        <f>IFERROR(__xludf.DUMMYFUNCTION("""COMPUTED_VALUE"""),"Corporate Innovation Summit")</f>
        <v>Corporate Innovation Summit</v>
      </c>
      <c r="D532" s="10" t="str">
        <f>IFERROR(__xludf.DUMMYFUNCTION("""COMPUTED_VALUE"""),"Mario Pieper, Emmanuel Lagarrigue, Bedy Yang and Matthias Meyer")</f>
        <v>Mario Pieper, Emmanuel Lagarrigue, Bedy Yang and Matthias Meyer</v>
      </c>
      <c r="E532" s="10" t="str">
        <f>IFERROR(__xludf.DUMMYFUNCTION("""COMPUTED_VALUE"""),"Mario Pieper,Emmanuel Lagarrigue,Bedy Yang,Matthias Meyer")</f>
        <v>Mario Pieper,Emmanuel Lagarrigue,Bedy Yang,Matthias Meyer</v>
      </c>
      <c r="F532" s="10" t="str">
        <f>IFERROR(__xludf.DUMMYFUNCTION("""COMPUTED_VALUE"""),"2019/11/07 14:20:00")</f>
        <v>2019/11/07 14:20:00</v>
      </c>
      <c r="G532" s="10" t="str">
        <f>IFERROR(__xludf.DUMMYFUNCTION("""COMPUTED_VALUE"""),"2019/11/07 14:40:00")</f>
        <v>2019/11/07 14:40:00</v>
      </c>
      <c r="H532" s="10" t="str">
        <f>IFERROR(__xludf.DUMMYFUNCTION("""COMPUTED_VALUE"""),"8ab58a18-3d4c-4d2b-8a8b-fe2983ab6113")</f>
        <v>8ab58a18-3d4c-4d2b-8a8b-fe2983ab6113</v>
      </c>
      <c r="I532" s="10" t="str">
        <f>IFERROR(__xludf.DUMMYFUNCTION("""COMPUTED_VALUE"""),"8ab58a18-3d4c-4d2b-8a8b-fe2983ab6113")</f>
        <v>8ab58a18-3d4c-4d2b-8a8b-fe2983ab6113</v>
      </c>
    </row>
    <row r="533">
      <c r="A533" s="10" t="str">
        <f>IFERROR(__xludf.DUMMYFUNCTION("""COMPUTED_VALUE"""),"How to be part of the solution")</f>
        <v>How to be part of the solution</v>
      </c>
      <c r="B533" s="10" t="str">
        <f>IFERROR(__xludf.DUMMYFUNCTION("""COMPUTED_VALUE"""),"Environmental issues don't always get the best framing in the public discourse. Rising temperatures, rising oceans, rising problems... but what about solutions? UNGC CEO Lise Kingo talks about global plans for a better tomorrow, and how businesses big and"&amp;" small can start sustainable journeys, today.")</f>
        <v>Environmental issues don't always get the best framing in the public discourse. Rising temperatures, rising oceans, rising problems... but what about solutions? UNGC CEO Lise Kingo talks about global plans for a better tomorrow, and how businesses big and small can start sustainable journeys, today.</v>
      </c>
      <c r="C533" s="10" t="str">
        <f>IFERROR(__xludf.DUMMYFUNCTION("""COMPUTED_VALUE"""),"planet:tech ")</f>
        <v>planet:tech </v>
      </c>
      <c r="D533" s="10" t="str">
        <f>IFERROR(__xludf.DUMMYFUNCTION("""COMPUTED_VALUE"""),"Lise Kingo and Thorold Barker")</f>
        <v>Lise Kingo and Thorold Barker</v>
      </c>
      <c r="E533" s="10" t="str">
        <f>IFERROR(__xludf.DUMMYFUNCTION("""COMPUTED_VALUE"""),"Lise Kingo,Thorold Barker")</f>
        <v>Lise Kingo,Thorold Barker</v>
      </c>
      <c r="F533" s="10" t="str">
        <f>IFERROR(__xludf.DUMMYFUNCTION("""COMPUTED_VALUE"""),"2019/11/05 15:35:00")</f>
        <v>2019/11/05 15:35:00</v>
      </c>
      <c r="G533" s="10" t="str">
        <f>IFERROR(__xludf.DUMMYFUNCTION("""COMPUTED_VALUE"""),"2019/11/05 15:55:00")</f>
        <v>2019/11/05 15:55:00</v>
      </c>
      <c r="H533" s="10" t="str">
        <f>IFERROR(__xludf.DUMMYFUNCTION("""COMPUTED_VALUE"""),"29cd3d42-7f4e-4a37-a49d-5f3ffd340ce2")</f>
        <v>29cd3d42-7f4e-4a37-a49d-5f3ffd340ce2</v>
      </c>
      <c r="I533" s="10" t="str">
        <f>IFERROR(__xludf.DUMMYFUNCTION("""COMPUTED_VALUE"""),"29cd3d42-7f4e-4a37-a49d-5f3ffd340ce2")</f>
        <v>29cd3d42-7f4e-4a37-a49d-5f3ffd340ce2</v>
      </c>
    </row>
    <row r="534">
      <c r="A534" s="10" t="str">
        <f>IFERROR(__xludf.DUMMYFUNCTION("""COMPUTED_VALUE"""),"Future of work")</f>
        <v>Future of work</v>
      </c>
      <c r="B534" s="10" t="str">
        <f>IFERROR(__xludf.DUMMYFUNCTION("""COMPUTED_VALUE"""),"The modern workforce is changing for every industry. The biggest threat to organisation is the distance between a company’s vision and their ability to hire and retain the right talent to get them there. Our panellists will provide tangible takeaways for "&amp;"the audience to employ within their own organisation.")</f>
        <v>The modern workforce is changing for every industry. The biggest threat to organisation is the distance between a company’s vision and their ability to hire and retain the right talent to get them there. Our panellists will provide tangible takeaways for the audience to employ within their own organisation.</v>
      </c>
      <c r="C534" s="10" t="str">
        <f>IFERROR(__xludf.DUMMYFUNCTION("""COMPUTED_VALUE"""),"SaaS Monster")</f>
        <v>SaaS Monster</v>
      </c>
      <c r="D534" s="10" t="str">
        <f>IFERROR(__xludf.DUMMYFUNCTION("""COMPUTED_VALUE"""),"Polina Montano, David Yang, Yancey Spruill, Sarah Nahm and Liam Proud")</f>
        <v>Polina Montano, David Yang, Yancey Spruill, Sarah Nahm and Liam Proud</v>
      </c>
      <c r="E534" s="10" t="str">
        <f>IFERROR(__xludf.DUMMYFUNCTION("""COMPUTED_VALUE"""),"Polina Montano,David Yang,Yancey Spruill,Sarah Nahm,Liam Proud")</f>
        <v>Polina Montano,David Yang,Yancey Spruill,Sarah Nahm,Liam Proud</v>
      </c>
      <c r="F534" s="10" t="str">
        <f>IFERROR(__xludf.DUMMYFUNCTION("""COMPUTED_VALUE"""),"2019/11/06 11:00:00")</f>
        <v>2019/11/06 11:00:00</v>
      </c>
      <c r="G534" s="10" t="str">
        <f>IFERROR(__xludf.DUMMYFUNCTION("""COMPUTED_VALUE"""),"2019/11/06 11:25:00")</f>
        <v>2019/11/06 11:25:00</v>
      </c>
      <c r="H534" s="10" t="str">
        <f>IFERROR(__xludf.DUMMYFUNCTION("""COMPUTED_VALUE"""),"686bb2e4-b91c-4c22-8a5e-f03c67fb0b25")</f>
        <v>686bb2e4-b91c-4c22-8a5e-f03c67fb0b25</v>
      </c>
      <c r="I534" s="10" t="str">
        <f>IFERROR(__xludf.DUMMYFUNCTION("""COMPUTED_VALUE"""),"686bb2e4-b91c-4c22-8a5e-f03c67fb0b25")</f>
        <v>686bb2e4-b91c-4c22-8a5e-f03c67fb0b25</v>
      </c>
    </row>
    <row r="535">
      <c r="A535" s="10" t="str">
        <f>IFERROR(__xludf.DUMMYFUNCTION("""COMPUTED_VALUE"""),"New EIB investment to drive developments of QEV technologies")</f>
        <v>New EIB investment to drive developments of QEV technologies</v>
      </c>
      <c r="B535" s="10" t="str">
        <f>IFERROR(__xludf.DUMMYFUNCTION("""COMPUTED_VALUE"""),"")</f>
        <v/>
      </c>
      <c r="C535" s="10" t="str">
        <f>IFERROR(__xludf.DUMMYFUNCTION("""COMPUTED_VALUE"""),"")</f>
        <v/>
      </c>
      <c r="D535" s="10" t="str">
        <f>IFERROR(__xludf.DUMMYFUNCTION("""COMPUTED_VALUE"""),"Emma Navarro")</f>
        <v>Emma Navarro</v>
      </c>
      <c r="E535" s="10" t="str">
        <f>IFERROR(__xludf.DUMMYFUNCTION("""COMPUTED_VALUE"""),"Emma Navarro")</f>
        <v>Emma Navarro</v>
      </c>
      <c r="F535" s="10" t="str">
        <f>IFERROR(__xludf.DUMMYFUNCTION("""COMPUTED_VALUE"""),"")</f>
        <v/>
      </c>
      <c r="G535" s="10" t="str">
        <f>IFERROR(__xludf.DUMMYFUNCTION("""COMPUTED_VALUE"""),"")</f>
        <v/>
      </c>
      <c r="H535" s="10" t="str">
        <f>IFERROR(__xludf.DUMMYFUNCTION("""COMPUTED_VALUE"""),"444e6f8e-5564-5120-bc53-69d1f5f8fc14")</f>
        <v>444e6f8e-5564-5120-bc53-69d1f5f8fc14</v>
      </c>
      <c r="I535" s="10" t="str">
        <f>IFERROR(__xludf.DUMMYFUNCTION("""COMPUTED_VALUE"""),"444e6f8e-5564-5120-bc53-69d1f5f8fc14")</f>
        <v>444e6f8e-5564-5120-bc53-69d1f5f8fc14</v>
      </c>
    </row>
    <row r="536">
      <c r="A536" s="10" t="str">
        <f>IFERROR(__xludf.DUMMYFUNCTION("""COMPUTED_VALUE"""),"Pocket power: The device revolution")</f>
        <v>Pocket power: The device revolution</v>
      </c>
      <c r="B536" s="10" t="str">
        <f>IFERROR(__xludf.DUMMYFUNCTION("""COMPUTED_VALUE"""),"Smaller in size and greater in capacity, AI-enabled devices are revolutionising healthcare. An MIT researcher turned healthtech founder showcases what hardware and software can do for wellbeing.")</f>
        <v>Smaller in size and greater in capacity, AI-enabled devices are revolutionising healthcare. An MIT researcher turned healthtech founder showcases what hardware and software can do for wellbeing.</v>
      </c>
      <c r="C536" s="10" t="str">
        <f>IFERROR(__xludf.DUMMYFUNCTION("""COMPUTED_VALUE"""),"HealthConf")</f>
        <v>HealthConf</v>
      </c>
      <c r="D536" s="10" t="str">
        <f>IFERROR(__xludf.DUMMYFUNCTION("""COMPUTED_VALUE"""),"Nevada Sanchez")</f>
        <v>Nevada Sanchez</v>
      </c>
      <c r="E536" s="10" t="str">
        <f>IFERROR(__xludf.DUMMYFUNCTION("""COMPUTED_VALUE"""),"Nevada Sanchez")</f>
        <v>Nevada Sanchez</v>
      </c>
      <c r="F536" s="10" t="str">
        <f>IFERROR(__xludf.DUMMYFUNCTION("""COMPUTED_VALUE"""),"2019/11/07 12:10:00")</f>
        <v>2019/11/07 12:10:00</v>
      </c>
      <c r="G536" s="10" t="str">
        <f>IFERROR(__xludf.DUMMYFUNCTION("""COMPUTED_VALUE"""),"2019/11/07 12:25:00")</f>
        <v>2019/11/07 12:25:00</v>
      </c>
      <c r="H536" s="10" t="str">
        <f>IFERROR(__xludf.DUMMYFUNCTION("""COMPUTED_VALUE"""),"cddce273-89db-4f2b-b3b2-de42d45f64f0")</f>
        <v>cddce273-89db-4f2b-b3b2-de42d45f64f0</v>
      </c>
      <c r="I536" s="10" t="str">
        <f>IFERROR(__xludf.DUMMYFUNCTION("""COMPUTED_VALUE"""),"cddce273-89db-4f2b-b3b2-de42d45f64f0")</f>
        <v>cddce273-89db-4f2b-b3b2-de42d45f64f0</v>
      </c>
    </row>
    <row r="537">
      <c r="A537" s="10" t="str">
        <f>IFERROR(__xludf.DUMMYFUNCTION("""COMPUTED_VALUE"""),"PITCH ground round 8")</f>
        <v>PITCH ground round 8</v>
      </c>
      <c r="B537" s="10" t="str">
        <f>IFERROR(__xludf.DUMMYFUNCTION("""COMPUTED_VALUE"""),"")</f>
        <v/>
      </c>
      <c r="C537" s="10" t="str">
        <f>IFERROR(__xludf.DUMMYFUNCTION("""COMPUTED_VALUE"""),"")</f>
        <v/>
      </c>
      <c r="D537" s="10" t="str">
        <f>IFERROR(__xludf.DUMMYFUNCTION("""COMPUTED_VALUE"""),"Adrian Lloyd,  Werner Vogels,  James Stewart,  Jag Singh,  Ahmed Habib,  Amali de Alwis,  Naor Amir,  Oliver Werneyer,  Will Ben Sims and  Gabriel Fumagalli and Lucas Nygaard")</f>
        <v>Adrian Lloyd,  Werner Vogels,  James Stewart,  Jag Singh,  Ahmed Habib,  Amali de Alwis,  Naor Amir,  Oliver Werneyer,  Will Ben Sims and  Gabriel Fumagalli and Lucas Nygaard</v>
      </c>
      <c r="E537" s="10" t="str">
        <f>IFERROR(__xludf.DUMMYFUNCTION("""COMPUTED_VALUE"""),"Adrian Lloyd, Werner Vogels, James Stewart, Jag Singh, Ahmed Habib, Amali de Alwis, Naor Amir, Oliver Werneyer, Will Ben Sims, Gabriel Fumagalli and Lucas Nygaard")</f>
        <v>Adrian Lloyd, Werner Vogels, James Stewart, Jag Singh, Ahmed Habib, Amali de Alwis, Naor Amir, Oliver Werneyer, Will Ben Sims, Gabriel Fumagalli and Lucas Nygaard</v>
      </c>
      <c r="F537" s="10" t="str">
        <f>IFERROR(__xludf.DUMMYFUNCTION("""COMPUTED_VALUE"""),"")</f>
        <v/>
      </c>
      <c r="G537" s="10" t="str">
        <f>IFERROR(__xludf.DUMMYFUNCTION("""COMPUTED_VALUE"""),"")</f>
        <v/>
      </c>
      <c r="H537" s="10" t="str">
        <f>IFERROR(__xludf.DUMMYFUNCTION("""COMPUTED_VALUE"""),"cfae26b7-70c8-53e4-9680-04f016e79292")</f>
        <v>cfae26b7-70c8-53e4-9680-04f016e79292</v>
      </c>
      <c r="I537" s="10" t="str">
        <f>IFERROR(__xludf.DUMMYFUNCTION("""COMPUTED_VALUE"""),"cfae26b7-70c8-53e4-9680-04f016e79292")</f>
        <v>cfae26b7-70c8-53e4-9680-04f016e79292</v>
      </c>
    </row>
    <row r="538">
      <c r="A538" s="10" t="str">
        <f>IFERROR(__xludf.DUMMYFUNCTION("""COMPUTED_VALUE"""),"The technology fallacy ")</f>
        <v>The technology fallacy </v>
      </c>
      <c r="B538" s="10" t="str">
        <f>IFERROR(__xludf.DUMMYFUNCTION("""COMPUTED_VALUE"""),"This session will discuss why an organization's response to digital disruption should focus on people and processes and not necessarily on technology.")</f>
        <v>This session will discuss why an organization's response to digital disruption should focus on people and processes and not necessarily on technology.</v>
      </c>
      <c r="C538" s="10" t="str">
        <f>IFERROR(__xludf.DUMMYFUNCTION("""COMPUTED_VALUE"""),"Corporate Innovation Summit")</f>
        <v>Corporate Innovation Summit</v>
      </c>
      <c r="D538" s="10" t="str">
        <f>IFERROR(__xludf.DUMMYFUNCTION("""COMPUTED_VALUE"""),"Jacqui Canney, Gerald Kane and Paul Michelman")</f>
        <v>Jacqui Canney, Gerald Kane and Paul Michelman</v>
      </c>
      <c r="E538" s="10" t="str">
        <f>IFERROR(__xludf.DUMMYFUNCTION("""COMPUTED_VALUE"""),"Jacqui Canney,Gerald Kane,Paul Michelman")</f>
        <v>Jacqui Canney,Gerald Kane,Paul Michelman</v>
      </c>
      <c r="F538" s="10" t="str">
        <f>IFERROR(__xludf.DUMMYFUNCTION("""COMPUTED_VALUE"""),"2019/11/07 15:00:00")</f>
        <v>2019/11/07 15:00:00</v>
      </c>
      <c r="G538" s="10" t="str">
        <f>IFERROR(__xludf.DUMMYFUNCTION("""COMPUTED_VALUE"""),"2019/11/07 15:20:00")</f>
        <v>2019/11/07 15:20:00</v>
      </c>
      <c r="H538" s="10" t="str">
        <f>IFERROR(__xludf.DUMMYFUNCTION("""COMPUTED_VALUE"""),"bdc9a14d-8e63-47fc-acc6-e7a82cf37070")</f>
        <v>bdc9a14d-8e63-47fc-acc6-e7a82cf37070</v>
      </c>
      <c r="I538" s="10" t="str">
        <f>IFERROR(__xludf.DUMMYFUNCTION("""COMPUTED_VALUE"""),"bdc9a14d-8e63-47fc-acc6-e7a82cf37070")</f>
        <v>bdc9a14d-8e63-47fc-acc6-e7a82cf37070</v>
      </c>
    </row>
    <row r="539">
      <c r="A539" s="10" t="str">
        <f>IFERROR(__xludf.DUMMYFUNCTION("""COMPUTED_VALUE"""),"Opening remarks")</f>
        <v>Opening remarks</v>
      </c>
      <c r="B539" s="10" t="str">
        <f>IFERROR(__xludf.DUMMYFUNCTION("""COMPUTED_VALUE"""),"")</f>
        <v/>
      </c>
      <c r="C539" s="10" t="str">
        <f>IFERROR(__xludf.DUMMYFUNCTION("""COMPUTED_VALUE"""),"Centre Stage")</f>
        <v>Centre Stage</v>
      </c>
      <c r="D539" s="10" t="str">
        <f>IFERROR(__xludf.DUMMYFUNCTION("""COMPUTED_VALUE"""),"Paddy Cosgrave")</f>
        <v>Paddy Cosgrave</v>
      </c>
      <c r="E539" s="10" t="str">
        <f>IFERROR(__xludf.DUMMYFUNCTION("""COMPUTED_VALUE"""),"Paddy Cosgrave")</f>
        <v>Paddy Cosgrave</v>
      </c>
      <c r="F539" s="10" t="str">
        <f>IFERROR(__xludf.DUMMYFUNCTION("""COMPUTED_VALUE"""),"2019/11/05 09:45:00")</f>
        <v>2019/11/05 09:45:00</v>
      </c>
      <c r="G539" s="10" t="str">
        <f>IFERROR(__xludf.DUMMYFUNCTION("""COMPUTED_VALUE"""),"2019/11/05 10:00:00")</f>
        <v>2019/11/05 10:00:00</v>
      </c>
      <c r="H539" s="10" t="str">
        <f>IFERROR(__xludf.DUMMYFUNCTION("""COMPUTED_VALUE"""),"7f1dd639-8f39-470b-bbeb-b20c8f9f7106")</f>
        <v>7f1dd639-8f39-470b-bbeb-b20c8f9f7106</v>
      </c>
      <c r="I539" s="10" t="str">
        <f>IFERROR(__xludf.DUMMYFUNCTION("""COMPUTED_VALUE"""),"7f1dd639-8f39-470b-bbeb-b20c8f9f7106")</f>
        <v>7f1dd639-8f39-470b-bbeb-b20c8f9f7106</v>
      </c>
    </row>
    <row r="540">
      <c r="A540" s="10" t="str">
        <f>IFERROR(__xludf.DUMMYFUNCTION("""COMPUTED_VALUE"""),"Dude, where's my flying car?")</f>
        <v>Dude, where's my flying car?</v>
      </c>
      <c r="B540" s="10" t="str">
        <f>IFERROR(__xludf.DUMMYFUNCTION("""COMPUTED_VALUE"""),"In May of this year, Lilium Aviation unveiled their five-seater air taxi prototype. Backed by Tencent, they are leading the race to put the first cars in the air. But is it really possible? And if so, how soon?")</f>
        <v>In May of this year, Lilium Aviation unveiled their five-seater air taxi prototype. Backed by Tencent, they are leading the race to put the first cars in the air. But is it really possible? And if so, how soon?</v>
      </c>
      <c r="C540" s="10" t="str">
        <f>IFERROR(__xludf.DUMMYFUNCTION("""COMPUTED_VALUE"""),"Centre Stage")</f>
        <v>Centre Stage</v>
      </c>
      <c r="D540" s="10" t="str">
        <f>IFERROR(__xludf.DUMMYFUNCTION("""COMPUTED_VALUE"""),"David Wallerstein and Daniel Wiegand")</f>
        <v>David Wallerstein and Daniel Wiegand</v>
      </c>
      <c r="E540" s="10" t="str">
        <f>IFERROR(__xludf.DUMMYFUNCTION("""COMPUTED_VALUE"""),"David Wallerstein,Daniel Wiegand")</f>
        <v>David Wallerstein,Daniel Wiegand</v>
      </c>
      <c r="F540" s="10" t="str">
        <f>IFERROR(__xludf.DUMMYFUNCTION("""COMPUTED_VALUE"""),"2019/11/06 12:35:00")</f>
        <v>2019/11/06 12:35:00</v>
      </c>
      <c r="G540" s="10" t="str">
        <f>IFERROR(__xludf.DUMMYFUNCTION("""COMPUTED_VALUE"""),"2019/11/06 13:00:00")</f>
        <v>2019/11/06 13:00:00</v>
      </c>
      <c r="H540" s="10" t="str">
        <f>IFERROR(__xludf.DUMMYFUNCTION("""COMPUTED_VALUE"""),"440a77b6-51a2-4941-afb6-162cc94f6ef9")</f>
        <v>440a77b6-51a2-4941-afb6-162cc94f6ef9</v>
      </c>
      <c r="I540" s="10" t="str">
        <f>IFERROR(__xludf.DUMMYFUNCTION("""COMPUTED_VALUE"""),"440a77b6-51a2-4941-afb6-162cc94f6ef9")</f>
        <v>440a77b6-51a2-4941-afb6-162cc94f6ef9</v>
      </c>
    </row>
    <row r="541">
      <c r="A541" s="10" t="str">
        <f>IFERROR(__xludf.DUMMYFUNCTION("""COMPUTED_VALUE"""),"PITCH ground round 2")</f>
        <v>PITCH ground round 2</v>
      </c>
      <c r="B541" s="10" t="str">
        <f>IFERROR(__xludf.DUMMYFUNCTION("""COMPUTED_VALUE"""),"")</f>
        <v/>
      </c>
      <c r="C541" s="10" t="str">
        <f>IFERROR(__xludf.DUMMYFUNCTION("""COMPUTED_VALUE"""),"")</f>
        <v/>
      </c>
      <c r="D541" s="10" t="str">
        <f>IFERROR(__xludf.DUMMYFUNCTION("""COMPUTED_VALUE"""),"Nic Brisbourne,  David Meltzer,  Myra Khanna,  Luis Shemtov,  Miguel Barbosa,  Jiazi Guo,  George Laliashvili,  Daniel Sozonov,  Sam Davies,  Pedro Humbert and  MICHAEL JASCHKE")</f>
        <v>Nic Brisbourne,  David Meltzer,  Myra Khanna,  Luis Shemtov,  Miguel Barbosa,  Jiazi Guo,  George Laliashvili,  Daniel Sozonov,  Sam Davies,  Pedro Humbert and  MICHAEL JASCHKE</v>
      </c>
      <c r="E541" s="10" t="str">
        <f>IFERROR(__xludf.DUMMYFUNCTION("""COMPUTED_VALUE"""),"Nic Brisbourne, David Meltzer, Myra Khanna, Luis Shemtov, Miguel Barbosa, Jiazi Guo, George Laliashvili, Daniel Sozonov, Sam Davies, Pedro Humbert, MICHAEL JASCHKE")</f>
        <v>Nic Brisbourne, David Meltzer, Myra Khanna, Luis Shemtov, Miguel Barbosa, Jiazi Guo, George Laliashvili, Daniel Sozonov, Sam Davies, Pedro Humbert, MICHAEL JASCHKE</v>
      </c>
      <c r="F541" s="10" t="str">
        <f>IFERROR(__xludf.DUMMYFUNCTION("""COMPUTED_VALUE"""),"")</f>
        <v/>
      </c>
      <c r="G541" s="10" t="str">
        <f>IFERROR(__xludf.DUMMYFUNCTION("""COMPUTED_VALUE"""),"")</f>
        <v/>
      </c>
      <c r="H541" s="10" t="str">
        <f>IFERROR(__xludf.DUMMYFUNCTION("""COMPUTED_VALUE"""),"37d218f1-eb38-5cee-a8ab-b8682a1778c4")</f>
        <v>37d218f1-eb38-5cee-a8ab-b8682a1778c4</v>
      </c>
      <c r="I541" s="10" t="str">
        <f>IFERROR(__xludf.DUMMYFUNCTION("""COMPUTED_VALUE"""),"37d218f1-eb38-5cee-a8ab-b8682a1778c4")</f>
        <v>37d218f1-eb38-5cee-a8ab-b8682a1778c4</v>
      </c>
    </row>
    <row r="542">
      <c r="A542" s="10" t="str">
        <f>IFERROR(__xludf.DUMMYFUNCTION("""COMPUTED_VALUE""")," Private messaging by design")</f>
        <v> Private messaging by design</v>
      </c>
      <c r="B542" s="10" t="str">
        <f>IFERROR(__xludf.DUMMYFUNCTION("""COMPUTED_VALUE"""),"A discussion with Facebook Messenger about privacy by design and safety in the messaging experience. ")</f>
        <v>A discussion with Facebook Messenger about privacy by design and safety in the messaging experience. </v>
      </c>
      <c r="C542" s="10" t="str">
        <f>IFERROR(__xludf.DUMMYFUNCTION("""COMPUTED_VALUE"""),"ContentMakers")</f>
        <v>ContentMakers</v>
      </c>
      <c r="D542" s="10" t="str">
        <f>IFERROR(__xludf.DUMMYFUNCTION("""COMPUTED_VALUE"""),"Jay Sullivan and Joseph Menn")</f>
        <v>Jay Sullivan and Joseph Menn</v>
      </c>
      <c r="E542" s="10" t="str">
        <f>IFERROR(__xludf.DUMMYFUNCTION("""COMPUTED_VALUE"""),"Jay Sullivan,Joseph Menn")</f>
        <v>Jay Sullivan,Joseph Menn</v>
      </c>
      <c r="F542" s="10" t="str">
        <f>IFERROR(__xludf.DUMMYFUNCTION("""COMPUTED_VALUE"""),"2019/11/06 11:30:00")</f>
        <v>2019/11/06 11:30:00</v>
      </c>
      <c r="G542" s="10" t="str">
        <f>IFERROR(__xludf.DUMMYFUNCTION("""COMPUTED_VALUE"""),"2019/11/06 11:50:00")</f>
        <v>2019/11/06 11:50:00</v>
      </c>
      <c r="H542" s="10" t="str">
        <f>IFERROR(__xludf.DUMMYFUNCTION("""COMPUTED_VALUE"""),"1071911b-1377-4a72-b5a9-ef5f83490fe2")</f>
        <v>1071911b-1377-4a72-b5a9-ef5f83490fe2</v>
      </c>
      <c r="I542" s="10" t="str">
        <f>IFERROR(__xludf.DUMMYFUNCTION("""COMPUTED_VALUE"""),"1071911b-1377-4a72-b5a9-ef5f83490fe2")</f>
        <v>1071911b-1377-4a72-b5a9-ef5f83490fe2</v>
      </c>
    </row>
    <row r="543">
      <c r="A543" s="10" t="str">
        <f>IFERROR(__xludf.DUMMYFUNCTION("""COMPUTED_VALUE"""),"Branding content: How to do it right")</f>
        <v>Branding content: How to do it right</v>
      </c>
      <c r="B543" s="10" t="str">
        <f>IFERROR(__xludf.DUMMYFUNCTION("""COMPUTED_VALUE"""),"Branding and content can be uneasy bedfellows. In this talk find out how to deliver effective branded content with humour, subtlety and finesse.")</f>
        <v>Branding and content can be uneasy bedfellows. In this talk find out how to deliver effective branded content with humour, subtlety and finesse.</v>
      </c>
      <c r="C543" s="10" t="str">
        <f>IFERROR(__xludf.DUMMYFUNCTION("""COMPUTED_VALUE"""),"ContentMakers")</f>
        <v>ContentMakers</v>
      </c>
      <c r="D543" s="10" t="str">
        <f>IFERROR(__xludf.DUMMYFUNCTION("""COMPUTED_VALUE"""),"Fernando Machado, Sairah Ashman, David Fischer and Lindsey Turrentine")</f>
        <v>Fernando Machado, Sairah Ashman, David Fischer and Lindsey Turrentine</v>
      </c>
      <c r="E543" s="10" t="str">
        <f>IFERROR(__xludf.DUMMYFUNCTION("""COMPUTED_VALUE"""),"Fernando Machado,Sairah Ashman,David Fischer,Lindsey Turrentine")</f>
        <v>Fernando Machado,Sairah Ashman,David Fischer,Lindsey Turrentine</v>
      </c>
      <c r="F543" s="10" t="str">
        <f>IFERROR(__xludf.DUMMYFUNCTION("""COMPUTED_VALUE"""),"2019/11/07 14:40:00")</f>
        <v>2019/11/07 14:40:00</v>
      </c>
      <c r="G543" s="10" t="str">
        <f>IFERROR(__xludf.DUMMYFUNCTION("""COMPUTED_VALUE"""),"2019/11/07 15:00:00")</f>
        <v>2019/11/07 15:00:00</v>
      </c>
      <c r="H543" s="10" t="str">
        <f>IFERROR(__xludf.DUMMYFUNCTION("""COMPUTED_VALUE"""),"263ae3b3-62ad-4a73-93c5-963bfc34956a")</f>
        <v>263ae3b3-62ad-4a73-93c5-963bfc34956a</v>
      </c>
      <c r="I543" s="10" t="str">
        <f>IFERROR(__xludf.DUMMYFUNCTION("""COMPUTED_VALUE"""),"263ae3b3-62ad-4a73-93c5-963bfc34956a")</f>
        <v>263ae3b3-62ad-4a73-93c5-963bfc34956a</v>
      </c>
    </row>
    <row r="544">
      <c r="A544" s="10" t="str">
        <f>IFERROR(__xludf.DUMMYFUNCTION("""COMPUTED_VALUE"""),"Featured venue: Bar Gelato Davvero")</f>
        <v>Featured venue: Bar Gelato Davvero</v>
      </c>
      <c r="B544" s="10" t="str">
        <f>IFERROR(__xludf.DUMMYFUNCTION("""COMPUTED_VALUE"""),"When Bar Gelato opened, a new chapter began in Lisbon.  Serving classic drinks and new cocktails with a twist. If you fancy the sound of alcoholic sorbet, gelato cocktails, or alcoholic affogati, this is the place for you. If you're concerned about sullyi"&amp;"ng your belved gelato with alcohol, never fear. Aside from these delicious cocktails, they are also a classic gelato shop where you can get the best ice cream in town. Gelato and cocktails, all with a live DJ soundtrack. A dangerous choice for the lactose"&amp;"-intolerant, but we're prepared to risk it.  
Night Summit deals: 
30% discount on beer, wine, alcoholic gelato cocktails, alcoholic gelato shots, Italian cocktails (Spritz, Negroni, Campari, etc)")</f>
        <v>When Bar Gelato opened, a new chapter began in Lisbon.  Serving classic drinks and new cocktails with a twist. If you fancy the sound of alcoholic sorbet, gelato cocktails, or alcoholic affogati, this is the place for you. If you're concerned about sullying your belved gelato with alcohol, never fear. Aside from these delicious cocktails, they are also a classic gelato shop where you can get the best ice cream in town. Gelato and cocktails, all with a live DJ soundtrack. A dangerous choice for the lactose-intolerant, but we're prepared to risk it.  
Night Summit deals: 
30% discount on beer, wine, alcoholic gelato cocktails, alcoholic gelato shots, Italian cocktails (Spritz, Negroni, Campari, etc)</v>
      </c>
      <c r="C544" s="10" t="str">
        <f>IFERROR(__xludf.DUMMYFUNCTION("""COMPUTED_VALUE"""),"Gelato Davvero")</f>
        <v>Gelato Davvero</v>
      </c>
      <c r="D544" s="10" t="str">
        <f>IFERROR(__xludf.DUMMYFUNCTION("""COMPUTED_VALUE"""),"")</f>
        <v/>
      </c>
      <c r="E544" s="10" t="str">
        <f>IFERROR(__xludf.DUMMYFUNCTION("""COMPUTED_VALUE"""),"")</f>
        <v/>
      </c>
      <c r="F544" s="10" t="str">
        <f>IFERROR(__xludf.DUMMYFUNCTION("""COMPUTED_VALUE"""),"2019/11/05 20:00:00")</f>
        <v>2019/11/05 20:00:00</v>
      </c>
      <c r="G544" s="10" t="str">
        <f>IFERROR(__xludf.DUMMYFUNCTION("""COMPUTED_VALUE"""),"2019/11/06 00:00:00")</f>
        <v>2019/11/06 00:00:00</v>
      </c>
      <c r="H544" s="10" t="str">
        <f>IFERROR(__xludf.DUMMYFUNCTION("""COMPUTED_VALUE"""),"e831c9ec-fe46-4b08-9409-599d1caec66a")</f>
        <v>e831c9ec-fe46-4b08-9409-599d1caec66a</v>
      </c>
      <c r="I544" s="10" t="str">
        <f>IFERROR(__xludf.DUMMYFUNCTION("""COMPUTED_VALUE"""),"e831c9ec-fe46-4b08-9409-599d1caec66a")</f>
        <v>e831c9ec-fe46-4b08-9409-599d1caec66a</v>
      </c>
    </row>
    <row r="545">
      <c r="A545" s="10" t="str">
        <f>IFERROR(__xludf.DUMMYFUNCTION("""COMPUTED_VALUE"""),"Jessica Ennis-Hill: A winner's guide to business")</f>
        <v>Jessica Ennis-Hill: A winner's guide to business</v>
      </c>
      <c r="B545" s="10" t="str">
        <f>IFERROR(__xludf.DUMMYFUNCTION("""COMPUTED_VALUE"""),"Olympic champion and three-time world champion, Jessica Ennis-Hill talks the transition from athlete to entrepreneur as she sets about replicating her sporting success with fitness app Jennis.")</f>
        <v>Olympic champion and three-time world champion, Jessica Ennis-Hill talks the transition from athlete to entrepreneur as she sets about replicating her sporting success with fitness app Jennis.</v>
      </c>
      <c r="C545" s="10" t="str">
        <f>IFERROR(__xludf.DUMMYFUNCTION("""COMPUTED_VALUE"""),"SportsTrade")</f>
        <v>SportsTrade</v>
      </c>
      <c r="D545" s="10" t="str">
        <f>IFERROR(__xludf.DUMMYFUNCTION("""COMPUTED_VALUE"""),"Jessica Ennis-Hill and Ger Gilroy")</f>
        <v>Jessica Ennis-Hill and Ger Gilroy</v>
      </c>
      <c r="E545" s="10" t="str">
        <f>IFERROR(__xludf.DUMMYFUNCTION("""COMPUTED_VALUE"""),"Jessica Ennis-Hill,Ger Gilroy")</f>
        <v>Jessica Ennis-Hill,Ger Gilroy</v>
      </c>
      <c r="F545" s="10" t="str">
        <f>IFERROR(__xludf.DUMMYFUNCTION("""COMPUTED_VALUE"""),"2019/11/05 12:05:00")</f>
        <v>2019/11/05 12:05:00</v>
      </c>
      <c r="G545" s="10" t="str">
        <f>IFERROR(__xludf.DUMMYFUNCTION("""COMPUTED_VALUE"""),"2019/11/05 12:20:00")</f>
        <v>2019/11/05 12:20:00</v>
      </c>
      <c r="H545" s="10" t="str">
        <f>IFERROR(__xludf.DUMMYFUNCTION("""COMPUTED_VALUE"""),"1a071c7c-02b4-40f5-897b-84aaabadacd2")</f>
        <v>1a071c7c-02b4-40f5-897b-84aaabadacd2</v>
      </c>
      <c r="I545" s="10" t="str">
        <f>IFERROR(__xludf.DUMMYFUNCTION("""COMPUTED_VALUE"""),"1a071c7c-02b4-40f5-897b-84aaabadacd2")</f>
        <v>1a071c7c-02b4-40f5-897b-84aaabadacd2</v>
      </c>
    </row>
    <row r="546">
      <c r="A546" s="10" t="str">
        <f>IFERROR(__xludf.DUMMYFUNCTION("""COMPUTED_VALUE"""),"Breakout startups group 2")</f>
        <v>Breakout startups group 2</v>
      </c>
      <c r="B546" s="10" t="str">
        <f>IFERROR(__xludf.DUMMYFUNCTION("""COMPUTED_VALUE"""),"Are these the startups everyone will be talking about in 2020? Dozens of the world’s leading investors think so. Get ready to see and hear from some of the world’s most exciting early-stage startups. ")</f>
        <v>Are these the startups everyone will be talking about in 2020? Dozens of the world’s leading investors think so. Get ready to see and hear from some of the world’s most exciting early-stage startups. </v>
      </c>
      <c r="C546" s="10" t="str">
        <f>IFERROR(__xludf.DUMMYFUNCTION("""COMPUTED_VALUE"""),"Centre Stage")</f>
        <v>Centre Stage</v>
      </c>
      <c r="D546" s="10" t="str">
        <f>IFERROR(__xludf.DUMMYFUNCTION("""COMPUTED_VALUE"""),"Rui Sales, Daniela Seixas, Louise Lindblad, Kate Boyle, Catriona Forrest, Els van der Helm, Hanna Marie Asmussen, Nikki Michelsen, Leah Remfry-Peploe, Casey Lau and Sunil Sharma")</f>
        <v>Rui Sales, Daniela Seixas, Louise Lindblad, Kate Boyle, Catriona Forrest, Els van der Helm, Hanna Marie Asmussen, Nikki Michelsen, Leah Remfry-Peploe, Casey Lau and Sunil Sharma</v>
      </c>
      <c r="E546" s="10" t="str">
        <f>IFERROR(__xludf.DUMMYFUNCTION("""COMPUTED_VALUE"""),"Rui Sales,Daniela Seixas,Louise Lindblad,Kate Boyle,Catriona Forrest,Els van der Helm,Hanna Marie Asmussen,Nikki Michelsen,Leah Remfry-Peploe,Casey Lau,Sunil Sharma")</f>
        <v>Rui Sales,Daniela Seixas,Louise Lindblad,Kate Boyle,Catriona Forrest,Els van der Helm,Hanna Marie Asmussen,Nikki Michelsen,Leah Remfry-Peploe,Casey Lau,Sunil Sharma</v>
      </c>
      <c r="F546" s="10" t="str">
        <f>IFERROR(__xludf.DUMMYFUNCTION("""COMPUTED_VALUE"""),"2019/11/04 17:50:00")</f>
        <v>2019/11/04 17:50:00</v>
      </c>
      <c r="G546" s="10" t="str">
        <f>IFERROR(__xludf.DUMMYFUNCTION("""COMPUTED_VALUE"""),"2019/11/04 18:15:00")</f>
        <v>2019/11/04 18:15:00</v>
      </c>
      <c r="H546" s="10" t="str">
        <f>IFERROR(__xludf.DUMMYFUNCTION("""COMPUTED_VALUE"""),"d431a181-8d31-4ba9-ac6a-b7b7ec5c7a3b")</f>
        <v>d431a181-8d31-4ba9-ac6a-b7b7ec5c7a3b</v>
      </c>
      <c r="I546" s="10" t="str">
        <f>IFERROR(__xludf.DUMMYFUNCTION("""COMPUTED_VALUE"""),"d431a181-8d31-4ba9-ac6a-b7b7ec5c7a3b")</f>
        <v>d431a181-8d31-4ba9-ac6a-b7b7ec5c7a3b</v>
      </c>
    </row>
    <row r="547">
      <c r="A547" s="10" t="str">
        <f>IFERROR(__xludf.DUMMYFUNCTION("""COMPUTED_VALUE"""),"Kickstarting innovation in your company:  The story of Wirecard´s corporate innovation lab, hosted by Wirecard")</f>
        <v>Kickstarting innovation in your company:  The story of Wirecard´s corporate innovation lab, hosted by Wirecard</v>
      </c>
      <c r="B547" s="10" t="str">
        <f>IFERROR(__xludf.DUMMYFUNCTION("""COMPUTED_VALUE"""),"Consumers are more connected than ever before. Pair that with the rising expectations of millennials, and it means leading companies need to innovate to stay ahead. Find out more about why Wirecard's built an innovation lab, which gave their employees a p"&amp;"latform to innovate, quickly validate future product concepts, and accelerate product innovation. The key topics which will be covered include: enablers of success; challenges of scaling; finding your 10% (internal champions); and storytelling innovation.")</f>
        <v>Consumers are more connected than ever before. Pair that with the rising expectations of millennials, and it means leading companies need to innovate to stay ahead. Find out more about why Wirecard's built an innovation lab, which gave their employees a platform to innovate, quickly validate future product concepts, and accelerate product innovation. The key topics which will be covered include: enablers of success; challenges of scaling; finding your 10% (internal champions); and storytelling innovation.</v>
      </c>
      <c r="C547" s="10" t="str">
        <f>IFERROR(__xludf.DUMMYFUNCTION("""COMPUTED_VALUE"""),"Workshop 4")</f>
        <v>Workshop 4</v>
      </c>
      <c r="D547" s="10" t="str">
        <f>IFERROR(__xludf.DUMMYFUNCTION("""COMPUTED_VALUE"""),"Sara Maki")</f>
        <v>Sara Maki</v>
      </c>
      <c r="E547" s="10" t="str">
        <f>IFERROR(__xludf.DUMMYFUNCTION("""COMPUTED_VALUE"""),"Sara Maki")</f>
        <v>Sara Maki</v>
      </c>
      <c r="F547" s="10" t="str">
        <f>IFERROR(__xludf.DUMMYFUNCTION("""COMPUTED_VALUE"""),"2019/11/05 10:45:00")</f>
        <v>2019/11/05 10:45:00</v>
      </c>
      <c r="G547" s="10" t="str">
        <f>IFERROR(__xludf.DUMMYFUNCTION("""COMPUTED_VALUE"""),"2019/11/05 11:30:00")</f>
        <v>2019/11/05 11:30:00</v>
      </c>
      <c r="H547" s="10" t="str">
        <f>IFERROR(__xludf.DUMMYFUNCTION("""COMPUTED_VALUE"""),"76da125c-767c-4bb6-92f7-be7d845eaf05")</f>
        <v>76da125c-767c-4bb6-92f7-be7d845eaf05</v>
      </c>
      <c r="I547" s="10" t="str">
        <f>IFERROR(__xludf.DUMMYFUNCTION("""COMPUTED_VALUE"""),"76da125c-767c-4bb6-92f7-be7d845eaf05")</f>
        <v>76da125c-767c-4bb6-92f7-be7d845eaf05</v>
      </c>
    </row>
    <row r="548">
      <c r="A548" s="10" t="str">
        <f>IFERROR(__xludf.DUMMYFUNCTION("""COMPUTED_VALUE"""),"Freeletics: The importance of continuous change in fitness")</f>
        <v>Freeletics: The importance of continuous change in fitness</v>
      </c>
      <c r="B548" s="10" t="str">
        <f>IFERROR(__xludf.DUMMYFUNCTION("""COMPUTED_VALUE"""),"Freeletics has seen exponential global growth by empowering people through continuous self-development. So why are new mindsets and constant change the key to success, both for consumers and companies alike?")</f>
        <v>Freeletics has seen exponential global growth by empowering people through continuous self-development. So why are new mindsets and constant change the key to success, both for consumers and companies alike?</v>
      </c>
      <c r="C548" s="10" t="str">
        <f>IFERROR(__xludf.DUMMYFUNCTION("""COMPUTED_VALUE"""),"Growth Summit")</f>
        <v>Growth Summit</v>
      </c>
      <c r="D548" s="10" t="str">
        <f>IFERROR(__xludf.DUMMYFUNCTION("""COMPUTED_VALUE"""),"Daniel Sobhani")</f>
        <v>Daniel Sobhani</v>
      </c>
      <c r="E548" s="10" t="str">
        <f>IFERROR(__xludf.DUMMYFUNCTION("""COMPUTED_VALUE"""),"Daniel Sobhani")</f>
        <v>Daniel Sobhani</v>
      </c>
      <c r="F548" s="10" t="str">
        <f>IFERROR(__xludf.DUMMYFUNCTION("""COMPUTED_VALUE"""),"2019/11/06 13:47:00")</f>
        <v>2019/11/06 13:47:00</v>
      </c>
      <c r="G548" s="10" t="str">
        <f>IFERROR(__xludf.DUMMYFUNCTION("""COMPUTED_VALUE"""),"2019/11/06 13:58:00")</f>
        <v>2019/11/06 13:58:00</v>
      </c>
      <c r="H548" s="10" t="str">
        <f>IFERROR(__xludf.DUMMYFUNCTION("""COMPUTED_VALUE"""),"f2716cba-f93a-4d74-9797-30c1b535c3d6")</f>
        <v>f2716cba-f93a-4d74-9797-30c1b535c3d6</v>
      </c>
      <c r="I548" s="10" t="str">
        <f>IFERROR(__xludf.DUMMYFUNCTION("""COMPUTED_VALUE"""),"f2716cba-f93a-4d74-9797-30c1b535c3d6")</f>
        <v>f2716cba-f93a-4d74-9797-30c1b535c3d6</v>
      </c>
    </row>
    <row r="549">
      <c r="A549" s="10" t="str">
        <f>IFERROR(__xludf.DUMMYFUNCTION("""COMPUTED_VALUE"""),"Creating a company genius zone")</f>
        <v>Creating a company genius zone</v>
      </c>
      <c r="B549" s="10" t="str">
        <f>IFERROR(__xludf.DUMMYFUNCTION("""COMPUTED_VALUE"""),"Hadean CEO, Craig Beddis will discuss the critical identification, alignment, and development of the right people at the right time in a startup's life cycle stage. ")</f>
        <v>Hadean CEO, Craig Beddis will discuss the critical identification, alignment, and development of the right people at the right time in a startup's life cycle stage. </v>
      </c>
      <c r="C549" s="10" t="str">
        <f>IFERROR(__xludf.DUMMYFUNCTION("""COMPUTED_VALUE"""),"Growth Summit")</f>
        <v>Growth Summit</v>
      </c>
      <c r="D549" s="10" t="str">
        <f>IFERROR(__xludf.DUMMYFUNCTION("""COMPUTED_VALUE"""),"Craig Beddis")</f>
        <v>Craig Beddis</v>
      </c>
      <c r="E549" s="10" t="str">
        <f>IFERROR(__xludf.DUMMYFUNCTION("""COMPUTED_VALUE"""),"Craig Beddis")</f>
        <v>Craig Beddis</v>
      </c>
      <c r="F549" s="10" t="str">
        <f>IFERROR(__xludf.DUMMYFUNCTION("""COMPUTED_VALUE"""),"2019/11/06 11:06:00")</f>
        <v>2019/11/06 11:06:00</v>
      </c>
      <c r="G549" s="10" t="str">
        <f>IFERROR(__xludf.DUMMYFUNCTION("""COMPUTED_VALUE"""),"2019/11/06 11:10:00")</f>
        <v>2019/11/06 11:10:00</v>
      </c>
      <c r="H549" s="10" t="str">
        <f>IFERROR(__xludf.DUMMYFUNCTION("""COMPUTED_VALUE"""),"7b057a68-4985-4ded-ad0e-2e1ad7ae6343")</f>
        <v>7b057a68-4985-4ded-ad0e-2e1ad7ae6343</v>
      </c>
      <c r="I549" s="10" t="str">
        <f>IFERROR(__xludf.DUMMYFUNCTION("""COMPUTED_VALUE"""),"7b057a68-4985-4ded-ad0e-2e1ad7ae6343")</f>
        <v>7b057a68-4985-4ded-ad0e-2e1ad7ae6343</v>
      </c>
    </row>
    <row r="550">
      <c r="A550" s="10" t="str">
        <f>IFERROR(__xludf.DUMMYFUNCTION("""COMPUTED_VALUE"""),"Fashion, way beyond next season")</f>
        <v>Fashion, way beyond next season</v>
      </c>
      <c r="B550" s="10" t="str">
        <f>IFERROR(__xludf.DUMMYFUNCTION("""COMPUTED_VALUE"""),"A sprawling consumer demographic and speedy output would normally set off alarm bells for eco-warriors everywhere. With H&amp;M, that's not the case. Join Anna Gedda, Chief Sustainability Officer, as she discusses the prioritisation of circularity and transpa"&amp;"rency during the most crucial environmental crisis of all time.")</f>
        <v>A sprawling consumer demographic and speedy output would normally set off alarm bells for eco-warriors everywhere. With H&amp;M, that's not the case. Join Anna Gedda, Chief Sustainability Officer, as she discusses the prioritisation of circularity and transparency during the most crucial environmental crisis of all time.</v>
      </c>
      <c r="C550" s="10" t="str">
        <f>IFERROR(__xludf.DUMMYFUNCTION("""COMPUTED_VALUE"""),"Modum")</f>
        <v>Modum</v>
      </c>
      <c r="D550" s="10" t="str">
        <f>IFERROR(__xludf.DUMMYFUNCTION("""COMPUTED_VALUE"""),"Anna Gedda")</f>
        <v>Anna Gedda</v>
      </c>
      <c r="E550" s="10" t="str">
        <f>IFERROR(__xludf.DUMMYFUNCTION("""COMPUTED_VALUE"""),"Anna Gedda")</f>
        <v>Anna Gedda</v>
      </c>
      <c r="F550" s="10" t="str">
        <f>IFERROR(__xludf.DUMMYFUNCTION("""COMPUTED_VALUE"""),"2019/11/07 14:40:00")</f>
        <v>2019/11/07 14:40:00</v>
      </c>
      <c r="G550" s="10" t="str">
        <f>IFERROR(__xludf.DUMMYFUNCTION("""COMPUTED_VALUE"""),"2019/11/07 15:00:00")</f>
        <v>2019/11/07 15:00:00</v>
      </c>
      <c r="H550" s="10" t="str">
        <f>IFERROR(__xludf.DUMMYFUNCTION("""COMPUTED_VALUE"""),"c95f7b19-5806-423c-81a8-adf6d0a4bc83")</f>
        <v>c95f7b19-5806-423c-81a8-adf6d0a4bc83</v>
      </c>
      <c r="I550" s="10" t="str">
        <f>IFERROR(__xludf.DUMMYFUNCTION("""COMPUTED_VALUE"""),"c95f7b19-5806-423c-81a8-adf6d0a4bc83")</f>
        <v>c95f7b19-5806-423c-81a8-adf6d0a4bc83</v>
      </c>
    </row>
    <row r="551">
      <c r="A551" s="10" t="str">
        <f>IFERROR(__xludf.DUMMYFUNCTION("""COMPUTED_VALUE"""),"The internet computer: Reinvent the internet using superpowered software")</f>
        <v>The internet computer: Reinvent the internet using superpowered software</v>
      </c>
      <c r="B551" s="10" t="str">
        <f>IFERROR(__xludf.DUMMYFUNCTION("""COMPUTED_VALUE"""),"In the near future, breakthroughs in distributed computing and cryptography will allow developers to reinvent the internet with a new breed of tamperproof open internet services. Promising to reverse Big Tech’s monopolisation of the internet, they will al"&amp;"so fundamentally accelerate the world's transition to Web 3.0. ")</f>
        <v>In the near future, breakthroughs in distributed computing and cryptography will allow developers to reinvent the internet with a new breed of tamperproof open internet services. Promising to reverse Big Tech’s monopolisation of the internet, they will also fundamentally accelerate the world's transition to Web 3.0. </v>
      </c>
      <c r="C551" s="10" t="str">
        <f>IFERROR(__xludf.DUMMYFUNCTION("""COMPUTED_VALUE"""),"FullSTK")</f>
        <v>FullSTK</v>
      </c>
      <c r="D551" s="10" t="str">
        <f>IFERROR(__xludf.DUMMYFUNCTION("""COMPUTED_VALUE"""),"Dominic Williams")</f>
        <v>Dominic Williams</v>
      </c>
      <c r="E551" s="10" t="str">
        <f>IFERROR(__xludf.DUMMYFUNCTION("""COMPUTED_VALUE"""),"Dominic Williams")</f>
        <v>Dominic Williams</v>
      </c>
      <c r="F551" s="10" t="str">
        <f>IFERROR(__xludf.DUMMYFUNCTION("""COMPUTED_VALUE"""),"2019/11/07 15:40:00")</f>
        <v>2019/11/07 15:40:00</v>
      </c>
      <c r="G551" s="10" t="str">
        <f>IFERROR(__xludf.DUMMYFUNCTION("""COMPUTED_VALUE"""),"2019/11/07 16:00:00")</f>
        <v>2019/11/07 16:00:00</v>
      </c>
      <c r="H551" s="10" t="str">
        <f>IFERROR(__xludf.DUMMYFUNCTION("""COMPUTED_VALUE"""),"9eb19daa-07f8-4c88-a5e9-38dda5e8b53d")</f>
        <v>9eb19daa-07f8-4c88-a5e9-38dda5e8b53d</v>
      </c>
      <c r="I551" s="10" t="str">
        <f>IFERROR(__xludf.DUMMYFUNCTION("""COMPUTED_VALUE"""),"9eb19daa-07f8-4c88-a5e9-38dda5e8b53d")</f>
        <v>9eb19daa-07f8-4c88-a5e9-38dda5e8b53d</v>
      </c>
    </row>
    <row r="552">
      <c r="A552" s="10" t="str">
        <f>IFERROR(__xludf.DUMMYFUNCTION("""COMPUTED_VALUE"""),"How to win on social")</f>
        <v>How to win on social</v>
      </c>
      <c r="B552" s="10" t="str">
        <f>IFERROR(__xludf.DUMMYFUNCTION("""COMPUTED_VALUE"""),"For better or worse, modern brands need social media to survive. What are the tactics that will win the hearts of consumers and keep you from getting #cancelled?")</f>
        <v>For better or worse, modern brands need social media to survive. What are the tactics that will win the hearts of consumers and keep you from getting #cancelled?</v>
      </c>
      <c r="C552" s="10" t="str">
        <f>IFERROR(__xludf.DUMMYFUNCTION("""COMPUTED_VALUE"""),"PandaConf")</f>
        <v>PandaConf</v>
      </c>
      <c r="D552" s="10" t="str">
        <f>IFERROR(__xludf.DUMMYFUNCTION("""COMPUTED_VALUE"""),"Dima Khatib, Margaret Molloy, Alex Chung and Mark Little")</f>
        <v>Dima Khatib, Margaret Molloy, Alex Chung and Mark Little</v>
      </c>
      <c r="E552" s="10" t="str">
        <f>IFERROR(__xludf.DUMMYFUNCTION("""COMPUTED_VALUE"""),"Dima Khatib,Margaret Molloy,Alex Chung,Mark Little")</f>
        <v>Dima Khatib,Margaret Molloy,Alex Chung,Mark Little</v>
      </c>
      <c r="F552" s="10" t="str">
        <f>IFERROR(__xludf.DUMMYFUNCTION("""COMPUTED_VALUE"""),"2019/11/06 11:50:00")</f>
        <v>2019/11/06 11:50:00</v>
      </c>
      <c r="G552" s="10" t="str">
        <f>IFERROR(__xludf.DUMMYFUNCTION("""COMPUTED_VALUE"""),"2019/11/06 12:10:00")</f>
        <v>2019/11/06 12:10:00</v>
      </c>
      <c r="H552" s="10" t="str">
        <f>IFERROR(__xludf.DUMMYFUNCTION("""COMPUTED_VALUE"""),"58ae0116-8289-4d43-aec1-d71e1c6e9d06")</f>
        <v>58ae0116-8289-4d43-aec1-d71e1c6e9d06</v>
      </c>
      <c r="I552" s="10" t="str">
        <f>IFERROR(__xludf.DUMMYFUNCTION("""COMPUTED_VALUE"""),"58ae0116-8289-4d43-aec1-d71e1c6e9d06")</f>
        <v>58ae0116-8289-4d43-aec1-d71e1c6e9d06</v>
      </c>
    </row>
    <row r="553">
      <c r="A553" s="10" t="str">
        <f>IFERROR(__xludf.DUMMYFUNCTION("""COMPUTED_VALUE"""),"Lunch break")</f>
        <v>Lunch break</v>
      </c>
      <c r="B553" s="10" t="str">
        <f>IFERROR(__xludf.DUMMYFUNCTION("""COMPUTED_VALUE"""),"")</f>
        <v/>
      </c>
      <c r="C553" s="10" t="str">
        <f>IFERROR(__xludf.DUMMYFUNCTION("""COMPUTED_VALUE"""),"DeepTech")</f>
        <v>DeepTech</v>
      </c>
      <c r="D553" s="10" t="str">
        <f>IFERROR(__xludf.DUMMYFUNCTION("""COMPUTED_VALUE"""),"")</f>
        <v/>
      </c>
      <c r="E553" s="10" t="str">
        <f>IFERROR(__xludf.DUMMYFUNCTION("""COMPUTED_VALUE"""),"")</f>
        <v/>
      </c>
      <c r="F553" s="10" t="str">
        <f>IFERROR(__xludf.DUMMYFUNCTION("""COMPUTED_VALUE"""),"2019/11/06 13:15:00")</f>
        <v>2019/11/06 13:15:00</v>
      </c>
      <c r="G553" s="10" t="str">
        <f>IFERROR(__xludf.DUMMYFUNCTION("""COMPUTED_VALUE"""),"2019/11/06 13:50:00")</f>
        <v>2019/11/06 13:50:00</v>
      </c>
      <c r="H553" s="10" t="str">
        <f>IFERROR(__xludf.DUMMYFUNCTION("""COMPUTED_VALUE"""),"3c08a900-4299-4ea4-b72a-9c13a1a1916e")</f>
        <v>3c08a900-4299-4ea4-b72a-9c13a1a1916e</v>
      </c>
      <c r="I553" s="10" t="str">
        <f>IFERROR(__xludf.DUMMYFUNCTION("""COMPUTED_VALUE"""),"3c08a900-4299-4ea4-b72a-9c13a1a1916e")</f>
        <v>3c08a900-4299-4ea4-b72a-9c13a1a1916e</v>
      </c>
    </row>
    <row r="554">
      <c r="A554" s="10" t="str">
        <f>IFERROR(__xludf.DUMMYFUNCTION("""COMPUTED_VALUE"""),"Lunch break")</f>
        <v>Lunch break</v>
      </c>
      <c r="B554" s="10" t="str">
        <f>IFERROR(__xludf.DUMMYFUNCTION("""COMPUTED_VALUE"""),"")</f>
        <v/>
      </c>
      <c r="C554" s="10" t="str">
        <f>IFERROR(__xludf.DUMMYFUNCTION("""COMPUTED_VALUE"""),"MusicNotes")</f>
        <v>MusicNotes</v>
      </c>
      <c r="D554" s="10" t="str">
        <f>IFERROR(__xludf.DUMMYFUNCTION("""COMPUTED_VALUE"""),"")</f>
        <v/>
      </c>
      <c r="E554" s="10" t="str">
        <f>IFERROR(__xludf.DUMMYFUNCTION("""COMPUTED_VALUE"""),"")</f>
        <v/>
      </c>
      <c r="F554" s="10" t="str">
        <f>IFERROR(__xludf.DUMMYFUNCTION("""COMPUTED_VALUE"""),"2019/11/07 13:05:00")</f>
        <v>2019/11/07 13:05:00</v>
      </c>
      <c r="G554" s="10" t="str">
        <f>IFERROR(__xludf.DUMMYFUNCTION("""COMPUTED_VALUE"""),"2019/11/07 13:45:00")</f>
        <v>2019/11/07 13:45:00</v>
      </c>
      <c r="H554" s="10" t="str">
        <f>IFERROR(__xludf.DUMMYFUNCTION("""COMPUTED_VALUE"""),"83cdffa9-6368-4b3f-be46-5801b15acb6f")</f>
        <v>83cdffa9-6368-4b3f-be46-5801b15acb6f</v>
      </c>
      <c r="I554" s="10" t="str">
        <f>IFERROR(__xludf.DUMMYFUNCTION("""COMPUTED_VALUE"""),"83cdffa9-6368-4b3f-be46-5801b15acb6f")</f>
        <v>83cdffa9-6368-4b3f-be46-5801b15acb6f</v>
      </c>
    </row>
    <row r="555">
      <c r="A555" s="10" t="str">
        <f>IFERROR(__xludf.DUMMYFUNCTION("""COMPUTED_VALUE"""),"Drones and food delivery: A marriage made in heaven")</f>
        <v>Drones and food delivery: A marriage made in heaven</v>
      </c>
      <c r="B555" s="10" t="str">
        <f>IFERROR(__xludf.DUMMYFUNCTION("""COMPUTED_VALUE"""),"There are so many food delivery unicorns at the moment, but could getting your food delivered by drone really be a feasible option — or is it pie in the sky?")</f>
        <v>There are so many food delivery unicorns at the moment, but could getting your food delivered by drone really be a feasible option — or is it pie in the sky?</v>
      </c>
      <c r="C555" s="10" t="str">
        <f>IFERROR(__xludf.DUMMYFUNCTION("""COMPUTED_VALUE"""),"Auto/Tech &amp; TalkRobot")</f>
        <v>Auto/Tech &amp; TalkRobot</v>
      </c>
      <c r="D555" s="10" t="str">
        <f>IFERROR(__xludf.DUMMYFUNCTION("""COMPUTED_VALUE"""),"Bobby Healy")</f>
        <v>Bobby Healy</v>
      </c>
      <c r="E555" s="10" t="str">
        <f>IFERROR(__xludf.DUMMYFUNCTION("""COMPUTED_VALUE"""),"Bobby Healy")</f>
        <v>Bobby Healy</v>
      </c>
      <c r="F555" s="10" t="str">
        <f>IFERROR(__xludf.DUMMYFUNCTION("""COMPUTED_VALUE"""),"2019/11/06 11:00:00")</f>
        <v>2019/11/06 11:00:00</v>
      </c>
      <c r="G555" s="10" t="str">
        <f>IFERROR(__xludf.DUMMYFUNCTION("""COMPUTED_VALUE"""),"2019/11/06 11:15:00")</f>
        <v>2019/11/06 11:15:00</v>
      </c>
      <c r="H555" s="10" t="str">
        <f>IFERROR(__xludf.DUMMYFUNCTION("""COMPUTED_VALUE"""),"2995ac8d-f975-4e2b-a3aa-cc39ebebe916")</f>
        <v>2995ac8d-f975-4e2b-a3aa-cc39ebebe916</v>
      </c>
      <c r="I555" s="10" t="str">
        <f>IFERROR(__xludf.DUMMYFUNCTION("""COMPUTED_VALUE"""),"2995ac8d-f975-4e2b-a3aa-cc39ebebe916")</f>
        <v>2995ac8d-f975-4e2b-a3aa-cc39ebebe916</v>
      </c>
    </row>
    <row r="556">
      <c r="A556" s="10" t="str">
        <f>IFERROR(__xludf.DUMMYFUNCTION("""COMPUTED_VALUE"""),"The real-time revolution")</f>
        <v>The real-time revolution</v>
      </c>
      <c r="B556" s="10" t="str">
        <f>IFERROR(__xludf.DUMMYFUNCTION("""COMPUTED_VALUE"""),"Today’s content is more visual, deeply immersive and connected. The power to create this type of content comes from real-time 3D (RT3D), a technology forged in gaming and currently changing other industries. Today, RT3D is fundamentally changing the proce"&amp;"ss of content creation and collaboration, and is poised to unlock new capabilities for everyone. Unity Technologies’ CMO, Clive, will discuss how all the content changes happening today have been in service to the real-time revolution.")</f>
        <v>Today’s content is more visual, deeply immersive and connected. The power to create this type of content comes from real-time 3D (RT3D), a technology forged in gaming and currently changing other industries. Today, RT3D is fundamentally changing the process of content creation and collaboration, and is poised to unlock new capabilities for everyone. Unity Technologies’ CMO, Clive, will discuss how all the content changes happening today have been in service to the real-time revolution.</v>
      </c>
      <c r="C556" s="10" t="str">
        <f>IFERROR(__xludf.DUMMYFUNCTION("""COMPUTED_VALUE"""),"ContentMakers")</f>
        <v>ContentMakers</v>
      </c>
      <c r="D556" s="10" t="str">
        <f>IFERROR(__xludf.DUMMYFUNCTION("""COMPUTED_VALUE"""),"Clive Downie")</f>
        <v>Clive Downie</v>
      </c>
      <c r="E556" s="10" t="str">
        <f>IFERROR(__xludf.DUMMYFUNCTION("""COMPUTED_VALUE"""),"Clive Downie")</f>
        <v>Clive Downie</v>
      </c>
      <c r="F556" s="10" t="str">
        <f>IFERROR(__xludf.DUMMYFUNCTION("""COMPUTED_VALUE"""),"2019/11/06 11:50:00")</f>
        <v>2019/11/06 11:50:00</v>
      </c>
      <c r="G556" s="10" t="str">
        <f>IFERROR(__xludf.DUMMYFUNCTION("""COMPUTED_VALUE"""),"2019/11/06 12:10:00")</f>
        <v>2019/11/06 12:10:00</v>
      </c>
      <c r="H556" s="10" t="str">
        <f>IFERROR(__xludf.DUMMYFUNCTION("""COMPUTED_VALUE"""),"051d4f15-693c-4dc3-b0e7-55af59077093")</f>
        <v>051d4f15-693c-4dc3-b0e7-55af59077093</v>
      </c>
      <c r="I556" s="10" t="str">
        <f>IFERROR(__xludf.DUMMYFUNCTION("""COMPUTED_VALUE"""),"051d4f15-693c-4dc3-b0e7-55af59077093")</f>
        <v>051d4f15-693c-4dc3-b0e7-55af59077093</v>
      </c>
    </row>
    <row r="557">
      <c r="A557" s="10" t="str">
        <f>IFERROR(__xludf.DUMMYFUNCTION("""COMPUTED_VALUE"""),"It takes a village to build a city")</f>
        <v>It takes a village to build a city</v>
      </c>
      <c r="B557" s="10" t="str">
        <f>IFERROR(__xludf.DUMMYFUNCTION("""COMPUTED_VALUE"""),"How are our cities going to adapt and evolve over the next few years to grow in tandem with technology? In this panel, we'll be looking at how we can develop smart cities across the globe.")</f>
        <v>How are our cities going to adapt and evolve over the next few years to grow in tandem with technology? In this panel, we'll be looking at how we can develop smart cities across the globe.</v>
      </c>
      <c r="C557" s="10" t="str">
        <f>IFERROR(__xludf.DUMMYFUNCTION("""COMPUTED_VALUE"""),"Auto/Tech &amp; TalkRobot")</f>
        <v>Auto/Tech &amp; TalkRobot</v>
      </c>
      <c r="D557" s="10" t="str">
        <f>IFERROR(__xludf.DUMMYFUNCTION("""COMPUTED_VALUE"""),"Micah Kotch, Pasquale Romano, Ro Gupta, Carrie Shuler and Jim Motavalli")</f>
        <v>Micah Kotch, Pasquale Romano, Ro Gupta, Carrie Shuler and Jim Motavalli</v>
      </c>
      <c r="E557" s="10" t="str">
        <f>IFERROR(__xludf.DUMMYFUNCTION("""COMPUTED_VALUE"""),"Micah Kotch,Pasquale Romano,Ro Gupta,Carrie Shuler,Jim Motavalli")</f>
        <v>Micah Kotch,Pasquale Romano,Ro Gupta,Carrie Shuler,Jim Motavalli</v>
      </c>
      <c r="F557" s="10" t="str">
        <f>IFERROR(__xludf.DUMMYFUNCTION("""COMPUTED_VALUE"""),"2019/11/05 14:45:00")</f>
        <v>2019/11/05 14:45:00</v>
      </c>
      <c r="G557" s="10" t="str">
        <f>IFERROR(__xludf.DUMMYFUNCTION("""COMPUTED_VALUE"""),"2019/11/05 15:05:00")</f>
        <v>2019/11/05 15:05:00</v>
      </c>
      <c r="H557" s="10" t="str">
        <f>IFERROR(__xludf.DUMMYFUNCTION("""COMPUTED_VALUE"""),"6b611ede-e5a2-4d94-bac4-6649abd4aaef")</f>
        <v>6b611ede-e5a2-4d94-bac4-6649abd4aaef</v>
      </c>
      <c r="I557" s="10" t="str">
        <f>IFERROR(__xludf.DUMMYFUNCTION("""COMPUTED_VALUE"""),"6b611ede-e5a2-4d94-bac4-6649abd4aaef")</f>
        <v>6b611ede-e5a2-4d94-bac4-6649abd4aaef</v>
      </c>
    </row>
    <row r="558">
      <c r="A558" s="10" t="str">
        <f>IFERROR(__xludf.DUMMYFUNCTION("""COMPUTED_VALUE"""),"Registration")</f>
        <v>Registration</v>
      </c>
      <c r="B558" s="10" t="str">
        <f>IFERROR(__xludf.DUMMYFUNCTION("""COMPUTED_VALUE"""),"Psst, just a heads up to complete your registration.
You can register while you’re at the airport from 7am to 11pm. All you need to do is head out of the terminal and follow the signs to our registration marquee. You’ll be done in a few minutes. 
Al"&amp;"ternatively, you can register at the Altice Arena &amp; FIL in the main registration area from 12pm to 8pm.
If you need more information about registration go to websummit.com/essentials/registration. ")</f>
        <v>Psst, just a heads up to complete your registration.
You can register while you’re at the airport from 7am to 11pm. All you need to do is head out of the terminal and follow the signs to our registration marquee. You’ll be done in a few minutes. 
Alternatively, you can register at the Altice Arena &amp; FIL in the main registration area from 12pm to 8pm.
If you need more information about registration go to websummit.com/essentials/registration. </v>
      </c>
      <c r="C558" s="10" t="str">
        <f>IFERROR(__xludf.DUMMYFUNCTION("""COMPUTED_VALUE"""),"Registration")</f>
        <v>Registration</v>
      </c>
      <c r="D558" s="10" t="str">
        <f>IFERROR(__xludf.DUMMYFUNCTION("""COMPUTED_VALUE"""),"")</f>
        <v/>
      </c>
      <c r="E558" s="10" t="str">
        <f>IFERROR(__xludf.DUMMYFUNCTION("""COMPUTED_VALUE"""),"")</f>
        <v/>
      </c>
      <c r="F558" s="10" t="str">
        <f>IFERROR(__xludf.DUMMYFUNCTION("""COMPUTED_VALUE"""),"2019/11/04 07:00:00")</f>
        <v>2019/11/04 07:00:00</v>
      </c>
      <c r="G558" s="10" t="str">
        <f>IFERROR(__xludf.DUMMYFUNCTION("""COMPUTED_VALUE"""),"2019/11/04 23:00:00")</f>
        <v>2019/11/04 23:00:00</v>
      </c>
      <c r="H558" s="10" t="str">
        <f>IFERROR(__xludf.DUMMYFUNCTION("""COMPUTED_VALUE"""),"3acc28ab-c65e-4fc0-b4bd-184422bef18a")</f>
        <v>3acc28ab-c65e-4fc0-b4bd-184422bef18a</v>
      </c>
      <c r="I558" s="10" t="str">
        <f>IFERROR(__xludf.DUMMYFUNCTION("""COMPUTED_VALUE"""),"3acc28ab-c65e-4fc0-b4bd-184422bef18a")</f>
        <v>3acc28ab-c65e-4fc0-b4bd-184422bef18a</v>
      </c>
    </row>
    <row r="559">
      <c r="A559" s="10" t="str">
        <f>IFERROR(__xludf.DUMMYFUNCTION("""COMPUTED_VALUE"""),"The hidden truth about European VC performance")</f>
        <v>The hidden truth about European VC performance</v>
      </c>
      <c r="B559" s="10" t="str">
        <f>IFERROR(__xludf.DUMMYFUNCTION("""COMPUTED_VALUE"""),"")</f>
        <v/>
      </c>
      <c r="C559" s="10" t="str">
        <f>IFERROR(__xludf.DUMMYFUNCTION("""COMPUTED_VALUE"""),"Venture stage")</f>
        <v>Venture stage</v>
      </c>
      <c r="D559" s="10" t="str">
        <f>IFERROR(__xludf.DUMMYFUNCTION("""COMPUTED_VALUE"""),"Bjorn Tremmerie")</f>
        <v>Bjorn Tremmerie</v>
      </c>
      <c r="E559" s="10" t="str">
        <f>IFERROR(__xludf.DUMMYFUNCTION("""COMPUTED_VALUE"""),"Bjorn Tremmerie")</f>
        <v>Bjorn Tremmerie</v>
      </c>
      <c r="F559" s="10" t="str">
        <f>IFERROR(__xludf.DUMMYFUNCTION("""COMPUTED_VALUE"""),"2019/11/05 15:50:00")</f>
        <v>2019/11/05 15:50:00</v>
      </c>
      <c r="G559" s="10" t="str">
        <f>IFERROR(__xludf.DUMMYFUNCTION("""COMPUTED_VALUE"""),"2019/11/05 16:05:00")</f>
        <v>2019/11/05 16:05:00</v>
      </c>
      <c r="H559" s="10" t="str">
        <f>IFERROR(__xludf.DUMMYFUNCTION("""COMPUTED_VALUE"""),"a4da4df1-0ae0-42b5-acd2-1a8caf8da7a3")</f>
        <v>a4da4df1-0ae0-42b5-acd2-1a8caf8da7a3</v>
      </c>
      <c r="I559" s="10" t="str">
        <f>IFERROR(__xludf.DUMMYFUNCTION("""COMPUTED_VALUE"""),"a4da4df1-0ae0-42b5-acd2-1a8caf8da7a3")</f>
        <v>a4da4df1-0ae0-42b5-acd2-1a8caf8da7a3</v>
      </c>
    </row>
    <row r="560">
      <c r="A560" s="10" t="str">
        <f>IFERROR(__xludf.DUMMYFUNCTION("""COMPUTED_VALUE"""),"Enabling a cultural movement to power your growth")</f>
        <v>Enabling a cultural movement to power your growth</v>
      </c>
      <c r="B560" s="10" t="str">
        <f>IFERROR(__xludf.DUMMYFUNCTION("""COMPUTED_VALUE"""),"Co-founder of Eight Sleep, Alexandra will outline the story behind the growth of the world's first sleep fitness company.")</f>
        <v>Co-founder of Eight Sleep, Alexandra will outline the story behind the growth of the world's first sleep fitness company.</v>
      </c>
      <c r="C560" s="10" t="str">
        <f>IFERROR(__xludf.DUMMYFUNCTION("""COMPUTED_VALUE"""),"Growth Summit")</f>
        <v>Growth Summit</v>
      </c>
      <c r="D560" s="10" t="str">
        <f>IFERROR(__xludf.DUMMYFUNCTION("""COMPUTED_VALUE"""),"Alexandra Zatarain")</f>
        <v>Alexandra Zatarain</v>
      </c>
      <c r="E560" s="10" t="str">
        <f>IFERROR(__xludf.DUMMYFUNCTION("""COMPUTED_VALUE"""),"Alexandra Zatarain")</f>
        <v>Alexandra Zatarain</v>
      </c>
      <c r="F560" s="10" t="str">
        <f>IFERROR(__xludf.DUMMYFUNCTION("""COMPUTED_VALUE"""),"2019/11/06 16:32:00")</f>
        <v>2019/11/06 16:32:00</v>
      </c>
      <c r="G560" s="10" t="str">
        <f>IFERROR(__xludf.DUMMYFUNCTION("""COMPUTED_VALUE"""),"2019/11/06 16:43:00")</f>
        <v>2019/11/06 16:43:00</v>
      </c>
      <c r="H560" s="10" t="str">
        <f>IFERROR(__xludf.DUMMYFUNCTION("""COMPUTED_VALUE"""),"d69b7afc-e3db-47cf-8c85-de0f7500cc4a")</f>
        <v>d69b7afc-e3db-47cf-8c85-de0f7500cc4a</v>
      </c>
      <c r="I560" s="10" t="str">
        <f>IFERROR(__xludf.DUMMYFUNCTION("""COMPUTED_VALUE"""),"d69b7afc-e3db-47cf-8c85-de0f7500cc4a")</f>
        <v>d69b7afc-e3db-47cf-8c85-de0f7500cc4a</v>
      </c>
    </row>
    <row r="561">
      <c r="A561" s="10" t="str">
        <f>IFERROR(__xludf.DUMMYFUNCTION("""COMPUTED_VALUE"""),"Opening remarks")</f>
        <v>Opening remarks</v>
      </c>
      <c r="B561" s="10" t="str">
        <f>IFERROR(__xludf.DUMMYFUNCTION("""COMPUTED_VALUE"""),"")</f>
        <v/>
      </c>
      <c r="C561" s="10" t="str">
        <f>IFERROR(__xludf.DUMMYFUNCTION("""COMPUTED_VALUE"""),"Venture stage")</f>
        <v>Venture stage</v>
      </c>
      <c r="D561" s="10" t="str">
        <f>IFERROR(__xludf.DUMMYFUNCTION("""COMPUTED_VALUE"""),"Connor Murphy")</f>
        <v>Connor Murphy</v>
      </c>
      <c r="E561" s="10" t="str">
        <f>IFERROR(__xludf.DUMMYFUNCTION("""COMPUTED_VALUE"""),"Connor Murphy")</f>
        <v>Connor Murphy</v>
      </c>
      <c r="F561" s="10" t="str">
        <f>IFERROR(__xludf.DUMMYFUNCTION("""COMPUTED_VALUE"""),"2019/11/05 10:15:00")</f>
        <v>2019/11/05 10:15:00</v>
      </c>
      <c r="G561" s="10" t="str">
        <f>IFERROR(__xludf.DUMMYFUNCTION("""COMPUTED_VALUE"""),"2019/11/05 10:30:00")</f>
        <v>2019/11/05 10:30:00</v>
      </c>
      <c r="H561" s="10" t="str">
        <f>IFERROR(__xludf.DUMMYFUNCTION("""COMPUTED_VALUE"""),"b376f113-d467-4247-9768-d31db92db587")</f>
        <v>b376f113-d467-4247-9768-d31db92db587</v>
      </c>
      <c r="I561" s="10" t="str">
        <f>IFERROR(__xludf.DUMMYFUNCTION("""COMPUTED_VALUE"""),"b376f113-d467-4247-9768-d31db92db587")</f>
        <v>b376f113-d467-4247-9768-d31db92db587</v>
      </c>
    </row>
    <row r="562">
      <c r="A562" s="10" t="str">
        <f>IFERROR(__xludf.DUMMYFUNCTION("""COMPUTED_VALUE"""),"From 'What if' to 'Shazam that' ")</f>
        <v>From 'What if' to 'Shazam that' </v>
      </c>
      <c r="B562" s="10" t="str">
        <f>IFERROR(__xludf.DUMMYFUNCTION("""COMPUTED_VALUE"""),"Hear from the co-founder of Shazam about how he built the app and algorithm they said could never be made. 
")</f>
        <v>Hear from the co-founder of Shazam about how he built the app and algorithm they said could never be made. 
</v>
      </c>
      <c r="C562" s="10" t="str">
        <f>IFERROR(__xludf.DUMMYFUNCTION("""COMPUTED_VALUE"""),"Startup University")</f>
        <v>Startup University</v>
      </c>
      <c r="D562" s="10" t="str">
        <f>IFERROR(__xludf.DUMMYFUNCTION("""COMPUTED_VALUE"""),"Chris Barton")</f>
        <v>Chris Barton</v>
      </c>
      <c r="E562" s="10" t="str">
        <f>IFERROR(__xludf.DUMMYFUNCTION("""COMPUTED_VALUE"""),"Chris Barton")</f>
        <v>Chris Barton</v>
      </c>
      <c r="F562" s="10" t="str">
        <f>IFERROR(__xludf.DUMMYFUNCTION("""COMPUTED_VALUE"""),"2019/11/05 11:10:00")</f>
        <v>2019/11/05 11:10:00</v>
      </c>
      <c r="G562" s="10" t="str">
        <f>IFERROR(__xludf.DUMMYFUNCTION("""COMPUTED_VALUE"""),"2019/11/05 11:30:00")</f>
        <v>2019/11/05 11:30:00</v>
      </c>
      <c r="H562" s="10" t="str">
        <f>IFERROR(__xludf.DUMMYFUNCTION("""COMPUTED_VALUE"""),"2e3242c8-2539-40af-8a57-8b977efe0695")</f>
        <v>2e3242c8-2539-40af-8a57-8b977efe0695</v>
      </c>
      <c r="I562" s="10" t="str">
        <f>IFERROR(__xludf.DUMMYFUNCTION("""COMPUTED_VALUE"""),"2e3242c8-2539-40af-8a57-8b977efe0695")</f>
        <v>2e3242c8-2539-40af-8a57-8b977efe0695</v>
      </c>
    </row>
    <row r="563">
      <c r="A563" s="10" t="str">
        <f>IFERROR(__xludf.DUMMYFUNCTION("""COMPUTED_VALUE"""),"Data addiction: AI and the future of design")</f>
        <v>Data addiction: AI and the future of design</v>
      </c>
      <c r="B563" s="10" t="str">
        <f>IFERROR(__xludf.DUMMYFUNCTION("""COMPUTED_VALUE"""),"A collection of industry leaders discuss the impact of AI for the industry, including whether they believe automation will replace the designers of today and tomorrow.  They'll also explore how data can improve the customer experience in an age of growing"&amp;" concerns over privacy.
")</f>
        <v>A collection of industry leaders discuss the impact of AI for the industry, including whether they believe automation will replace the designers of today and tomorrow.  They'll also explore how data can improve the customer experience in an age of growing concerns over privacy.
</v>
      </c>
      <c r="C563" s="10" t="str">
        <f>IFERROR(__xludf.DUMMYFUNCTION("""COMPUTED_VALUE"""),"creatiff")</f>
        <v>creatiff</v>
      </c>
      <c r="D563" s="10" t="str">
        <f>IFERROR(__xludf.DUMMYFUNCTION("""COMPUTED_VALUE"""),"Pete Stein, Yali Saar, Zak Normandin and Marcus Fairs")</f>
        <v>Pete Stein, Yali Saar, Zak Normandin and Marcus Fairs</v>
      </c>
      <c r="E563" s="10" t="str">
        <f>IFERROR(__xludf.DUMMYFUNCTION("""COMPUTED_VALUE"""),"Pete Stein,Yali Saar,Zak Normandin,Marcus Fairs")</f>
        <v>Pete Stein,Yali Saar,Zak Normandin,Marcus Fairs</v>
      </c>
      <c r="F563" s="10" t="str">
        <f>IFERROR(__xludf.DUMMYFUNCTION("""COMPUTED_VALUE"""),"2019/11/05 11:35:00")</f>
        <v>2019/11/05 11:35:00</v>
      </c>
      <c r="G563" s="10" t="str">
        <f>IFERROR(__xludf.DUMMYFUNCTION("""COMPUTED_VALUE"""),"2019/11/05 12:00:00")</f>
        <v>2019/11/05 12:00:00</v>
      </c>
      <c r="H563" s="10" t="str">
        <f>IFERROR(__xludf.DUMMYFUNCTION("""COMPUTED_VALUE"""),"ef858518-b75a-4a1d-8fd2-2ae1b889dc6a")</f>
        <v>ef858518-b75a-4a1d-8fd2-2ae1b889dc6a</v>
      </c>
      <c r="I563" s="10" t="str">
        <f>IFERROR(__xludf.DUMMYFUNCTION("""COMPUTED_VALUE"""),"ef858518-b75a-4a1d-8fd2-2ae1b889dc6a")</f>
        <v>ef858518-b75a-4a1d-8fd2-2ae1b889dc6a</v>
      </c>
    </row>
    <row r="564">
      <c r="A564" s="10" t="str">
        <f>IFERROR(__xludf.DUMMYFUNCTION("""COMPUTED_VALUE"""),"Plates and the planet: How to eco-feed the world")</f>
        <v>Plates and the planet: How to eco-feed the world</v>
      </c>
      <c r="B564" s="10" t="str">
        <f>IFERROR(__xludf.DUMMYFUNCTION("""COMPUTED_VALUE"""),"A growing population means more mouths to feed. And there are a shrinking number of solutions, especially sustainable ones. Where to next for those who fight world hunger? And can tech step in to save the spread?")</f>
        <v>A growing population means more mouths to feed. And there are a shrinking number of solutions, especially sustainable ones. Where to next for those who fight world hunger? And can tech step in to save the spread?</v>
      </c>
      <c r="C564" s="10" t="str">
        <f>IFERROR(__xludf.DUMMYFUNCTION("""COMPUTED_VALUE"""),"planet:tech ")</f>
        <v>planet:tech </v>
      </c>
      <c r="D564" s="10" t="str">
        <f>IFERROR(__xludf.DUMMYFUNCTION("""COMPUTED_VALUE"""),"Vandana Tilak, Antoine Hubert and Britta Muzyk-Tikovsky")</f>
        <v>Vandana Tilak, Antoine Hubert and Britta Muzyk-Tikovsky</v>
      </c>
      <c r="E564" s="10" t="str">
        <f>IFERROR(__xludf.DUMMYFUNCTION("""COMPUTED_VALUE"""),"Vandana Tilak,Antoine Hubert,Britta Muzyk-Tikovsky")</f>
        <v>Vandana Tilak,Antoine Hubert,Britta Muzyk-Tikovsky</v>
      </c>
      <c r="F564" s="10" t="str">
        <f>IFERROR(__xludf.DUMMYFUNCTION("""COMPUTED_VALUE"""),"2019/11/05 12:40:00")</f>
        <v>2019/11/05 12:40:00</v>
      </c>
      <c r="G564" s="10" t="str">
        <f>IFERROR(__xludf.DUMMYFUNCTION("""COMPUTED_VALUE"""),"2019/11/05 13:00:00")</f>
        <v>2019/11/05 13:00:00</v>
      </c>
      <c r="H564" s="10" t="str">
        <f>IFERROR(__xludf.DUMMYFUNCTION("""COMPUTED_VALUE"""),"b3fbc724-3198-4122-9152-6129bb60765e")</f>
        <v>b3fbc724-3198-4122-9152-6129bb60765e</v>
      </c>
      <c r="I564" s="10" t="str">
        <f>IFERROR(__xludf.DUMMYFUNCTION("""COMPUTED_VALUE"""),"b3fbc724-3198-4122-9152-6129bb60765e")</f>
        <v>b3fbc724-3198-4122-9152-6129bb60765e</v>
      </c>
    </row>
    <row r="565">
      <c r="A565" s="10" t="str">
        <f>IFERROR(__xludf.DUMMYFUNCTION("""COMPUTED_VALUE"""),"Opening remarks")</f>
        <v>Opening remarks</v>
      </c>
      <c r="B565" s="10" t="str">
        <f>IFERROR(__xludf.DUMMYFUNCTION("""COMPUTED_VALUE"""),"")</f>
        <v/>
      </c>
      <c r="C565" s="10" t="str">
        <f>IFERROR(__xludf.DUMMYFUNCTION("""COMPUTED_VALUE"""),"Centre Stage")</f>
        <v>Centre Stage</v>
      </c>
      <c r="D565" s="10" t="str">
        <f>IFERROR(__xludf.DUMMYFUNCTION("""COMPUTED_VALUE"""),"Paddy Cosgrave")</f>
        <v>Paddy Cosgrave</v>
      </c>
      <c r="E565" s="10" t="str">
        <f>IFERROR(__xludf.DUMMYFUNCTION("""COMPUTED_VALUE"""),"Paddy Cosgrave")</f>
        <v>Paddy Cosgrave</v>
      </c>
      <c r="F565" s="10" t="str">
        <f>IFERROR(__xludf.DUMMYFUNCTION("""COMPUTED_VALUE"""),"2019/11/07 13:45:00")</f>
        <v>2019/11/07 13:45:00</v>
      </c>
      <c r="G565" s="10" t="str">
        <f>IFERROR(__xludf.DUMMYFUNCTION("""COMPUTED_VALUE"""),"2019/11/07 14:00:00")</f>
        <v>2019/11/07 14:00:00</v>
      </c>
      <c r="H565" s="10" t="str">
        <f>IFERROR(__xludf.DUMMYFUNCTION("""COMPUTED_VALUE"""),"b0f35e5b-5938-4f05-89cc-5124038343be")</f>
        <v>b0f35e5b-5938-4f05-89cc-5124038343be</v>
      </c>
      <c r="I565" s="10" t="str">
        <f>IFERROR(__xludf.DUMMYFUNCTION("""COMPUTED_VALUE"""),"b0f35e5b-5938-4f05-89cc-5124038343be")</f>
        <v>b0f35e5b-5938-4f05-89cc-5124038343be</v>
      </c>
    </row>
    <row r="566">
      <c r="A566" s="10" t="str">
        <f>IFERROR(__xludf.DUMMYFUNCTION("""COMPUTED_VALUE"""),"Promoting democratic values online")</f>
        <v>Promoting democratic values online</v>
      </c>
      <c r="B566" s="10" t="str">
        <f>IFERROR(__xludf.DUMMYFUNCTION("""COMPUTED_VALUE"""),"Social media is often seen as a double edged sword - it can help to promote democratic values, giving everyone a voice, or it can undermine our democratic structures, unleashing the worst within our societies. In this session we will hear from Vera Jourov"&amp;"a, the incoming European Commissioner responsible for protecting democratic values across the entire continent.")</f>
        <v>Social media is often seen as a double edged sword - it can help to promote democratic values, giving everyone a voice, or it can undermine our democratic structures, unleashing the worst within our societies. In this session we will hear from Vera Jourova, the incoming European Commissioner responsible for protecting democratic values across the entire continent.</v>
      </c>
      <c r="C566" s="10" t="str">
        <f>IFERROR(__xludf.DUMMYFUNCTION("""COMPUTED_VALUE"""),"Future Societies")</f>
        <v>Future Societies</v>
      </c>
      <c r="D566" s="10" t="str">
        <f>IFERROR(__xludf.DUMMYFUNCTION("""COMPUTED_VALUE"""),"Věra Jourová and Sam Schechner")</f>
        <v>Věra Jourová and Sam Schechner</v>
      </c>
      <c r="E566" s="10" t="str">
        <f>IFERROR(__xludf.DUMMYFUNCTION("""COMPUTED_VALUE"""),"Věra Jourová,Sam Schechner")</f>
        <v>Věra Jourová,Sam Schechner</v>
      </c>
      <c r="F566" s="10" t="str">
        <f>IFERROR(__xludf.DUMMYFUNCTION("""COMPUTED_VALUE"""),"2019/11/07 15:25:00")</f>
        <v>2019/11/07 15:25:00</v>
      </c>
      <c r="G566" s="10" t="str">
        <f>IFERROR(__xludf.DUMMYFUNCTION("""COMPUTED_VALUE"""),"2019/11/07 15:45:00")</f>
        <v>2019/11/07 15:45:00</v>
      </c>
      <c r="H566" s="10" t="str">
        <f>IFERROR(__xludf.DUMMYFUNCTION("""COMPUTED_VALUE"""),"69aae012-f16e-4c57-878c-f87bedf64023")</f>
        <v>69aae012-f16e-4c57-878c-f87bedf64023</v>
      </c>
      <c r="I566" s="10" t="str">
        <f>IFERROR(__xludf.DUMMYFUNCTION("""COMPUTED_VALUE"""),"69aae012-f16e-4c57-878c-f87bedf64023")</f>
        <v>69aae012-f16e-4c57-878c-f87bedf64023</v>
      </c>
    </row>
    <row r="567">
      <c r="A567" s="10" t="str">
        <f>IFERROR(__xludf.DUMMYFUNCTION("""COMPUTED_VALUE"""),"Lunch break")</f>
        <v>Lunch break</v>
      </c>
      <c r="B567" s="10" t="str">
        <f>IFERROR(__xludf.DUMMYFUNCTION("""COMPUTED_VALUE"""),"")</f>
        <v/>
      </c>
      <c r="C567" s="10" t="str">
        <f>IFERROR(__xludf.DUMMYFUNCTION("""COMPUTED_VALUE"""),"SaaS Monster")</f>
        <v>SaaS Monster</v>
      </c>
      <c r="D567" s="10" t="str">
        <f>IFERROR(__xludf.DUMMYFUNCTION("""COMPUTED_VALUE"""),"")</f>
        <v/>
      </c>
      <c r="E567" s="10" t="str">
        <f>IFERROR(__xludf.DUMMYFUNCTION("""COMPUTED_VALUE"""),"")</f>
        <v/>
      </c>
      <c r="F567" s="10" t="str">
        <f>IFERROR(__xludf.DUMMYFUNCTION("""COMPUTED_VALUE"""),"2019/11/05 12:50:00")</f>
        <v>2019/11/05 12:50:00</v>
      </c>
      <c r="G567" s="10" t="str">
        <f>IFERROR(__xludf.DUMMYFUNCTION("""COMPUTED_VALUE"""),"2019/11/05 13:20:00")</f>
        <v>2019/11/05 13:20:00</v>
      </c>
      <c r="H567" s="10" t="str">
        <f>IFERROR(__xludf.DUMMYFUNCTION("""COMPUTED_VALUE"""),"ac332420-8830-4529-a87b-8a39999aca64")</f>
        <v>ac332420-8830-4529-a87b-8a39999aca64</v>
      </c>
      <c r="I567" s="10" t="str">
        <f>IFERROR(__xludf.DUMMYFUNCTION("""COMPUTED_VALUE"""),"ac332420-8830-4529-a87b-8a39999aca64")</f>
        <v>ac332420-8830-4529-a87b-8a39999aca64</v>
      </c>
    </row>
    <row r="568">
      <c r="A568" s="10" t="str">
        <f>IFERROR(__xludf.DUMMYFUNCTION("""COMPUTED_VALUE"""),"Breakout startups")</f>
        <v>Breakout startups</v>
      </c>
      <c r="B568" s="10" t="str">
        <f>IFERROR(__xludf.DUMMYFUNCTION("""COMPUTED_VALUE"""),"Are these the companies everyone will be talking about in 2020? Dozens of the world’s leading investors think so. Each morning and lunchtime on Centre Stage join us to get an introduction to some of the world’s most exciting early and growth stage startup"&amp;"s. Each of the startups have been hand-selected by some of the world’s most successful investors. You’re in for a treat.")</f>
        <v>Are these the companies everyone will be talking about in 2020? Dozens of the world’s leading investors think so. Each morning and lunchtime on Centre Stage join us to get an introduction to some of the world’s most exciting early and growth stage startups. Each of the startups have been hand-selected by some of the world’s most successful investors. You’re in for a treat.</v>
      </c>
      <c r="C568" s="10" t="str">
        <f>IFERROR(__xludf.DUMMYFUNCTION("""COMPUTED_VALUE"""),"Centre Stage")</f>
        <v>Centre Stage</v>
      </c>
      <c r="D568" s="10" t="str">
        <f>IFERROR(__xludf.DUMMYFUNCTION("""COMPUTED_VALUE"""),"Nuno Pinto, Andre Jordao, Nuno Fonseca, Josh Lowy, Nils Henning, Sam Al-Mukhtar, Shane Curran, Dev Amratia, Sid Khattri, Bob Moore, Jaleh Rezaei and Els van der Helm")</f>
        <v>Nuno Pinto, Andre Jordao, Nuno Fonseca, Josh Lowy, Nils Henning, Sam Al-Mukhtar, Shane Curran, Dev Amratia, Sid Khattri, Bob Moore, Jaleh Rezaei and Els van der Helm</v>
      </c>
      <c r="E568" s="10" t="str">
        <f>IFERROR(__xludf.DUMMYFUNCTION("""COMPUTED_VALUE"""),"Nuno Pinto,Andre Jordao,Nuno Fonseca,Josh Lowy,Nils Henning,Sam Al-Mukhtar,Shane Curran,Dev Amratia,Sid Khattri,Bob Moore,Jaleh Rezaei,Els van der Helm")</f>
        <v>Nuno Pinto,Andre Jordao,Nuno Fonseca,Josh Lowy,Nils Henning,Sam Al-Mukhtar,Shane Curran,Dev Amratia,Sid Khattri,Bob Moore,Jaleh Rezaei,Els van der Helm</v>
      </c>
      <c r="F568" s="10" t="str">
        <f>IFERROR(__xludf.DUMMYFUNCTION("""COMPUTED_VALUE"""),"2019/11/05 09:10:00")</f>
        <v>2019/11/05 09:10:00</v>
      </c>
      <c r="G568" s="10" t="str">
        <f>IFERROR(__xludf.DUMMYFUNCTION("""COMPUTED_VALUE"""),"2019/11/05 09:45:00")</f>
        <v>2019/11/05 09:45:00</v>
      </c>
      <c r="H568" s="10" t="str">
        <f>IFERROR(__xludf.DUMMYFUNCTION("""COMPUTED_VALUE"""),"aca07843-a28b-4f66-aa13-e16eb13ee5cf")</f>
        <v>aca07843-a28b-4f66-aa13-e16eb13ee5cf</v>
      </c>
      <c r="I568" s="10" t="str">
        <f>IFERROR(__xludf.DUMMYFUNCTION("""COMPUTED_VALUE"""),"aca07843-a28b-4f66-aa13-e16eb13ee5cf")</f>
        <v>aca07843-a28b-4f66-aa13-e16eb13ee5cf</v>
      </c>
    </row>
    <row r="569">
      <c r="A569" s="10" t="str">
        <f>IFERROR(__xludf.DUMMYFUNCTION("""COMPUTED_VALUE"""),"The user acquisition and engagement lifecycle of apps, hosted by Huawei")</f>
        <v>The user acquisition and engagement lifecycle of apps, hosted by Huawei</v>
      </c>
      <c r="B569" s="10" t="str">
        <f>IFERROR(__xludf.DUMMYFUNCTION("""COMPUTED_VALUE"""),"Huawei's official store, AppGallery, has been preloaded to all Huawei and Honor devices. It has already reached 390m+ monthly active users. How do we help our developers reach this market share and what we offer to support during the lifecycle of apps wil"&amp;"l be explained in this session.")</f>
        <v>Huawei's official store, AppGallery, has been preloaded to all Huawei and Honor devices. It has already reached 390m+ monthly active users. How do we help our developers reach this market share and what we offer to support during the lifecycle of apps will be explained in this session.</v>
      </c>
      <c r="C569" s="10" t="str">
        <f>IFERROR(__xludf.DUMMYFUNCTION("""COMPUTED_VALUE"""),"Workshop 1")</f>
        <v>Workshop 1</v>
      </c>
      <c r="D569" s="10" t="str">
        <f>IFERROR(__xludf.DUMMYFUNCTION("""COMPUTED_VALUE"""),"Ramiro Maria")</f>
        <v>Ramiro Maria</v>
      </c>
      <c r="E569" s="10" t="str">
        <f>IFERROR(__xludf.DUMMYFUNCTION("""COMPUTED_VALUE"""),"Ramiro Maria")</f>
        <v>Ramiro Maria</v>
      </c>
      <c r="F569" s="10" t="str">
        <f>IFERROR(__xludf.DUMMYFUNCTION("""COMPUTED_VALUE"""),"2019/11/05 15:45:00")</f>
        <v>2019/11/05 15:45:00</v>
      </c>
      <c r="G569" s="10" t="str">
        <f>IFERROR(__xludf.DUMMYFUNCTION("""COMPUTED_VALUE"""),"2019/11/05 16:15:00")</f>
        <v>2019/11/05 16:15:00</v>
      </c>
      <c r="H569" s="10" t="str">
        <f>IFERROR(__xludf.DUMMYFUNCTION("""COMPUTED_VALUE"""),"a6511a59-6444-43a2-887b-37d5e494d3fa")</f>
        <v>a6511a59-6444-43a2-887b-37d5e494d3fa</v>
      </c>
      <c r="I569" s="10" t="str">
        <f>IFERROR(__xludf.DUMMYFUNCTION("""COMPUTED_VALUE"""),"a6511a59-6444-43a2-887b-37d5e494d3fa")</f>
        <v>a6511a59-6444-43a2-887b-37d5e494d3fa</v>
      </c>
    </row>
    <row r="570">
      <c r="A570" s="10" t="str">
        <f>IFERROR(__xludf.DUMMYFUNCTION("""COMPUTED_VALUE"""),"Web Summit Closing Ceremony")</f>
        <v>Web Summit Closing Ceremony</v>
      </c>
      <c r="B570" s="10" t="str">
        <f>IFERROR(__xludf.DUMMYFUNCTION("""COMPUTED_VALUE"""),"The closing ceremony of Web Summit 2019")</f>
        <v>The closing ceremony of Web Summit 2019</v>
      </c>
      <c r="C570" s="10" t="str">
        <f>IFERROR(__xludf.DUMMYFUNCTION("""COMPUTED_VALUE"""),"Centre Stage")</f>
        <v>Centre Stage</v>
      </c>
      <c r="D570" s="10" t="str">
        <f>IFERROR(__xludf.DUMMYFUNCTION("""COMPUTED_VALUE"""),"Marcelo Rebelo de Sousa and Paddy Cosgrave")</f>
        <v>Marcelo Rebelo de Sousa and Paddy Cosgrave</v>
      </c>
      <c r="E570" s="10" t="str">
        <f>IFERROR(__xludf.DUMMYFUNCTION("""COMPUTED_VALUE"""),"Marcelo Rebelo de Sousa,Paddy Cosgrave")</f>
        <v>Marcelo Rebelo de Sousa,Paddy Cosgrave</v>
      </c>
      <c r="F570" s="10" t="str">
        <f>IFERROR(__xludf.DUMMYFUNCTION("""COMPUTED_VALUE"""),"2019/11/07 16:55:00")</f>
        <v>2019/11/07 16:55:00</v>
      </c>
      <c r="G570" s="10" t="str">
        <f>IFERROR(__xludf.DUMMYFUNCTION("""COMPUTED_VALUE"""),"2019/11/07 17:00:00")</f>
        <v>2019/11/07 17:00:00</v>
      </c>
      <c r="H570" s="10" t="str">
        <f>IFERROR(__xludf.DUMMYFUNCTION("""COMPUTED_VALUE"""),"aa094c33-196d-477b-a283-f05025de2dfb")</f>
        <v>aa094c33-196d-477b-a283-f05025de2dfb</v>
      </c>
      <c r="I570" s="10" t="str">
        <f>IFERROR(__xludf.DUMMYFUNCTION("""COMPUTED_VALUE"""),"aa094c33-196d-477b-a283-f05025de2dfb")</f>
        <v>aa094c33-196d-477b-a283-f05025de2dfb</v>
      </c>
    </row>
    <row r="571">
      <c r="A571" s="10" t="str">
        <f>IFERROR(__xludf.DUMMYFUNCTION("""COMPUTED_VALUE"""),"Startup Showcase")</f>
        <v>Startup Showcase</v>
      </c>
      <c r="B571" s="10" t="str">
        <f>IFERROR(__xludf.DUMMYFUNCTION("""COMPUTED_VALUE"""),"On this brand new stage, expect quickfire presentations where startups will showcase their solutions to the future's biggest challenges. This hour focuses on  AI and data, covering topics like analytics, big data, ML processing and AI, computer vision, as"&amp;" well as AI-based applications in other sectors.
")</f>
        <v>On this brand new stage, expect quickfire presentations where startups will showcase their solutions to the future's biggest challenges. This hour focuses on  AI and data, covering topics like analytics, big data, ML processing and AI, computer vision, as well as AI-based applications in other sectors.
</v>
      </c>
      <c r="C571" s="10" t="str">
        <f>IFERROR(__xludf.DUMMYFUNCTION("""COMPUTED_VALUE"""),"Startup Showcase 2")</f>
        <v>Startup Showcase 2</v>
      </c>
      <c r="D571" s="10" t="str">
        <f>IFERROR(__xludf.DUMMYFUNCTION("""COMPUTED_VALUE"""),"Longzhen Han, Viktoria Herukh, Lotta Lundin, Virginia Virino Jodar, Jon Adolfsson, Antonella Giuni, Raymond Jonkers, Thibaut Lucas, Marian Glaeser, Uli Erxleben, Anton van Daal, Willem Smith, Helena Martínez De Aspe, Mauro Viegas, Ronja Dornfeld, Anton Ch"&amp;"ristodoulou, Céline James, David Lahoz, Matthew Waite, Alessio Capitanelli, Stephen Mackintosh, Jurgis Bakanas, María Olarza Costa, Subbu Balakrishnan, Juan de Oliveira Rubinos, Yoshikatsu Martodihardjo, Teodora Suciu, Alex Zamotaiev, Mercedes García Mart"&amp;"ínez, Lal Chandran, Alexander Spark, Thomas Strottner, Erik Häggblom, Raymond Jonkers, Pierre-Nicolas Tiffreau, Leo Penning, Cem Dilmegani, Camilla Boyer, Timo Sepp 🇸🇪🇫🇮🇪🇪, Thomas Vanhove, Carola Motolese, Saulius Kaukenas, Guilherme Castela, Inês C"&amp;"osta, Florian Garibal, David Pedro, Alexandre Kitching, Simas Jokubauskas and Daphné De Troch")</f>
        <v>Longzhen Han, Viktoria Herukh, Lotta Lundin, Virginia Virino Jodar, Jon Adolfsson, Antonella Giuni, Raymond Jonkers, Thibaut Lucas, Marian Glaeser, Uli Erxleben, Anton van Daal, Willem Smith, Helena Martínez De Aspe, Mauro Viegas, Ronja Dornfeld, Anton Christodoulou, Céline James, David Lahoz, Matthew Waite, Alessio Capitanelli, Stephen Mackintosh, Jurgis Bakanas, María Olarza Costa, Subbu Balakrishnan, Juan de Oliveira Rubinos, Yoshikatsu Martodihardjo, Teodora Suciu, Alex Zamotaiev, Mercedes García Martínez, Lal Chandran, Alexander Spark, Thomas Strottner, Erik Häggblom, Raymond Jonkers, Pierre-Nicolas Tiffreau, Leo Penning, Cem Dilmegani, Camilla Boyer, Timo Sepp 🇸🇪🇫🇮🇪🇪, Thomas Vanhove, Carola Motolese, Saulius Kaukenas, Guilherme Castela, Inês Costa, Florian Garibal, David Pedro, Alexandre Kitching, Simas Jokubauskas and Daphné De Troch</v>
      </c>
      <c r="E571" s="10" t="str">
        <f>IFERROR(__xludf.DUMMYFUNCTION("""COMPUTED_VALUE"""),"Longzhen Han,Viktoria Herukh,Lotta Lundin,Virginia Virino Jodar,Jon Adolfsson,Antonella Giuni,Raymond Jonkers,Thibaut Lucas,Marian Glaeser,Uli Erxleben,Anton van Daal,Willem Smith,Helena Martínez De Aspe,Mauro Viegas,Ronja Dornfeld,Anton Christodoulou,Cél"&amp;"ine James,David Lahoz,Matthew Waite,Alessio Capitanelli,Stephen Mackintosh,Jurgis Bakanas,María Olarza Costa,Subbu Balakrishnan,Juan de Oliveira Rubinos,Yoshikatsu Martodihardjo,Teodora Suciu,Alex Zamotaiev,Mercedes García Martínez,Lal Chandran,Alexander "&amp;"Spark,Thomas Strottner,Erik Häggblom,Raymond Jonkers,Pierre-Nicolas Tiffreau,Leo Penning,Cem Dilmegani,Camilla Boyer,Timo Sepp 🇸🇪🇫🇮🇪🇪,Thomas Vanhove,Carola Motolese,Saulius Kaukenas,Guilherme Castela,Inês Costa,Florian Garibal,David Pedro,Alexandre "&amp;"Kitching,Simas Jokubauskas,Daphné De Troch")</f>
        <v>Longzhen Han,Viktoria Herukh,Lotta Lundin,Virginia Virino Jodar,Jon Adolfsson,Antonella Giuni,Raymond Jonkers,Thibaut Lucas,Marian Glaeser,Uli Erxleben,Anton van Daal,Willem Smith,Helena Martínez De Aspe,Mauro Viegas,Ronja Dornfeld,Anton Christodoulou,Céline James,David Lahoz,Matthew Waite,Alessio Capitanelli,Stephen Mackintosh,Jurgis Bakanas,María Olarza Costa,Subbu Balakrishnan,Juan de Oliveira Rubinos,Yoshikatsu Martodihardjo,Teodora Suciu,Alex Zamotaiev,Mercedes García Martínez,Lal Chandran,Alexander Spark,Thomas Strottner,Erik Häggblom,Raymond Jonkers,Pierre-Nicolas Tiffreau,Leo Penning,Cem Dilmegani,Camilla Boyer,Timo Sepp 🇸🇪🇫🇮🇪🇪,Thomas Vanhove,Carola Motolese,Saulius Kaukenas,Guilherme Castela,Inês Costa,Florian Garibal,David Pedro,Alexandre Kitching,Simas Jokubauskas,Daphné De Troch</v>
      </c>
      <c r="F571" s="10" t="str">
        <f>IFERROR(__xludf.DUMMYFUNCTION("""COMPUTED_VALUE"""),"2019/11/07 15:15:00")</f>
        <v>2019/11/07 15:15:00</v>
      </c>
      <c r="G571" s="10" t="str">
        <f>IFERROR(__xludf.DUMMYFUNCTION("""COMPUTED_VALUE"""),"2019/11/07 16:15:00")</f>
        <v>2019/11/07 16:15:00</v>
      </c>
      <c r="H571" s="10" t="str">
        <f>IFERROR(__xludf.DUMMYFUNCTION("""COMPUTED_VALUE"""),"c45d3389-d709-477e-9670-e733f6b68ee5")</f>
        <v>c45d3389-d709-477e-9670-e733f6b68ee5</v>
      </c>
      <c r="I571" s="10" t="str">
        <f>IFERROR(__xludf.DUMMYFUNCTION("""COMPUTED_VALUE"""),"c45d3389-d709-477e-9670-e733f6b68ee5")</f>
        <v>c45d3389-d709-477e-9670-e733f6b68ee5</v>
      </c>
    </row>
    <row r="572">
      <c r="A572" s="10" t="str">
        <f>IFERROR(__xludf.DUMMYFUNCTION("""COMPUTED_VALUE"""),"The mobile marketing trends you need to know about in 2020")</f>
        <v>The mobile marketing trends you need to know about in 2020</v>
      </c>
      <c r="B572" s="10" t="str">
        <f>IFERROR(__xludf.DUMMYFUNCTION("""COMPUTED_VALUE"""),"When it comes to mobile technology, you have to stay ahead of the curve. This talk explores the mobile marketing landscape and the key trends you need to know.")</f>
        <v>When it comes to mobile technology, you have to stay ahead of the curve. This talk explores the mobile marketing landscape and the key trends you need to know.</v>
      </c>
      <c r="C572" s="10" t="str">
        <f>IFERROR(__xludf.DUMMYFUNCTION("""COMPUTED_VALUE"""),"PandaConf")</f>
        <v>PandaConf</v>
      </c>
      <c r="D572" s="10" t="str">
        <f>IFERROR(__xludf.DUMMYFUNCTION("""COMPUTED_VALUE"""),"Mada Seghete")</f>
        <v>Mada Seghete</v>
      </c>
      <c r="E572" s="10" t="str">
        <f>IFERROR(__xludf.DUMMYFUNCTION("""COMPUTED_VALUE"""),"Mada Seghete")</f>
        <v>Mada Seghete</v>
      </c>
      <c r="F572" s="10" t="str">
        <f>IFERROR(__xludf.DUMMYFUNCTION("""COMPUTED_VALUE"""),"2019/11/07 13:50:00")</f>
        <v>2019/11/07 13:50:00</v>
      </c>
      <c r="G572" s="10" t="str">
        <f>IFERROR(__xludf.DUMMYFUNCTION("""COMPUTED_VALUE"""),"2019/11/07 14:10:00")</f>
        <v>2019/11/07 14:10:00</v>
      </c>
      <c r="H572" s="10" t="str">
        <f>IFERROR(__xludf.DUMMYFUNCTION("""COMPUTED_VALUE"""),"723e96c9-f196-4dde-abfb-632186b0f3cd")</f>
        <v>723e96c9-f196-4dde-abfb-632186b0f3cd</v>
      </c>
      <c r="I572" s="10" t="str">
        <f>IFERROR(__xludf.DUMMYFUNCTION("""COMPUTED_VALUE"""),"723e96c9-f196-4dde-abfb-632186b0f3cd")</f>
        <v>723e96c9-f196-4dde-abfb-632186b0f3cd</v>
      </c>
    </row>
    <row r="573">
      <c r="A573" s="10" t="str">
        <f>IFERROR(__xludf.DUMMYFUNCTION("""COMPUTED_VALUE"""),"Getting inside the brand marketing engine")</f>
        <v>Getting inside the brand marketing engine</v>
      </c>
      <c r="B573" s="10" t="str">
        <f>IFERROR(__xludf.DUMMYFUNCTION("""COMPUTED_VALUE"""),"Let's find out about the latest adtech and martech solutions that can help to build and strengthen real connections between brands and consumers.")</f>
        <v>Let's find out about the latest adtech and martech solutions that can help to build and strengthen real connections between brands and consumers.</v>
      </c>
      <c r="C573" s="10" t="str">
        <f>IFERROR(__xludf.DUMMYFUNCTION("""COMPUTED_VALUE"""),"PandaConf")</f>
        <v>PandaConf</v>
      </c>
      <c r="D573" s="10" t="str">
        <f>IFERROR(__xludf.DUMMYFUNCTION("""COMPUTED_VALUE"""),"Alan Boehme, Cynthia Johnson, Dominic Grounsell and Marty Swant")</f>
        <v>Alan Boehme, Cynthia Johnson, Dominic Grounsell and Marty Swant</v>
      </c>
      <c r="E573" s="10" t="str">
        <f>IFERROR(__xludf.DUMMYFUNCTION("""COMPUTED_VALUE"""),"Alan Boehme,Cynthia Johnson,Dominic Grounsell,Marty Swant")</f>
        <v>Alan Boehme,Cynthia Johnson,Dominic Grounsell,Marty Swant</v>
      </c>
      <c r="F573" s="10" t="str">
        <f>IFERROR(__xludf.DUMMYFUNCTION("""COMPUTED_VALUE"""),"2019/11/05 14:35:00")</f>
        <v>2019/11/05 14:35:00</v>
      </c>
      <c r="G573" s="10" t="str">
        <f>IFERROR(__xludf.DUMMYFUNCTION("""COMPUTED_VALUE"""),"2019/11/05 15:00:00")</f>
        <v>2019/11/05 15:00:00</v>
      </c>
      <c r="H573" s="10" t="str">
        <f>IFERROR(__xludf.DUMMYFUNCTION("""COMPUTED_VALUE"""),"1c578985-09b2-45c8-85ca-c88703258799")</f>
        <v>1c578985-09b2-45c8-85ca-c88703258799</v>
      </c>
      <c r="I573" s="10" t="str">
        <f>IFERROR(__xludf.DUMMYFUNCTION("""COMPUTED_VALUE"""),"1c578985-09b2-45c8-85ca-c88703258799")</f>
        <v>1c578985-09b2-45c8-85ca-c88703258799</v>
      </c>
    </row>
    <row r="574">
      <c r="A574" s="10" t="str">
        <f>IFERROR(__xludf.DUMMYFUNCTION("""COMPUTED_VALUE"""),"Patenting the future: The next big invention")</f>
        <v>Patenting the future: The next big invention</v>
      </c>
      <c r="B574" s="10" t="str">
        <f>IFERROR(__xludf.DUMMYFUNCTION("""COMPUTED_VALUE"""),"Intellectual property is a central part of the system that has allowed technology to advance. Without protection for our intellectual property it becomes significantly more difficult to securely pursue scientific advancement. This session brings together "&amp;"the President of the European Patent Office with two of the most prominent scientists of our time to discuss the future of the intellectual property system.")</f>
        <v>Intellectual property is a central part of the system that has allowed technology to advance. Without protection for our intellectual property it becomes significantly more difficult to securely pursue scientific advancement. This session brings together the President of the European Patent Office with two of the most prominent scientists of our time to discuss the future of the intellectual property system.</v>
      </c>
      <c r="C574" s="10" t="str">
        <f>IFERROR(__xludf.DUMMYFUNCTION("""COMPUTED_VALUE"""),"Future Societies")</f>
        <v>Future Societies</v>
      </c>
      <c r="D574" s="10" t="str">
        <f>IFERROR(__xludf.DUMMYFUNCTION("""COMPUTED_VALUE"""),"António Campinos, Kaigham Gabriel, Carmela Troncoso and Marcel Rosenbach")</f>
        <v>António Campinos, Kaigham Gabriel, Carmela Troncoso and Marcel Rosenbach</v>
      </c>
      <c r="E574" s="10" t="str">
        <f>IFERROR(__xludf.DUMMYFUNCTION("""COMPUTED_VALUE"""),"António Campinos,Kaigham Gabriel,Carmela Troncoso,Marcel Rosenbach")</f>
        <v>António Campinos,Kaigham Gabriel,Carmela Troncoso,Marcel Rosenbach</v>
      </c>
      <c r="F574" s="10" t="str">
        <f>IFERROR(__xludf.DUMMYFUNCTION("""COMPUTED_VALUE"""),"2019/11/06 15:35:00")</f>
        <v>2019/11/06 15:35:00</v>
      </c>
      <c r="G574" s="10" t="str">
        <f>IFERROR(__xludf.DUMMYFUNCTION("""COMPUTED_VALUE"""),"2019/11/06 15:55:00")</f>
        <v>2019/11/06 15:55:00</v>
      </c>
      <c r="H574" s="10" t="str">
        <f>IFERROR(__xludf.DUMMYFUNCTION("""COMPUTED_VALUE"""),"85facd9a-36f2-4b32-99d3-c78ef52d6680")</f>
        <v>85facd9a-36f2-4b32-99d3-c78ef52d6680</v>
      </c>
      <c r="I574" s="10" t="str">
        <f>IFERROR(__xludf.DUMMYFUNCTION("""COMPUTED_VALUE"""),"85facd9a-36f2-4b32-99d3-c78ef52d6680")</f>
        <v>85facd9a-36f2-4b32-99d3-c78ef52d6680</v>
      </c>
    </row>
    <row r="575">
      <c r="A575" s="10" t="str">
        <f>IFERROR(__xludf.DUMMYFUNCTION("""COMPUTED_VALUE"""),"Machine learning will make marketing more human")</f>
        <v>Machine learning will make marketing more human</v>
      </c>
      <c r="B575" s="10" t="str">
        <f>IFERROR(__xludf.DUMMYFUNCTION("""COMPUTED_VALUE"""),"AI-enabled everything is rapidly becoming the new normal. How can marketers use this explosion in machine learning to drive growth in their businesses?")</f>
        <v>AI-enabled everything is rapidly becoming the new normal. How can marketers use this explosion in machine learning to drive growth in their businesses?</v>
      </c>
      <c r="C575" s="10" t="str">
        <f>IFERROR(__xludf.DUMMYFUNCTION("""COMPUTED_VALUE"""),"PandaConf")</f>
        <v>PandaConf</v>
      </c>
      <c r="D575" s="10" t="str">
        <f>IFERROR(__xludf.DUMMYFUNCTION("""COMPUTED_VALUE"""),"Kristin Lemkau")</f>
        <v>Kristin Lemkau</v>
      </c>
      <c r="E575" s="10" t="str">
        <f>IFERROR(__xludf.DUMMYFUNCTION("""COMPUTED_VALUE"""),"Kristin Lemkau")</f>
        <v>Kristin Lemkau</v>
      </c>
      <c r="F575" s="10" t="str">
        <f>IFERROR(__xludf.DUMMYFUNCTION("""COMPUTED_VALUE"""),"2019/11/05 12:35:00")</f>
        <v>2019/11/05 12:35:00</v>
      </c>
      <c r="G575" s="10" t="str">
        <f>IFERROR(__xludf.DUMMYFUNCTION("""COMPUTED_VALUE"""),"2019/11/05 12:55:00")</f>
        <v>2019/11/05 12:55:00</v>
      </c>
      <c r="H575" s="10" t="str">
        <f>IFERROR(__xludf.DUMMYFUNCTION("""COMPUTED_VALUE"""),"86714f34-c053-4ef6-bbb3-fa559a80d1ca")</f>
        <v>86714f34-c053-4ef6-bbb3-fa559a80d1ca</v>
      </c>
      <c r="I575" s="10" t="str">
        <f>IFERROR(__xludf.DUMMYFUNCTION("""COMPUTED_VALUE"""),"86714f34-c053-4ef6-bbb3-fa559a80d1ca")</f>
        <v>86714f34-c053-4ef6-bbb3-fa559a80d1ca</v>
      </c>
    </row>
    <row r="576">
      <c r="A576" s="10" t="str">
        <f>IFERROR(__xludf.DUMMYFUNCTION("""COMPUTED_VALUE"""),"Why the future belongs only to the imaginative")</f>
        <v>Why the future belongs only to the imaginative</v>
      </c>
      <c r="B576" s="10" t="str">
        <f>IFERROR(__xludf.DUMMYFUNCTION("""COMPUTED_VALUE"""),"No other conscious creature can think about the future in the ways that humans can. That gives us an extraordinary gift: The ability to imagine. Brian will talk about why brands are no longer in competition with each other, but with the future—and why ima"&amp;"gination will be the lifeblood of a better tomorrow. He will review the process that made them the first American Design Agency of the Year, awarded by Ad Age.")</f>
        <v>No other conscious creature can think about the future in the ways that humans can. That gives us an extraordinary gift: The ability to imagine. Brian will talk about why brands are no longer in competition with each other, but with the future—and why imagination will be the lifeblood of a better tomorrow. He will review the process that made them the first American Design Agency of the Year, awarded by Ad Age.</v>
      </c>
      <c r="C576" s="10" t="str">
        <f>IFERROR(__xludf.DUMMYFUNCTION("""COMPUTED_VALUE"""),"creatiff")</f>
        <v>creatiff</v>
      </c>
      <c r="D576" s="10" t="str">
        <f>IFERROR(__xludf.DUMMYFUNCTION("""COMPUTED_VALUE"""),"Brian Collins")</f>
        <v>Brian Collins</v>
      </c>
      <c r="E576" s="10" t="str">
        <f>IFERROR(__xludf.DUMMYFUNCTION("""COMPUTED_VALUE"""),"Brian Collins")</f>
        <v>Brian Collins</v>
      </c>
      <c r="F576" s="10" t="str">
        <f>IFERROR(__xludf.DUMMYFUNCTION("""COMPUTED_VALUE"""),"2019/11/05 16:05:00")</f>
        <v>2019/11/05 16:05:00</v>
      </c>
      <c r="G576" s="10" t="str">
        <f>IFERROR(__xludf.DUMMYFUNCTION("""COMPUTED_VALUE"""),"2019/11/05 16:30:00")</f>
        <v>2019/11/05 16:30:00</v>
      </c>
      <c r="H576" s="10" t="str">
        <f>IFERROR(__xludf.DUMMYFUNCTION("""COMPUTED_VALUE"""),"c1eaafe1-5956-448c-8cca-bb3dcaeb4f79")</f>
        <v>c1eaafe1-5956-448c-8cca-bb3dcaeb4f79</v>
      </c>
      <c r="I576" s="10" t="str">
        <f>IFERROR(__xludf.DUMMYFUNCTION("""COMPUTED_VALUE"""),"c1eaafe1-5956-448c-8cca-bb3dcaeb4f79")</f>
        <v>c1eaafe1-5956-448c-8cca-bb3dcaeb4f79</v>
      </c>
    </row>
    <row r="577">
      <c r="A577" s="10" t="str">
        <f>IFERROR(__xludf.DUMMYFUNCTION("""COMPUTED_VALUE"""),"The power of word of mouth is the power of your brand")</f>
        <v>The power of word of mouth is the power of your brand</v>
      </c>
      <c r="B577" s="10" t="str">
        <f>IFERROR(__xludf.DUMMYFUNCTION("""COMPUTED_VALUE"""),"A brand isn't what you say it is – it's what they say it is. co-founder and Chief Design Officer of Dave.com, John will outline how when building a new company, one of the most important metrics for runaway success is how easy it is for your customers to "&amp;"tell their family and friends about it. He'll outline how you can build and define a brand that is so simple, word of mouth becomes your greatest growth channel.")</f>
        <v>A brand isn't what you say it is – it's what they say it is. co-founder and Chief Design Officer of Dave.com, John will outline how when building a new company, one of the most important metrics for runaway success is how easy it is for your customers to tell their family and friends about it. He'll outline how you can build and define a brand that is so simple, word of mouth becomes your greatest growth channel.</v>
      </c>
      <c r="C577" s="10" t="str">
        <f>IFERROR(__xludf.DUMMYFUNCTION("""COMPUTED_VALUE"""),"Growth Summit")</f>
        <v>Growth Summit</v>
      </c>
      <c r="D577" s="10" t="str">
        <f>IFERROR(__xludf.DUMMYFUNCTION("""COMPUTED_VALUE"""),"John Wolanin")</f>
        <v>John Wolanin</v>
      </c>
      <c r="E577" s="10" t="str">
        <f>IFERROR(__xludf.DUMMYFUNCTION("""COMPUTED_VALUE"""),"John Wolanin")</f>
        <v>John Wolanin</v>
      </c>
      <c r="F577" s="10" t="str">
        <f>IFERROR(__xludf.DUMMYFUNCTION("""COMPUTED_VALUE"""),"2019/11/06 16:21:00")</f>
        <v>2019/11/06 16:21:00</v>
      </c>
      <c r="G577" s="10" t="str">
        <f>IFERROR(__xludf.DUMMYFUNCTION("""COMPUTED_VALUE"""),"2019/11/06 16:32:00")</f>
        <v>2019/11/06 16:32:00</v>
      </c>
      <c r="H577" s="10" t="str">
        <f>IFERROR(__xludf.DUMMYFUNCTION("""COMPUTED_VALUE"""),"70834900-2bad-4a70-ae6c-a864ab6339f1")</f>
        <v>70834900-2bad-4a70-ae6c-a864ab6339f1</v>
      </c>
      <c r="I577" s="10" t="str">
        <f>IFERROR(__xludf.DUMMYFUNCTION("""COMPUTED_VALUE"""),"70834900-2bad-4a70-ae6c-a864ab6339f1")</f>
        <v>70834900-2bad-4a70-ae6c-a864ab6339f1</v>
      </c>
    </row>
    <row r="578">
      <c r="A578" s="10" t="str">
        <f>IFERROR(__xludf.DUMMYFUNCTION("""COMPUTED_VALUE"""),"Enterprise SaaS 2.0")</f>
        <v>Enterprise SaaS 2.0</v>
      </c>
      <c r="B578" s="10" t="str">
        <f>IFERROR(__xludf.DUMMYFUNCTION("""COMPUTED_VALUE"""),"Drift CEO David Cancel breaks down the shift from enterprise SaaS 1.0 when companies were in control and had all the power, two the rise of Enterprise SaaS 2.0 where customers are in control and Customer Experience is the new Marketing. He'll use real, cu"&amp;"rrent examples that discuss the power of AI and automation from companies who are leading the way. ")</f>
        <v>Drift CEO David Cancel breaks down the shift from enterprise SaaS 1.0 when companies were in control and had all the power, two the rise of Enterprise SaaS 2.0 where customers are in control and Customer Experience is the new Marketing. He'll use real, current examples that discuss the power of AI and automation from companies who are leading the way. </v>
      </c>
      <c r="C578" s="24" t="str">
        <f>IFERROR(__xludf.DUMMYFUNCTION("""COMPUTED_VALUE"""),"binate.io")</f>
        <v>binate.io</v>
      </c>
      <c r="D578" s="10" t="str">
        <f>IFERROR(__xludf.DUMMYFUNCTION("""COMPUTED_VALUE"""),"David Cancel")</f>
        <v>David Cancel</v>
      </c>
      <c r="E578" s="10" t="str">
        <f>IFERROR(__xludf.DUMMYFUNCTION("""COMPUTED_VALUE"""),"David Cancel")</f>
        <v>David Cancel</v>
      </c>
      <c r="F578" s="10" t="str">
        <f>IFERROR(__xludf.DUMMYFUNCTION("""COMPUTED_VALUE"""),"2019/11/06 15:05:00")</f>
        <v>2019/11/06 15:05:00</v>
      </c>
      <c r="G578" s="10" t="str">
        <f>IFERROR(__xludf.DUMMYFUNCTION("""COMPUTED_VALUE"""),"2019/11/06 15:25:00")</f>
        <v>2019/11/06 15:25:00</v>
      </c>
      <c r="H578" s="10" t="str">
        <f>IFERROR(__xludf.DUMMYFUNCTION("""COMPUTED_VALUE"""),"6171d51d-3459-461e-a7fa-d445d25521d9")</f>
        <v>6171d51d-3459-461e-a7fa-d445d25521d9</v>
      </c>
      <c r="I578" s="10" t="str">
        <f>IFERROR(__xludf.DUMMYFUNCTION("""COMPUTED_VALUE"""),"6171d51d-3459-461e-a7fa-d445d25521d9")</f>
        <v>6171d51d-3459-461e-a7fa-d445d25521d9</v>
      </c>
    </row>
    <row r="579">
      <c r="A579" s="10" t="str">
        <f>IFERROR(__xludf.DUMMYFUNCTION("""COMPUTED_VALUE"""),"Opening Remarks")</f>
        <v>Opening Remarks</v>
      </c>
      <c r="B579" s="10" t="str">
        <f>IFERROR(__xludf.DUMMYFUNCTION("""COMPUTED_VALUE"""),"")</f>
        <v/>
      </c>
      <c r="C579" s="10" t="str">
        <f>IFERROR(__xludf.DUMMYFUNCTION("""COMPUTED_VALUE"""),"ContentMakers")</f>
        <v>ContentMakers</v>
      </c>
      <c r="D579" s="10" t="str">
        <f>IFERROR(__xludf.DUMMYFUNCTION("""COMPUTED_VALUE"""),"Cynthia Johnson")</f>
        <v>Cynthia Johnson</v>
      </c>
      <c r="E579" s="10" t="str">
        <f>IFERROR(__xludf.DUMMYFUNCTION("""COMPUTED_VALUE"""),"Cynthia Johnson")</f>
        <v>Cynthia Johnson</v>
      </c>
      <c r="F579" s="10" t="str">
        <f>IFERROR(__xludf.DUMMYFUNCTION("""COMPUTED_VALUE"""),"2019/11/07 14:10:00")</f>
        <v>2019/11/07 14:10:00</v>
      </c>
      <c r="G579" s="10" t="str">
        <f>IFERROR(__xludf.DUMMYFUNCTION("""COMPUTED_VALUE"""),"2019/11/07 14:25:00")</f>
        <v>2019/11/07 14:25:00</v>
      </c>
      <c r="H579" s="10" t="str">
        <f>IFERROR(__xludf.DUMMYFUNCTION("""COMPUTED_VALUE"""),"da34fa6d-3af0-4163-9580-46a1290a9642")</f>
        <v>da34fa6d-3af0-4163-9580-46a1290a9642</v>
      </c>
      <c r="I579" s="10" t="str">
        <f>IFERROR(__xludf.DUMMYFUNCTION("""COMPUTED_VALUE"""),"da34fa6d-3af0-4163-9580-46a1290a9642")</f>
        <v>da34fa6d-3af0-4163-9580-46a1290a9642</v>
      </c>
    </row>
    <row r="580">
      <c r="A580" s="10" t="str">
        <f>IFERROR(__xludf.DUMMYFUNCTION("""COMPUTED_VALUE"""),"Grow your startup with the best of Google")</f>
        <v>Grow your startup with the best of Google</v>
      </c>
      <c r="B580" s="10"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 ")</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 </v>
      </c>
      <c r="C580" s="10" t="str">
        <f>IFERROR(__xludf.DUMMYFUNCTION("""COMPUTED_VALUE"""),"Google, E110, FIL 1")</f>
        <v>Google, E110, FIL 1</v>
      </c>
      <c r="D580" s="10" t="str">
        <f>IFERROR(__xludf.DUMMYFUNCTION("""COMPUTED_VALUE"""),"")</f>
        <v/>
      </c>
      <c r="E580" s="10" t="str">
        <f>IFERROR(__xludf.DUMMYFUNCTION("""COMPUTED_VALUE"""),"")</f>
        <v/>
      </c>
      <c r="F580" s="10" t="str">
        <f>IFERROR(__xludf.DUMMYFUNCTION("""COMPUTED_VALUE"""),"2019/11/05 10:00:00")</f>
        <v>2019/11/05 10:00:00</v>
      </c>
      <c r="G580" s="10" t="str">
        <f>IFERROR(__xludf.DUMMYFUNCTION("""COMPUTED_VALUE"""),"2019/11/05 17:30:00")</f>
        <v>2019/11/05 17:30:00</v>
      </c>
      <c r="H580" s="10" t="str">
        <f>IFERROR(__xludf.DUMMYFUNCTION("""COMPUTED_VALUE"""),"4e28a15f-8509-4ab1-a668-cb8d47e380fe")</f>
        <v>4e28a15f-8509-4ab1-a668-cb8d47e380fe</v>
      </c>
      <c r="I580" s="10" t="str">
        <f>IFERROR(__xludf.DUMMYFUNCTION("""COMPUTED_VALUE"""),"4e28a15f-8509-4ab1-a668-cb8d47e380fe")</f>
        <v>4e28a15f-8509-4ab1-a668-cb8d47e380fe</v>
      </c>
    </row>
    <row r="581">
      <c r="A581" s="10" t="str">
        <f>IFERROR(__xludf.DUMMYFUNCTION("""COMPUTED_VALUE"""),"How startups can collaborate with the big players")</f>
        <v>How startups can collaborate with the big players</v>
      </c>
      <c r="B581" s="10" t="str">
        <f>IFERROR(__xludf.DUMMYFUNCTION("""COMPUTED_VALUE"""),"Old school sportscars meet startups- what's not to love? We're here to engineer the car of the future. ")</f>
        <v>Old school sportscars meet startups- what's not to love? We're here to engineer the car of the future. </v>
      </c>
      <c r="C581" s="10" t="str">
        <f>IFERROR(__xludf.DUMMYFUNCTION("""COMPUTED_VALUE"""),"Auto/Tech &amp; TalkRobot")</f>
        <v>Auto/Tech &amp; TalkRobot</v>
      </c>
      <c r="D581" s="10" t="str">
        <f>IFERROR(__xludf.DUMMYFUNCTION("""COMPUTED_VALUE"""),"Christian Knörle, Jörg Rheinboldt and Tim Stevens")</f>
        <v>Christian Knörle, Jörg Rheinboldt and Tim Stevens</v>
      </c>
      <c r="E581" s="10" t="str">
        <f>IFERROR(__xludf.DUMMYFUNCTION("""COMPUTED_VALUE"""),"Christian Knörle,Jörg Rheinboldt,Tim Stevens")</f>
        <v>Christian Knörle,Jörg Rheinboldt,Tim Stevens</v>
      </c>
      <c r="F581" s="10" t="str">
        <f>IFERROR(__xludf.DUMMYFUNCTION("""COMPUTED_VALUE"""),"2019/11/06 11:15:00")</f>
        <v>2019/11/06 11:15:00</v>
      </c>
      <c r="G581" s="10" t="str">
        <f>IFERROR(__xludf.DUMMYFUNCTION("""COMPUTED_VALUE"""),"2019/11/06 11:35:00")</f>
        <v>2019/11/06 11:35:00</v>
      </c>
      <c r="H581" s="10" t="str">
        <f>IFERROR(__xludf.DUMMYFUNCTION("""COMPUTED_VALUE"""),"75d20622-3324-4d75-a824-e9e51d547416")</f>
        <v>75d20622-3324-4d75-a824-e9e51d547416</v>
      </c>
      <c r="I581" s="10" t="str">
        <f>IFERROR(__xludf.DUMMYFUNCTION("""COMPUTED_VALUE"""),"75d20622-3324-4d75-a824-e9e51d547416")</f>
        <v>75d20622-3324-4d75-a824-e9e51d547416</v>
      </c>
    </row>
    <row r="582">
      <c r="A582" s="10" t="str">
        <f>IFERROR(__xludf.DUMMYFUNCTION("""COMPUTED_VALUE"""),"Freight's new autonomous journey")</f>
        <v>Freight's new autonomous journey</v>
      </c>
      <c r="B582" s="10" t="str">
        <f>IFERROR(__xludf.DUMMYFUNCTION("""COMPUTED_VALUE"""),"Are self-driving trucks on their way? In this keynote, Xiaodi Hou is going to show us what the future of large scale logistics looks like.")</f>
        <v>Are self-driving trucks on their way? In this keynote, Xiaodi Hou is going to show us what the future of large scale logistics looks like.</v>
      </c>
      <c r="C582" s="10" t="str">
        <f>IFERROR(__xludf.DUMMYFUNCTION("""COMPUTED_VALUE"""),"Auto/Tech &amp; TalkRobot")</f>
        <v>Auto/Tech &amp; TalkRobot</v>
      </c>
      <c r="D582" s="10" t="str">
        <f>IFERROR(__xludf.DUMMYFUNCTION("""COMPUTED_VALUE"""),"Xiaodi Hou")</f>
        <v>Xiaodi Hou</v>
      </c>
      <c r="E582" s="10" t="str">
        <f>IFERROR(__xludf.DUMMYFUNCTION("""COMPUTED_VALUE"""),"Xiaodi Hou")</f>
        <v>Xiaodi Hou</v>
      </c>
      <c r="F582" s="10" t="str">
        <f>IFERROR(__xludf.DUMMYFUNCTION("""COMPUTED_VALUE"""),"2019/11/06 12:15:00")</f>
        <v>2019/11/06 12:15:00</v>
      </c>
      <c r="G582" s="10" t="str">
        <f>IFERROR(__xludf.DUMMYFUNCTION("""COMPUTED_VALUE"""),"2019/11/06 12:35:00")</f>
        <v>2019/11/06 12:35:00</v>
      </c>
      <c r="H582" s="10" t="str">
        <f>IFERROR(__xludf.DUMMYFUNCTION("""COMPUTED_VALUE"""),"7517f303-8897-4621-90d5-bff273efa63e")</f>
        <v>7517f303-8897-4621-90d5-bff273efa63e</v>
      </c>
      <c r="I582" s="10" t="str">
        <f>IFERROR(__xludf.DUMMYFUNCTION("""COMPUTED_VALUE"""),"7517f303-8897-4621-90d5-bff273efa63e")</f>
        <v>7517f303-8897-4621-90d5-bff273efa63e</v>
      </c>
    </row>
    <row r="583">
      <c r="A583" s="10" t="str">
        <f>IFERROR(__xludf.DUMMYFUNCTION("""COMPUTED_VALUE"""),"Finding a new way to get paid ")</f>
        <v>Finding a new way to get paid </v>
      </c>
      <c r="B583" s="10" t="str">
        <f>IFERROR(__xludf.DUMMYFUNCTION("""COMPUTED_VALUE"""),"The subscription economy is thriving and in today's world, doing business has become borderless. More companies than ever are expanding internationally, but payments haven’t kept up. Luckily, GoCardless and TransferWise are committed to changing that. Be "&amp;"the first to find out how.")</f>
        <v>The subscription economy is thriving and in today's world, doing business has become borderless. More companies than ever are expanding internationally, but payments haven’t kept up. Luckily, GoCardless and TransferWise are committed to changing that. Be the first to find out how.</v>
      </c>
      <c r="C583" s="10" t="str">
        <f>IFERROR(__xludf.DUMMYFUNCTION("""COMPUTED_VALUE"""),"MoneyConf")</f>
        <v>MoneyConf</v>
      </c>
      <c r="D583" s="10" t="str">
        <f>IFERROR(__xludf.DUMMYFUNCTION("""COMPUTED_VALUE"""),"Taavet Hinrikus, Hiroki Takeuchi and Peter Thal Larsen")</f>
        <v>Taavet Hinrikus, Hiroki Takeuchi and Peter Thal Larsen</v>
      </c>
      <c r="E583" s="10" t="str">
        <f>IFERROR(__xludf.DUMMYFUNCTION("""COMPUTED_VALUE"""),"Taavet Hinrikus,Hiroki Takeuchi,Peter Thal Larsen")</f>
        <v>Taavet Hinrikus,Hiroki Takeuchi,Peter Thal Larsen</v>
      </c>
      <c r="F583" s="10" t="str">
        <f>IFERROR(__xludf.DUMMYFUNCTION("""COMPUTED_VALUE"""),"2019/11/06 11:25:00")</f>
        <v>2019/11/06 11:25:00</v>
      </c>
      <c r="G583" s="10" t="str">
        <f>IFERROR(__xludf.DUMMYFUNCTION("""COMPUTED_VALUE"""),"2019/11/06 11:55:00")</f>
        <v>2019/11/06 11:55:00</v>
      </c>
      <c r="H583" s="10" t="str">
        <f>IFERROR(__xludf.DUMMYFUNCTION("""COMPUTED_VALUE"""),"91d23625-a487-48ff-b28b-414b5a3e4271")</f>
        <v>91d23625-a487-48ff-b28b-414b5a3e4271</v>
      </c>
      <c r="I583" s="10" t="str">
        <f>IFERROR(__xludf.DUMMYFUNCTION("""COMPUTED_VALUE"""),"91d23625-a487-48ff-b28b-414b5a3e4271")</f>
        <v>91d23625-a487-48ff-b28b-414b5a3e4271</v>
      </c>
    </row>
    <row r="584">
      <c r="A584" s="10" t="str">
        <f>IFERROR(__xludf.DUMMYFUNCTION("""COMPUTED_VALUE"""),"Lunch break")</f>
        <v>Lunch break</v>
      </c>
      <c r="B584" s="10" t="str">
        <f>IFERROR(__xludf.DUMMYFUNCTION("""COMPUTED_VALUE"""),"")</f>
        <v/>
      </c>
      <c r="C584" s="10" t="str">
        <f>IFERROR(__xludf.DUMMYFUNCTION("""COMPUTED_VALUE"""),"MoneyConf")</f>
        <v>MoneyConf</v>
      </c>
      <c r="D584" s="10" t="str">
        <f>IFERROR(__xludf.DUMMYFUNCTION("""COMPUTED_VALUE"""),"")</f>
        <v/>
      </c>
      <c r="E584" s="10" t="str">
        <f>IFERROR(__xludf.DUMMYFUNCTION("""COMPUTED_VALUE"""),"")</f>
        <v/>
      </c>
      <c r="F584" s="10" t="str">
        <f>IFERROR(__xludf.DUMMYFUNCTION("""COMPUTED_VALUE"""),"2019/11/07 13:20:00")</f>
        <v>2019/11/07 13:20:00</v>
      </c>
      <c r="G584" s="10" t="str">
        <f>IFERROR(__xludf.DUMMYFUNCTION("""COMPUTED_VALUE"""),"2019/11/07 13:50:00")</f>
        <v>2019/11/07 13:50:00</v>
      </c>
      <c r="H584" s="10" t="str">
        <f>IFERROR(__xludf.DUMMYFUNCTION("""COMPUTED_VALUE"""),"8b78f8a0-8152-45bd-b87f-f6ca7f17fea0")</f>
        <v>8b78f8a0-8152-45bd-b87f-f6ca7f17fea0</v>
      </c>
      <c r="I584" s="10" t="str">
        <f>IFERROR(__xludf.DUMMYFUNCTION("""COMPUTED_VALUE"""),"8b78f8a0-8152-45bd-b87f-f6ca7f17fea0")</f>
        <v>8b78f8a0-8152-45bd-b87f-f6ca7f17fea0</v>
      </c>
    </row>
    <row r="585">
      <c r="A585" s="10" t="str">
        <f>IFERROR(__xludf.DUMMYFUNCTION("""COMPUTED_VALUE"""),"Cashing in on the news")</f>
        <v>Cashing in on the news</v>
      </c>
      <c r="B585" s="10" t="str">
        <f>IFERROR(__xludf.DUMMYFUNCTION("""COMPUTED_VALUE"""),"Are international news channels making money? In this talk we ask if there’s a business model for international news channels today; where are the growth areas for commercial outlets; and how can they level the playing field between them and state funded "&amp;"broadcasters. Hear Euronews CEO Michael Peters discuss the challenges and opportunities commercial news outlets face in 2019.")</f>
        <v>Are international news channels making money? In this talk we ask if there’s a business model for international news channels today; where are the growth areas for commercial outlets; and how can they level the playing field between them and state funded broadcasters. Hear Euronews CEO Michael Peters discuss the challenges and opportunities commercial news outlets face in 2019.</v>
      </c>
      <c r="C585" s="10" t="str">
        <f>IFERROR(__xludf.DUMMYFUNCTION("""COMPUTED_VALUE"""),"ContentMakers")</f>
        <v>ContentMakers</v>
      </c>
      <c r="D585" s="10" t="str">
        <f>IFERROR(__xludf.DUMMYFUNCTION("""COMPUTED_VALUE"""),"Michael Peters and Rebecca Stewart")</f>
        <v>Michael Peters and Rebecca Stewart</v>
      </c>
      <c r="E585" s="10" t="str">
        <f>IFERROR(__xludf.DUMMYFUNCTION("""COMPUTED_VALUE"""),"Michael Peters,Rebecca Stewart")</f>
        <v>Michael Peters,Rebecca Stewart</v>
      </c>
      <c r="F585" s="10" t="str">
        <f>IFERROR(__xludf.DUMMYFUNCTION("""COMPUTED_VALUE"""),"2019/11/07 11:55:00")</f>
        <v>2019/11/07 11:55:00</v>
      </c>
      <c r="G585" s="10" t="str">
        <f>IFERROR(__xludf.DUMMYFUNCTION("""COMPUTED_VALUE"""),"2019/11/07 12:15:00")</f>
        <v>2019/11/07 12:15:00</v>
      </c>
      <c r="H585" s="10" t="str">
        <f>IFERROR(__xludf.DUMMYFUNCTION("""COMPUTED_VALUE"""),"8b40b355-e9ec-4f8a-b2f9-e29349aff7e9")</f>
        <v>8b40b355-e9ec-4f8a-b2f9-e29349aff7e9</v>
      </c>
      <c r="I585" s="10" t="str">
        <f>IFERROR(__xludf.DUMMYFUNCTION("""COMPUTED_VALUE"""),"8b40b355-e9ec-4f8a-b2f9-e29349aff7e9")</f>
        <v>8b40b355-e9ec-4f8a-b2f9-e29349aff7e9</v>
      </c>
    </row>
    <row r="586">
      <c r="A586" s="10" t="str">
        <f>IFERROR(__xludf.DUMMYFUNCTION("""COMPUTED_VALUE"""),"The EU after Brexit")</f>
        <v>The EU after Brexit</v>
      </c>
      <c r="B586" s="10" t="str">
        <f>IFERROR(__xludf.DUMMYFUNCTION("""COMPUTED_VALUE"""),"The man currently at the heart of the Brexit negotiations gives us an in-depth look at what lies in store for Europe after the October 31st deadline. (Attendance dependent on ongoing negotiations)")</f>
        <v>The man currently at the heart of the Brexit negotiations gives us an in-depth look at what lies in store for Europe after the October 31st deadline. (Attendance dependent on ongoing negotiations)</v>
      </c>
      <c r="C586" s="10" t="str">
        <f>IFERROR(__xludf.DUMMYFUNCTION("""COMPUTED_VALUE"""),"Centre Stage")</f>
        <v>Centre Stage</v>
      </c>
      <c r="D586" s="10" t="str">
        <f>IFERROR(__xludf.DUMMYFUNCTION("""COMPUTED_VALUE"""),"Michel Barnier")</f>
        <v>Michel Barnier</v>
      </c>
      <c r="E586" s="10" t="str">
        <f>IFERROR(__xludf.DUMMYFUNCTION("""COMPUTED_VALUE"""),"Michel Barnier")</f>
        <v>Michel Barnier</v>
      </c>
      <c r="F586" s="10" t="str">
        <f>IFERROR(__xludf.DUMMYFUNCTION("""COMPUTED_VALUE"""),"2019/11/05 11:30:00")</f>
        <v>2019/11/05 11:30:00</v>
      </c>
      <c r="G586" s="10" t="str">
        <f>IFERROR(__xludf.DUMMYFUNCTION("""COMPUTED_VALUE"""),"2019/11/05 11:55:00")</f>
        <v>2019/11/05 11:55:00</v>
      </c>
      <c r="H586" s="10" t="str">
        <f>IFERROR(__xludf.DUMMYFUNCTION("""COMPUTED_VALUE"""),"713e026f-aaed-45c7-89ed-303e1d902d74")</f>
        <v>713e026f-aaed-45c7-89ed-303e1d902d74</v>
      </c>
      <c r="I586" s="10" t="str">
        <f>IFERROR(__xludf.DUMMYFUNCTION("""COMPUTED_VALUE"""),"713e026f-aaed-45c7-89ed-303e1d902d74")</f>
        <v>713e026f-aaed-45c7-89ed-303e1d902d74</v>
      </c>
    </row>
    <row r="587">
      <c r="A587" s="10" t="str">
        <f>IFERROR(__xludf.DUMMYFUNCTION("""COMPUTED_VALUE"""),"How to create awe")</f>
        <v>How to create awe</v>
      </c>
      <c r="B587" s="10" t="str">
        <f>IFERROR(__xludf.DUMMYFUNCTION("""COMPUTED_VALUE"""),"This speaker co-founded a company that has created many worlds and fantasies that everyone here has experienced and loved. From transforming Mark Ruffalo in Hulk, to re-imagining Disney’s classic The Jungle Book, they leverage the most cutting edge and so"&amp;"phisticated technology to help the best storytellers in the world bring their visions to life. Please welcome to the stage the cofounder of BAFTA and Academy Award winning studio Framestore, Mike McGee.")</f>
        <v>This speaker co-founded a company that has created many worlds and fantasies that everyone here has experienced and loved. From transforming Mark Ruffalo in Hulk, to re-imagining Disney’s classic The Jungle Book, they leverage the most cutting edge and sophisticated technology to help the best storytellers in the world bring their visions to life. Please welcome to the stage the cofounder of BAFTA and Academy Award winning studio Framestore, Mike McGee.</v>
      </c>
      <c r="C587" s="10" t="str">
        <f>IFERROR(__xludf.DUMMYFUNCTION("""COMPUTED_VALUE"""),"Centre Stage")</f>
        <v>Centre Stage</v>
      </c>
      <c r="D587" s="10" t="str">
        <f>IFERROR(__xludf.DUMMYFUNCTION("""COMPUTED_VALUE"""),"Mike McGee")</f>
        <v>Mike McGee</v>
      </c>
      <c r="E587" s="10" t="str">
        <f>IFERROR(__xludf.DUMMYFUNCTION("""COMPUTED_VALUE"""),"Mike McGee")</f>
        <v>Mike McGee</v>
      </c>
      <c r="F587" s="10" t="str">
        <f>IFERROR(__xludf.DUMMYFUNCTION("""COMPUTED_VALUE"""),"2019/11/06 11:45:00")</f>
        <v>2019/11/06 11:45:00</v>
      </c>
      <c r="G587" s="10" t="str">
        <f>IFERROR(__xludf.DUMMYFUNCTION("""COMPUTED_VALUE"""),"2019/11/06 11:55:00")</f>
        <v>2019/11/06 11:55:00</v>
      </c>
      <c r="H587" s="10" t="str">
        <f>IFERROR(__xludf.DUMMYFUNCTION("""COMPUTED_VALUE"""),"5aec3572-66ef-40d2-91eb-9d3c9af11296")</f>
        <v>5aec3572-66ef-40d2-91eb-9d3c9af11296</v>
      </c>
      <c r="I587" s="10" t="str">
        <f>IFERROR(__xludf.DUMMYFUNCTION("""COMPUTED_VALUE"""),"5aec3572-66ef-40d2-91eb-9d3c9af11296")</f>
        <v>5aec3572-66ef-40d2-91eb-9d3c9af11296</v>
      </c>
    </row>
    <row r="588">
      <c r="A588" s="10" t="str">
        <f>IFERROR(__xludf.DUMMYFUNCTION("""COMPUTED_VALUE"""),"Opening remarks")</f>
        <v>Opening remarks</v>
      </c>
      <c r="B588" s="10" t="str">
        <f>IFERROR(__xludf.DUMMYFUNCTION("""COMPUTED_VALUE"""),"")</f>
        <v/>
      </c>
      <c r="C588" s="24" t="str">
        <f>IFERROR(__xludf.DUMMYFUNCTION("""COMPUTED_VALUE"""),"binate.io")</f>
        <v>binate.io</v>
      </c>
      <c r="D588" s="10" t="str">
        <f>IFERROR(__xludf.DUMMYFUNCTION("""COMPUTED_VALUE"""),"Bas Wouterse")</f>
        <v>Bas Wouterse</v>
      </c>
      <c r="E588" s="10" t="str">
        <f>IFERROR(__xludf.DUMMYFUNCTION("""COMPUTED_VALUE"""),"Bas Wouterse")</f>
        <v>Bas Wouterse</v>
      </c>
      <c r="F588" s="10" t="str">
        <f>IFERROR(__xludf.DUMMYFUNCTION("""COMPUTED_VALUE"""),"2019/11/06 11:00:00")</f>
        <v>2019/11/06 11:00:00</v>
      </c>
      <c r="G588" s="10" t="str">
        <f>IFERROR(__xludf.DUMMYFUNCTION("""COMPUTED_VALUE"""),"2019/11/06 11:15:00")</f>
        <v>2019/11/06 11:15:00</v>
      </c>
      <c r="H588" s="10" t="str">
        <f>IFERROR(__xludf.DUMMYFUNCTION("""COMPUTED_VALUE"""),"0fa3111e-e336-4a86-a21c-8574cecc1ab4")</f>
        <v>0fa3111e-e336-4a86-a21c-8574cecc1ab4</v>
      </c>
      <c r="I588" s="10" t="str">
        <f>IFERROR(__xludf.DUMMYFUNCTION("""COMPUTED_VALUE"""),"0fa3111e-e336-4a86-a21c-8574cecc1ab4")</f>
        <v>0fa3111e-e336-4a86-a21c-8574cecc1ab4</v>
      </c>
    </row>
    <row r="589">
      <c r="A589" s="10" t="str">
        <f>IFERROR(__xludf.DUMMYFUNCTION("""COMPUTED_VALUE"""),"Q&amp;A Session with Chris Leacock")</f>
        <v>Q&amp;A Session with Chris Leacock</v>
      </c>
      <c r="B589" s="10" t="str">
        <f>IFERROR(__xludf.DUMMYFUNCTION("""COMPUTED_VALUE"""),"")</f>
        <v/>
      </c>
      <c r="C589" s="10" t="str">
        <f>IFERROR(__xludf.DUMMYFUNCTION("""COMPUTED_VALUE"""),"")</f>
        <v/>
      </c>
      <c r="D589" s="10" t="str">
        <f>IFERROR(__xludf.DUMMYFUNCTION("""COMPUTED_VALUE"""),"Christopher Leacock")</f>
        <v>Christopher Leacock</v>
      </c>
      <c r="E589" s="10" t="str">
        <f>IFERROR(__xludf.DUMMYFUNCTION("""COMPUTED_VALUE"""),"Christopher Leacock")</f>
        <v>Christopher Leacock</v>
      </c>
      <c r="F589" s="10" t="str">
        <f>IFERROR(__xludf.DUMMYFUNCTION("""COMPUTED_VALUE"""),"")</f>
        <v/>
      </c>
      <c r="G589" s="10" t="str">
        <f>IFERROR(__xludf.DUMMYFUNCTION("""COMPUTED_VALUE"""),"")</f>
        <v/>
      </c>
      <c r="H589" s="10" t="str">
        <f>IFERROR(__xludf.DUMMYFUNCTION("""COMPUTED_VALUE"""),"4dfcdc33-59bf-5d3d-931a-889fcf1f7469")</f>
        <v>4dfcdc33-59bf-5d3d-931a-889fcf1f7469</v>
      </c>
      <c r="I589" s="10" t="str">
        <f>IFERROR(__xludf.DUMMYFUNCTION("""COMPUTED_VALUE"""),"4dfcdc33-59bf-5d3d-931a-889fcf1f7469")</f>
        <v>4dfcdc33-59bf-5d3d-931a-889fcf1f7469</v>
      </c>
    </row>
    <row r="590">
      <c r="A590" s="10" t="str">
        <f>IFERROR(__xludf.DUMMYFUNCTION("""COMPUTED_VALUE"""),"Startup Showcase")</f>
        <v>Startup Showcase</v>
      </c>
      <c r="B590" s="10" t="str">
        <f>IFERROR(__xludf.DUMMYFUNCTION("""COMPUTED_VALUE"""),"On this brand new stage, expect quickfire presentations where startups will showcase their solutions to the future's biggest challenges. This hour focuses on health, covering topics like medtech, fitness apps, and mental health training.
")</f>
        <v>On this brand new stage, expect quickfire presentations where startups will showcase their solutions to the future's biggest challenges. This hour focuses on health, covering topics like medtech, fitness apps, and mental health training.
</v>
      </c>
      <c r="C590" s="10" t="str">
        <f>IFERROR(__xludf.DUMMYFUNCTION("""COMPUTED_VALUE"""),"Startup Showcase 3")</f>
        <v>Startup Showcase 3</v>
      </c>
      <c r="D590" s="10" t="str">
        <f>IFERROR(__xludf.DUMMYFUNCTION("""COMPUTED_VALUE"""),"Steven Gundry, Alba Sort, Karl Naim, Elisabeth Pakin, Flavio Filoni, Sonia Couto, Choon Ja-Malin Meinberg, Yoshua Kishi, Amice Wong, Varun K. Sirohi, Pat Casey, Katy Lindemann, Guillermo Galan, Eduardo Rodrigues, Bjarte Bakke, Rafael Martínez Permuy, Nico"&amp;"las Aubert, Marine Bousseau, Carlo Buccoli, Fabrice Pakin, João Marcelo Alves, Grzegorz Madajczyk, Mikołaj Niedziałkowski, Richard Picart, Gema Alvarez, Mahak Chauhan, Rafael Munerato, Wanda Kim, Anna Sort, Astrid Ottosen, Martin Balodis, Rafael Martinez "&amp;"Permuy, Komal Chaudhary, Karandeep Birdi, Christine Harris, Stine Sorensen, Mahesh Inder Chauhan, Marc Oliver Griefahn, Henrik Thorsell, Andrea Severino, Geoffrey Kretz, Ricardo Ramos, Rosa Hoffman, Manel Sort, Barry Cumberlidge, Stephen Wheatley, Sebasti"&amp;"ão Barros, Annette Baus, Jean-Francois Kraemer and Akvile Ignotaite")</f>
        <v>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Jean-Francois Kraemer and Akvile Ignotaite</v>
      </c>
      <c r="E590" s="10" t="str">
        <f>IFERROR(__xludf.DUMMYFUNCTION("""COMPUTED_VALUE"""),"Steven Gundry,Alba Sort,Karl Naim,Elisabeth Pakin,Flavio Filoni,Sonia Couto,Choon Ja-Malin Meinberg,Yoshua Kishi,Amice Wong,Varun K. Sirohi,Pat Casey,Katy Lindemann,Guillermo Galan,Eduardo Rodrigues,Bjarte Bakke,Rafael Martínez Permuy,Nicolas Aubert,Marin"&amp;"e Bousseau,Carlo Buccoli,Fabrice Pakin,João Marcelo Alves,Grzegorz Madajczyk,Mikołaj Niedziałkowski,Richard Picart,Gema Alvarez,Mahak Chauhan,Rafael Munerato,Wanda Kim,Anna Sort,Astrid Ottosen,Martin Balodis,Rafael Martinez Permuy,Komal Chaudhary,Karandee"&amp;"p Birdi,Christine Harris,Stine Sorensen,Mahesh Inder Chauhan,Marc Oliver Griefahn,Henrik Thorsell,Andrea Severino,Geoffrey Kretz,Ricardo Ramos,Rosa Hoffman,Manel Sort,Barry Cumberlidge,Stephen Wheatley,Sebastião Barros,Annette Baus,Jean-Francois Kraemer,A"&amp;"kvile Ignotaite")</f>
        <v>Steven Gundry,Alba Sort,Karl Naim,Elisabeth Pakin,Flavio Filoni,Sonia Couto,Choon Ja-Malin Meinberg,Yoshua Kishi,Amice Wong,Varun K. Sirohi,Pat Casey,Katy Lindemann,Guillermo Galan,Eduardo Rodrigues,Bjarte Bakke,Rafael Martínez Permuy,Nicolas Aubert,Marine Bousseau,Carlo Buccoli,Fabrice Pakin,João Marcelo Alves,Grzegorz Madajczyk,Mikołaj Niedziałkowski,Richard Picart,Gema Alvarez,Mahak Chauhan,Rafael Munerato,Wanda Kim,Anna Sort,Astrid Ottosen,Martin Balodis,Rafael Martinez Permuy,Komal Chaudhary,Karandeep Birdi,Christine Harris,Stine Sorensen,Mahesh Inder Chauhan,Marc Oliver Griefahn,Henrik Thorsell,Andrea Severino,Geoffrey Kretz,Ricardo Ramos,Rosa Hoffman,Manel Sort,Barry Cumberlidge,Stephen Wheatley,Sebastião Barros,Annette Baus,Jean-Francois Kraemer,Akvile Ignotaite</v>
      </c>
      <c r="F590" s="10" t="str">
        <f>IFERROR(__xludf.DUMMYFUNCTION("""COMPUTED_VALUE"""),"2019/11/07 15:15:00")</f>
        <v>2019/11/07 15:15:00</v>
      </c>
      <c r="G590" s="10" t="str">
        <f>IFERROR(__xludf.DUMMYFUNCTION("""COMPUTED_VALUE"""),"2019/11/07 16:15:00")</f>
        <v>2019/11/07 16:15:00</v>
      </c>
      <c r="H590" s="10" t="str">
        <f>IFERROR(__xludf.DUMMYFUNCTION("""COMPUTED_VALUE"""),"3e22b52f-0442-44b3-82ee-b2baad5bb8e9")</f>
        <v>3e22b52f-0442-44b3-82ee-b2baad5bb8e9</v>
      </c>
      <c r="I590" s="10" t="str">
        <f>IFERROR(__xludf.DUMMYFUNCTION("""COMPUTED_VALUE"""),"3e22b52f-0442-44b3-82ee-b2baad5bb8e9")</f>
        <v>3e22b52f-0442-44b3-82ee-b2baad5bb8e9</v>
      </c>
    </row>
    <row r="591">
      <c r="A591" s="10" t="str">
        <f>IFERROR(__xludf.DUMMYFUNCTION("""COMPUTED_VALUE"""),"Demonstration: AI in practice, with Leo Pharma")</f>
        <v>Demonstration: AI in practice, with Leo Pharma</v>
      </c>
      <c r="B591" s="10" t="str">
        <f>IFERROR(__xludf.DUMMYFUNCTION("""COMPUTED_VALUE"""),"As our global population continues to grow, health resources are becoming increasingly strained. In a future where doctors are in short supply, how can we build health systems that can deliver the care we need? Krisitan Hart-Hansen, CEO of LEO Innovation "&amp;"Lab will demonstrate how AI could be the answer.")</f>
        <v>As our global population continues to grow, health resources are becoming increasingly strained. In a future where doctors are in short supply, how can we build health systems that can deliver the care we need? Krisitan Hart-Hansen, CEO of LEO Innovation Lab will demonstrate how AI could be the answer.</v>
      </c>
      <c r="C591" s="10" t="str">
        <f>IFERROR(__xludf.DUMMYFUNCTION("""COMPUTED_VALUE"""),"Corporate Innovation Summit")</f>
        <v>Corporate Innovation Summit</v>
      </c>
      <c r="D591" s="10" t="str">
        <f>IFERROR(__xludf.DUMMYFUNCTION("""COMPUTED_VALUE"""),"Kristian Hart-Hansen")</f>
        <v>Kristian Hart-Hansen</v>
      </c>
      <c r="E591" s="10" t="str">
        <f>IFERROR(__xludf.DUMMYFUNCTION("""COMPUTED_VALUE"""),"Kristian Hart-Hansen")</f>
        <v>Kristian Hart-Hansen</v>
      </c>
      <c r="F591" s="10" t="str">
        <f>IFERROR(__xludf.DUMMYFUNCTION("""COMPUTED_VALUE"""),"2019/11/06 15:25:00")</f>
        <v>2019/11/06 15:25:00</v>
      </c>
      <c r="G591" s="10" t="str">
        <f>IFERROR(__xludf.DUMMYFUNCTION("""COMPUTED_VALUE"""),"2019/11/06 15:45:00")</f>
        <v>2019/11/06 15:45:00</v>
      </c>
      <c r="H591" s="10" t="str">
        <f>IFERROR(__xludf.DUMMYFUNCTION("""COMPUTED_VALUE"""),"8ca8ced7-9244-4ff6-98cf-ae0c5fd93555")</f>
        <v>8ca8ced7-9244-4ff6-98cf-ae0c5fd93555</v>
      </c>
      <c r="I591" s="10" t="str">
        <f>IFERROR(__xludf.DUMMYFUNCTION("""COMPUTED_VALUE"""),"8ca8ced7-9244-4ff6-98cf-ae0c5fd93555")</f>
        <v>8ca8ced7-9244-4ff6-98cf-ae0c5fd93555</v>
      </c>
    </row>
    <row r="592">
      <c r="A592" s="10" t="str">
        <f>IFERROR(__xludf.DUMMYFUNCTION("""COMPUTED_VALUE"""),"Closing the loop: 3 failure points that will doom your first industrial IoT deployment")</f>
        <v>Closing the loop: 3 failure points that will doom your first industrial IoT deployment</v>
      </c>
      <c r="B592" s="10" t="str">
        <f>IFERROR(__xludf.DUMMYFUNCTION("""COMPUTED_VALUE"""),"Based on his experience as both a customer of IIoT products and now a provider of an IIoT solution, Matthew will discuss how startups can avoid the three most common failure points for new IIoT solutions at industrial facilities: poor data structure, inad"&amp;"equate connectivity, incomplete ecosystem.")</f>
        <v>Based on his experience as both a customer of IIoT products and now a provider of an IIoT solution, Matthew will discuss how startups can avoid the three most common failure points for new IIoT solutions at industrial facilities: poor data structure, inadequate connectivity, incomplete ecosystem.</v>
      </c>
      <c r="C592" s="10" t="str">
        <f>IFERROR(__xludf.DUMMYFUNCTION("""COMPUTED_VALUE"""),"Growth Summit")</f>
        <v>Growth Summit</v>
      </c>
      <c r="D592" s="10" t="str">
        <f>IFERROR(__xludf.DUMMYFUNCTION("""COMPUTED_VALUE"""),"Matthew Kleiman")</f>
        <v>Matthew Kleiman</v>
      </c>
      <c r="E592" s="10" t="str">
        <f>IFERROR(__xludf.DUMMYFUNCTION("""COMPUTED_VALUE"""),"Matthew Kleiman")</f>
        <v>Matthew Kleiman</v>
      </c>
      <c r="F592" s="10" t="str">
        <f>IFERROR(__xludf.DUMMYFUNCTION("""COMPUTED_VALUE"""),"2019/11/05 11:22:00")</f>
        <v>2019/11/05 11:22:00</v>
      </c>
      <c r="G592" s="10" t="str">
        <f>IFERROR(__xludf.DUMMYFUNCTION("""COMPUTED_VALUE"""),"2019/11/05 11:26:00")</f>
        <v>2019/11/05 11:26:00</v>
      </c>
      <c r="H592" s="10" t="str">
        <f>IFERROR(__xludf.DUMMYFUNCTION("""COMPUTED_VALUE"""),"6f21a5ac-a4d9-4be1-8598-b82290dbafdd")</f>
        <v>6f21a5ac-a4d9-4be1-8598-b82290dbafdd</v>
      </c>
      <c r="I592" s="10" t="str">
        <f>IFERROR(__xludf.DUMMYFUNCTION("""COMPUTED_VALUE"""),"6f21a5ac-a4d9-4be1-8598-b82290dbafdd")</f>
        <v>6f21a5ac-a4d9-4be1-8598-b82290dbafdd</v>
      </c>
    </row>
    <row r="593">
      <c r="A593" s="10" t="str">
        <f>IFERROR(__xludf.DUMMYFUNCTION("""COMPUTED_VALUE"""),"The future of science is already here")</f>
        <v>The future of science is already here</v>
      </c>
      <c r="B593" s="10" t="str">
        <f>IFERROR(__xludf.DUMMYFUNCTION("""COMPUTED_VALUE"""),"Science is constantly progressing and moving forward. In this session we hear from three of the world's brightest young minds about their cutting edge research and how it is changing the world. The future of science is in very safe hands.")</f>
        <v>Science is constantly progressing and moving forward. In this session we hear from three of the world's brightest young minds about their cutting edge research and how it is changing the world. The future of science is in very safe hands.</v>
      </c>
      <c r="C593" s="10" t="str">
        <f>IFERROR(__xludf.DUMMYFUNCTION("""COMPUTED_VALUE"""),"Future Societies")</f>
        <v>Future Societies</v>
      </c>
      <c r="D593" s="10" t="str">
        <f>IFERROR(__xludf.DUMMYFUNCTION("""COMPUTED_VALUE"""),"Liam Hinzman, Isabella Grandic and Brianna Gopaul")</f>
        <v>Liam Hinzman, Isabella Grandic and Brianna Gopaul</v>
      </c>
      <c r="E593" s="10" t="str">
        <f>IFERROR(__xludf.DUMMYFUNCTION("""COMPUTED_VALUE"""),"Liam Hinzman,Isabella Grandic,Brianna Gopaul")</f>
        <v>Liam Hinzman,Isabella Grandic,Brianna Gopaul</v>
      </c>
      <c r="F593" s="10" t="str">
        <f>IFERROR(__xludf.DUMMYFUNCTION("""COMPUTED_VALUE"""),"2019/11/07 11:50:00")</f>
        <v>2019/11/07 11:50:00</v>
      </c>
      <c r="G593" s="10" t="str">
        <f>IFERROR(__xludf.DUMMYFUNCTION("""COMPUTED_VALUE"""),"2019/11/07 12:15:00")</f>
        <v>2019/11/07 12:15:00</v>
      </c>
      <c r="H593" s="10" t="str">
        <f>IFERROR(__xludf.DUMMYFUNCTION("""COMPUTED_VALUE"""),"19f472b6-aa6c-4206-affa-d42b55878dad")</f>
        <v>19f472b6-aa6c-4206-affa-d42b55878dad</v>
      </c>
      <c r="I593" s="10" t="str">
        <f>IFERROR(__xludf.DUMMYFUNCTION("""COMPUTED_VALUE"""),"19f472b6-aa6c-4206-affa-d42b55878dad")</f>
        <v>19f472b6-aa6c-4206-affa-d42b55878dad</v>
      </c>
    </row>
    <row r="594">
      <c r="A594" s="10" t="str">
        <f>IFERROR(__xludf.DUMMYFUNCTION("""COMPUTED_VALUE"""),"Featured venue: Palheta Bar")</f>
        <v>Featured venue: Palheta Bar</v>
      </c>
      <c r="B594" s="10" t="str">
        <f>IFERROR(__xludf.DUMMYFUNCTION("""COMPUTED_VALUE"""),"Where musicians go, the party will follow. This venue is known for good music, and good music done well. There's no Spotify playlist, or Youtube mix. Instead, enjoy the authetic charm of vinyl records. Fun fact? Palheta was the first bar in Cais do Sodré "&amp;"to go plastic-free. Connect back to an analogue (and better?) time, the venue also encourages visitors to set aside their phones and instead enjoy each others company. Sounds good to us!
Night Summit deals: 
Mojito €5, Caipirinha €4, 50cl beer €2.50 ")</f>
        <v>Where musicians go, the party will follow. This venue is known for good music, and good music done well. There's no Spotify playlist, or Youtube mix. Instead, enjoy the authetic charm of vinyl records. Fun fact? Palheta was the first bar in Cais do Sodré to go plastic-free. Connect back to an analogue (and better?) time, the venue also encourages visitors to set aside their phones and instead enjoy each others company. Sounds good to us!
Night Summit deals: 
Mojito €5, Caipirinha €4, 50cl beer €2.50 </v>
      </c>
      <c r="C594" s="10" t="str">
        <f>IFERROR(__xludf.DUMMYFUNCTION("""COMPUTED_VALUE"""),"Palheta Bar")</f>
        <v>Palheta Bar</v>
      </c>
      <c r="D594" s="10" t="str">
        <f>IFERROR(__xludf.DUMMYFUNCTION("""COMPUTED_VALUE"""),"")</f>
        <v/>
      </c>
      <c r="E594" s="10" t="str">
        <f>IFERROR(__xludf.DUMMYFUNCTION("""COMPUTED_VALUE"""),"")</f>
        <v/>
      </c>
      <c r="F594" s="10" t="str">
        <f>IFERROR(__xludf.DUMMYFUNCTION("""COMPUTED_VALUE"""),"2019/11/05 20:00:00")</f>
        <v>2019/11/05 20:00:00</v>
      </c>
      <c r="G594" s="10" t="str">
        <f>IFERROR(__xludf.DUMMYFUNCTION("""COMPUTED_VALUE"""),"2019/11/06 00:00:00")</f>
        <v>2019/11/06 00:00:00</v>
      </c>
      <c r="H594" s="10" t="str">
        <f>IFERROR(__xludf.DUMMYFUNCTION("""COMPUTED_VALUE"""),"55dad5e9-8cd1-4823-af3e-9e7f4fa721e7")</f>
        <v>55dad5e9-8cd1-4823-af3e-9e7f4fa721e7</v>
      </c>
      <c r="I594" s="10" t="str">
        <f>IFERROR(__xludf.DUMMYFUNCTION("""COMPUTED_VALUE"""),"55dad5e9-8cd1-4823-af3e-9e7f4fa721e7")</f>
        <v>55dad5e9-8cd1-4823-af3e-9e7f4fa721e7</v>
      </c>
    </row>
    <row r="595">
      <c r="A595" s="10" t="str">
        <f>IFERROR(__xludf.DUMMYFUNCTION("""COMPUTED_VALUE"""),"What makes a SaaS star?")</f>
        <v>What makes a SaaS star?</v>
      </c>
      <c r="B595" s="10" t="str">
        <f>IFERROR(__xludf.DUMMYFUNCTION("""COMPUTED_VALUE"""),"What does it take to build enterprise startups that will take the world by storm? Three investors betting on the software solutions discuss what they look for.")</f>
        <v>What does it take to build enterprise startups that will take the world by storm? Three investors betting on the software solutions discuss what they look for.</v>
      </c>
      <c r="C595" s="10" t="str">
        <f>IFERROR(__xludf.DUMMYFUNCTION("""COMPUTED_VALUE"""),"Venture stage")</f>
        <v>Venture stage</v>
      </c>
      <c r="D595" s="10" t="str">
        <f>IFERROR(__xludf.DUMMYFUNCTION("""COMPUTED_VALUE"""),"Yoav Tzruya, Lyle Fong, Michael Schuster, Cristina Fonseca and Stewart Rogers")</f>
        <v>Yoav Tzruya, Lyle Fong, Michael Schuster, Cristina Fonseca and Stewart Rogers</v>
      </c>
      <c r="E595" s="10" t="str">
        <f>IFERROR(__xludf.DUMMYFUNCTION("""COMPUTED_VALUE"""),"Yoav Tzruya,Lyle Fong,Michael Schuster,Cristina Fonseca,Stewart Rogers")</f>
        <v>Yoav Tzruya,Lyle Fong,Michael Schuster,Cristina Fonseca,Stewart Rogers</v>
      </c>
      <c r="F595" s="10" t="str">
        <f>IFERROR(__xludf.DUMMYFUNCTION("""COMPUTED_VALUE"""),"2019/11/05 10:30:00")</f>
        <v>2019/11/05 10:30:00</v>
      </c>
      <c r="G595" s="10" t="str">
        <f>IFERROR(__xludf.DUMMYFUNCTION("""COMPUTED_VALUE"""),"2019/11/05 10:50:00")</f>
        <v>2019/11/05 10:50:00</v>
      </c>
      <c r="H595" s="10" t="str">
        <f>IFERROR(__xludf.DUMMYFUNCTION("""COMPUTED_VALUE"""),"1e92e735-d1a2-4e79-ab58-1f251026f86c")</f>
        <v>1e92e735-d1a2-4e79-ab58-1f251026f86c</v>
      </c>
      <c r="I595" s="10" t="str">
        <f>IFERROR(__xludf.DUMMYFUNCTION("""COMPUTED_VALUE"""),"1e92e735-d1a2-4e79-ab58-1f251026f86c")</f>
        <v>1e92e735-d1a2-4e79-ab58-1f251026f86c</v>
      </c>
    </row>
    <row r="596">
      <c r="A596" s="10" t="str">
        <f>IFERROR(__xludf.DUMMYFUNCTION("""COMPUTED_VALUE"""),"Hiring that powers high growth businesses")</f>
        <v>Hiring that powers high growth businesses</v>
      </c>
      <c r="B596" s="10" t="str">
        <f>IFERROR(__xludf.DUMMYFUNCTION("""COMPUTED_VALUE"""),"There are few things as critical to a growth-stage company than hiring the right talent. How do you evolve your hiring practices to drive your business as it scales from hiring 10 people a year to 10 people a week? Lever Co-Founder &amp; CEO, Sarah Nahm, will"&amp;" share lessons and strategies from working with some of the highest growth companies in SIlicon Valley and beyond. ")</f>
        <v>There are few things as critical to a growth-stage company than hiring the right talent. How do you evolve your hiring practices to drive your business as it scales from hiring 10 people a year to 10 people a week? Lever Co-Founder &amp; CEO, Sarah Nahm, will share lessons and strategies from working with some of the highest growth companies in SIlicon Valley and beyond. </v>
      </c>
      <c r="C596" s="10" t="str">
        <f>IFERROR(__xludf.DUMMYFUNCTION("""COMPUTED_VALUE"""),"Growth Summit")</f>
        <v>Growth Summit</v>
      </c>
      <c r="D596" s="10" t="str">
        <f>IFERROR(__xludf.DUMMYFUNCTION("""COMPUTED_VALUE"""),"Sarah Nahm")</f>
        <v>Sarah Nahm</v>
      </c>
      <c r="E596" s="10" t="str">
        <f>IFERROR(__xludf.DUMMYFUNCTION("""COMPUTED_VALUE"""),"Sarah Nahm")</f>
        <v>Sarah Nahm</v>
      </c>
      <c r="F596" s="10" t="str">
        <f>IFERROR(__xludf.DUMMYFUNCTION("""COMPUTED_VALUE"""),"2019/11/06 15:04:00")</f>
        <v>2019/11/06 15:04:00</v>
      </c>
      <c r="G596" s="10" t="str">
        <f>IFERROR(__xludf.DUMMYFUNCTION("""COMPUTED_VALUE"""),"2019/11/06 15:15:00")</f>
        <v>2019/11/06 15:15:00</v>
      </c>
      <c r="H596" s="10" t="str">
        <f>IFERROR(__xludf.DUMMYFUNCTION("""COMPUTED_VALUE"""),"c3f67edb-937a-44f9-af6d-d6661319d591")</f>
        <v>c3f67edb-937a-44f9-af6d-d6661319d591</v>
      </c>
      <c r="I596" s="10" t="str">
        <f>IFERROR(__xludf.DUMMYFUNCTION("""COMPUTED_VALUE"""),"c3f67edb-937a-44f9-af6d-d6661319d591")</f>
        <v>c3f67edb-937a-44f9-af6d-d6661319d591</v>
      </c>
    </row>
    <row r="597">
      <c r="A597" s="10" t="str">
        <f>IFERROR(__xludf.DUMMYFUNCTION("""COMPUTED_VALUE"""),"Opening remarks")</f>
        <v>Opening remarks</v>
      </c>
      <c r="B597" s="10" t="str">
        <f>IFERROR(__xludf.DUMMYFUNCTION("""COMPUTED_VALUE"""),"")</f>
        <v/>
      </c>
      <c r="C597" s="10" t="str">
        <f>IFERROR(__xludf.DUMMYFUNCTION("""COMPUTED_VALUE"""),"Growth Summit")</f>
        <v>Growth Summit</v>
      </c>
      <c r="D597" s="10" t="str">
        <f>IFERROR(__xludf.DUMMYFUNCTION("""COMPUTED_VALUE"""),"Dimple Mukherjee")</f>
        <v>Dimple Mukherjee</v>
      </c>
      <c r="E597" s="10" t="str">
        <f>IFERROR(__xludf.DUMMYFUNCTION("""COMPUTED_VALUE"""),"Dimple Mukherjee")</f>
        <v>Dimple Mukherjee</v>
      </c>
      <c r="F597" s="10" t="str">
        <f>IFERROR(__xludf.DUMMYFUNCTION("""COMPUTED_VALUE"""),"2019/11/07 10:00:00")</f>
        <v>2019/11/07 10:00:00</v>
      </c>
      <c r="G597" s="10" t="str">
        <f>IFERROR(__xludf.DUMMYFUNCTION("""COMPUTED_VALUE"""),"2019/11/07 10:02:00")</f>
        <v>2019/11/07 10:02:00</v>
      </c>
      <c r="H597" s="10" t="str">
        <f>IFERROR(__xludf.DUMMYFUNCTION("""COMPUTED_VALUE"""),"151d8ffb-af8d-4311-899d-10933c20dc6b")</f>
        <v>151d8ffb-af8d-4311-899d-10933c20dc6b</v>
      </c>
      <c r="I597" s="10" t="str">
        <f>IFERROR(__xludf.DUMMYFUNCTION("""COMPUTED_VALUE"""),"151d8ffb-af8d-4311-899d-10933c20dc6b")</f>
        <v>151d8ffb-af8d-4311-899d-10933c20dc6b</v>
      </c>
    </row>
    <row r="598">
      <c r="A598" s="10" t="str">
        <f>IFERROR(__xludf.DUMMYFUNCTION("""COMPUTED_VALUE"""),"What next for democracy?")</f>
        <v>What next for democracy?</v>
      </c>
      <c r="B598" s="10" t="str">
        <f>IFERROR(__xludf.DUMMYFUNCTION("""COMPUTED_VALUE"""),"Populism is on the rise, many governments are becoming increasingly authoritarian, and democratic backsliding is gathering momentum. There is a lot of doom and gloom around the prospects for democracy. In this session we hear from a politican, a businessm"&amp;"an, and a campaign expert about the supposed death of democracy.")</f>
        <v>Populism is on the rise, many governments are becoming increasingly authoritarian, and democratic backsliding is gathering momentum. There is a lot of doom and gloom around the prospects for democracy. In this session we hear from a politican, a businessman, and a campaign expert about the supposed death of democracy.</v>
      </c>
      <c r="C598" s="10" t="str">
        <f>IFERROR(__xludf.DUMMYFUNCTION("""COMPUTED_VALUE"""),"Future Societies")</f>
        <v>Future Societies</v>
      </c>
      <c r="D598" s="10" t="str">
        <f>IFERROR(__xludf.DUMMYFUNCTION("""COMPUTED_VALUE"""),"Mamuka Bakhtadze, George Arison, Joe Pounder and Joseph Menn")</f>
        <v>Mamuka Bakhtadze, George Arison, Joe Pounder and Joseph Menn</v>
      </c>
      <c r="E598" s="10" t="str">
        <f>IFERROR(__xludf.DUMMYFUNCTION("""COMPUTED_VALUE"""),"Mamuka Bakhtadze,George Arison,Joe Pounder,Joseph Menn")</f>
        <v>Mamuka Bakhtadze,George Arison,Joe Pounder,Joseph Menn</v>
      </c>
      <c r="F598" s="10" t="str">
        <f>IFERROR(__xludf.DUMMYFUNCTION("""COMPUTED_VALUE"""),"2019/11/06 14:35:00")</f>
        <v>2019/11/06 14:35:00</v>
      </c>
      <c r="G598" s="10" t="str">
        <f>IFERROR(__xludf.DUMMYFUNCTION("""COMPUTED_VALUE"""),"2019/11/06 14:55:00")</f>
        <v>2019/11/06 14:55:00</v>
      </c>
      <c r="H598" s="10" t="str">
        <f>IFERROR(__xludf.DUMMYFUNCTION("""COMPUTED_VALUE"""),"3958cdb2-e15c-4ab1-b618-5da933127751")</f>
        <v>3958cdb2-e15c-4ab1-b618-5da933127751</v>
      </c>
      <c r="I598" s="10" t="str">
        <f>IFERROR(__xludf.DUMMYFUNCTION("""COMPUTED_VALUE"""),"3958cdb2-e15c-4ab1-b618-5da933127751")</f>
        <v>3958cdb2-e15c-4ab1-b618-5da933127751</v>
      </c>
    </row>
    <row r="599">
      <c r="A599" s="10" t="str">
        <f>IFERROR(__xludf.DUMMYFUNCTION("""COMPUTED_VALUE"""),"From cleaning toilets to a $60m raise: The story of Guesty")</f>
        <v>From cleaning toilets to a $60m raise: The story of Guesty</v>
      </c>
      <c r="B599" s="10" t="str">
        <f>IFERROR(__xludf.DUMMYFUNCTION("""COMPUTED_VALUE"""),"Learn how Guesty co-founder and CEO, Amiad and his identical twin brother launched an apartment cleaning service that morphed into one of the widest-used, highest-funded short-term rental management platforms across the globe.")</f>
        <v>Learn how Guesty co-founder and CEO, Amiad and his identical twin brother launched an apartment cleaning service that morphed into one of the widest-used, highest-funded short-term rental management platforms across the globe.</v>
      </c>
      <c r="C599" s="10" t="str">
        <f>IFERROR(__xludf.DUMMYFUNCTION("""COMPUTED_VALUE"""),"Growth Summit")</f>
        <v>Growth Summit</v>
      </c>
      <c r="D599" s="10" t="str">
        <f>IFERROR(__xludf.DUMMYFUNCTION("""COMPUTED_VALUE"""),"Amiad Soto")</f>
        <v>Amiad Soto</v>
      </c>
      <c r="E599" s="10" t="str">
        <f>IFERROR(__xludf.DUMMYFUNCTION("""COMPUTED_VALUE"""),"Amiad Soto")</f>
        <v>Amiad Soto</v>
      </c>
      <c r="F599" s="10" t="str">
        <f>IFERROR(__xludf.DUMMYFUNCTION("""COMPUTED_VALUE"""),"2019/11/05 14:31:00")</f>
        <v>2019/11/05 14:31:00</v>
      </c>
      <c r="G599" s="10" t="str">
        <f>IFERROR(__xludf.DUMMYFUNCTION("""COMPUTED_VALUE"""),"2019/11/05 14:42:00")</f>
        <v>2019/11/05 14:42:00</v>
      </c>
      <c r="H599" s="10" t="str">
        <f>IFERROR(__xludf.DUMMYFUNCTION("""COMPUTED_VALUE"""),"8678c89e-3623-4e24-a55b-bf600aab28bb")</f>
        <v>8678c89e-3623-4e24-a55b-bf600aab28bb</v>
      </c>
      <c r="I599" s="10" t="str">
        <f>IFERROR(__xludf.DUMMYFUNCTION("""COMPUTED_VALUE"""),"8678c89e-3623-4e24-a55b-bf600aab28bb")</f>
        <v>8678c89e-3623-4e24-a55b-bf600aab28bb</v>
      </c>
    </row>
    <row r="600">
      <c r="A600" s="10" t="str">
        <f>IFERROR(__xludf.DUMMYFUNCTION("""COMPUTED_VALUE"""),"Featured venue: Irish &amp; Co.")</f>
        <v>Featured venue: Irish &amp; Co.</v>
      </c>
      <c r="B600" s="10" t="str">
        <f>IFERROR(__xludf.DUMMYFUNCTION("""COMPUTED_VALUE"""),"Get a flavour of Ireland in Lisbon. While Lisbon might boast better weather than the Emerald Isle, Irish &amp; Co have transported some of the famous Irish craic to the Portuguese capital. Live music, pints of Guinness, and maybe the odd redhead for good meas"&amp;"ure, you're sure to have a wild night.
Night Summit deals: 
€2 30cl beer, €3.50 pint of beer, 10% discount on sparkling wine")</f>
        <v>Get a flavour of Ireland in Lisbon. While Lisbon might boast better weather than the Emerald Isle, Irish &amp; Co have transported some of the famous Irish craic to the Portuguese capital. Live music, pints of Guinness, and maybe the odd redhead for good measure, you're sure to have a wild night.
Night Summit deals: 
€2 30cl beer, €3.50 pint of beer, 10% discount on sparkling wine</v>
      </c>
      <c r="C600" s="10" t="str">
        <f>IFERROR(__xludf.DUMMYFUNCTION("""COMPUTED_VALUE"""),"Irish &amp; Co.")</f>
        <v>Irish &amp; Co.</v>
      </c>
      <c r="D600" s="10" t="str">
        <f>IFERROR(__xludf.DUMMYFUNCTION("""COMPUTED_VALUE"""),"")</f>
        <v/>
      </c>
      <c r="E600" s="10" t="str">
        <f>IFERROR(__xludf.DUMMYFUNCTION("""COMPUTED_VALUE"""),"")</f>
        <v/>
      </c>
      <c r="F600" s="10" t="str">
        <f>IFERROR(__xludf.DUMMYFUNCTION("""COMPUTED_VALUE"""),"2019/11/04 20:00:00")</f>
        <v>2019/11/04 20:00:00</v>
      </c>
      <c r="G600" s="10" t="str">
        <f>IFERROR(__xludf.DUMMYFUNCTION("""COMPUTED_VALUE"""),"2019/11/04 23:00:00")</f>
        <v>2019/11/04 23:00:00</v>
      </c>
      <c r="H600" s="10" t="str">
        <f>IFERROR(__xludf.DUMMYFUNCTION("""COMPUTED_VALUE"""),"c5c6f770-94a6-4086-81c5-7c7683a9961a")</f>
        <v>c5c6f770-94a6-4086-81c5-7c7683a9961a</v>
      </c>
      <c r="I600" s="10" t="str">
        <f>IFERROR(__xludf.DUMMYFUNCTION("""COMPUTED_VALUE"""),"c5c6f770-94a6-4086-81c5-7c7683a9961a")</f>
        <v>c5c6f770-94a6-4086-81c5-7c7683a9961a</v>
      </c>
    </row>
    <row r="601">
      <c r="A601" s="10" t="str">
        <f>IFERROR(__xludf.DUMMYFUNCTION("""COMPUTED_VALUE"""),"Adopting the Champion's mindset")</f>
        <v>Adopting the Champion's mindset</v>
      </c>
      <c r="B601" s="10" t="str">
        <f>IFERROR(__xludf.DUMMYFUNCTION("""COMPUTED_VALUE"""),"Former professional footballer Deco, now founder and CEO of of D20 Sports, Gilberto Silva, World Cup winner and Invincible with Arsenal and Paul Brighten, CEO of Entourage Sports agency and former tennis pro discuss how success in sport has helped them pr"&amp;"osper in business.
")</f>
        <v>Former professional footballer Deco, now founder and CEO of of D20 Sports, Gilberto Silva, World Cup winner and Invincible with Arsenal and Paul Brighten, CEO of Entourage Sports agency and former tennis pro discuss how success in sport has helped them prosper in business.
</v>
      </c>
      <c r="C601" s="10" t="str">
        <f>IFERROR(__xludf.DUMMYFUNCTION("""COMPUTED_VALUE"""),"SportsTrade")</f>
        <v>SportsTrade</v>
      </c>
      <c r="D601" s="10" t="str">
        <f>IFERROR(__xludf.DUMMYFUNCTION("""COMPUTED_VALUE""")," , Paul Brighten, Gilberto Silva and Rosa Oliveira Pinto")</f>
        <v> , Paul Brighten, Gilberto Silva and Rosa Oliveira Pinto</v>
      </c>
      <c r="E601" s="10" t="str">
        <f>IFERROR(__xludf.DUMMYFUNCTION("""COMPUTED_VALUE""")," ,Paul Brighten,Gilberto Silva,Rosa Oliveira Pinto")</f>
        <v> ,Paul Brighten,Gilberto Silva,Rosa Oliveira Pinto</v>
      </c>
      <c r="F601" s="10" t="str">
        <f>IFERROR(__xludf.DUMMYFUNCTION("""COMPUTED_VALUE"""),"2019/11/05 14:45:00")</f>
        <v>2019/11/05 14:45:00</v>
      </c>
      <c r="G601" s="10" t="str">
        <f>IFERROR(__xludf.DUMMYFUNCTION("""COMPUTED_VALUE"""),"2019/11/05 15:00:00")</f>
        <v>2019/11/05 15:00:00</v>
      </c>
      <c r="H601" s="10" t="str">
        <f>IFERROR(__xludf.DUMMYFUNCTION("""COMPUTED_VALUE"""),"bf9098ec-88f0-4e09-bd6b-e24df6dc696b")</f>
        <v>bf9098ec-88f0-4e09-bd6b-e24df6dc696b</v>
      </c>
      <c r="I601" s="10" t="str">
        <f>IFERROR(__xludf.DUMMYFUNCTION("""COMPUTED_VALUE"""),"bf9098ec-88f0-4e09-bd6b-e24df6dc696b")</f>
        <v>bf9098ec-88f0-4e09-bd6b-e24df6dc696b</v>
      </c>
    </row>
    <row r="602">
      <c r="A602" s="10" t="str">
        <f>IFERROR(__xludf.DUMMYFUNCTION("""COMPUTED_VALUE"""),"One thing you need to make better product decisions ")</f>
        <v>One thing you need to make better product decisions </v>
      </c>
      <c r="B602" s="10" t="str">
        <f>IFERROR(__xludf.DUMMYFUNCTION("""COMPUTED_VALUE"""),"Co-founder and CEO of Craft.io, Elad will talk about how dedicated product management platforms are helping product leaders make better informed and impactful decisions.")</f>
        <v>Co-founder and CEO of Craft.io, Elad will talk about how dedicated product management platforms are helping product leaders make better informed and impactful decisions.</v>
      </c>
      <c r="C602" s="10" t="str">
        <f>IFERROR(__xludf.DUMMYFUNCTION("""COMPUTED_VALUE"""),"Growth Summit")</f>
        <v>Growth Summit</v>
      </c>
      <c r="D602" s="10" t="str">
        <f>IFERROR(__xludf.DUMMYFUNCTION("""COMPUTED_VALUE"""),"Elad Simon")</f>
        <v>Elad Simon</v>
      </c>
      <c r="E602" s="10" t="str">
        <f>IFERROR(__xludf.DUMMYFUNCTION("""COMPUTED_VALUE"""),"Elad Simon")</f>
        <v>Elad Simon</v>
      </c>
      <c r="F602" s="10" t="str">
        <f>IFERROR(__xludf.DUMMYFUNCTION("""COMPUTED_VALUE"""),"2019/11/06 11:10:00")</f>
        <v>2019/11/06 11:10:00</v>
      </c>
      <c r="G602" s="10" t="str">
        <f>IFERROR(__xludf.DUMMYFUNCTION("""COMPUTED_VALUE"""),"2019/11/06 11:14:00")</f>
        <v>2019/11/06 11:14:00</v>
      </c>
      <c r="H602" s="10" t="str">
        <f>IFERROR(__xludf.DUMMYFUNCTION("""COMPUTED_VALUE"""),"80a06c6c-56c8-4a7a-a1e9-cb596f5bead8")</f>
        <v>80a06c6c-56c8-4a7a-a1e9-cb596f5bead8</v>
      </c>
      <c r="I602" s="10" t="str">
        <f>IFERROR(__xludf.DUMMYFUNCTION("""COMPUTED_VALUE"""),"80a06c6c-56c8-4a7a-a1e9-cb596f5bead8")</f>
        <v>80a06c6c-56c8-4a7a-a1e9-cb596f5bead8</v>
      </c>
    </row>
    <row r="603">
      <c r="A603" s="10" t="str">
        <f>IFERROR(__xludf.DUMMYFUNCTION("""COMPUTED_VALUE"""),"Featured venue: WISH Concept Store &amp; Slow Coffee House")</f>
        <v>Featured venue: WISH Concept Store &amp; Slow Coffee House</v>
      </c>
      <c r="B603" s="10" t="str">
        <f>IFERROR(__xludf.DUMMYFUNCTION("""COMPUTED_VALUE"""),"If you like exclusivity, then this special pop-up bar is the one for you. With snacks and drinks combos specially designed for Night Summit 2019, this coffee shop will transform into a cocktail bar for one night only.  
Night Summit deals:
Coffee cock"&amp;"tails, special food, and drink combos")</f>
        <v>If you like exclusivity, then this special pop-up bar is the one for you. With snacks and drinks combos specially designed for Night Summit 2019, this coffee shop will transform into a cocktail bar for one night only.  
Night Summit deals:
Coffee cocktails, special food, and drink combos</v>
      </c>
      <c r="C603" s="10" t="str">
        <f>IFERROR(__xludf.DUMMYFUNCTION("""COMPUTED_VALUE"""),"WISH Concept Store &amp; Slow Coffee House")</f>
        <v>WISH Concept Store &amp; Slow Coffee House</v>
      </c>
      <c r="D603" s="10" t="str">
        <f>IFERROR(__xludf.DUMMYFUNCTION("""COMPUTED_VALUE"""),"")</f>
        <v/>
      </c>
      <c r="E603" s="10" t="str">
        <f>IFERROR(__xludf.DUMMYFUNCTION("""COMPUTED_VALUE"""),"")</f>
        <v/>
      </c>
      <c r="F603" s="10" t="str">
        <f>IFERROR(__xludf.DUMMYFUNCTION("""COMPUTED_VALUE"""),"2019/11/06 20:00:00")</f>
        <v>2019/11/06 20:00:00</v>
      </c>
      <c r="G603" s="10" t="str">
        <f>IFERROR(__xludf.DUMMYFUNCTION("""COMPUTED_VALUE"""),"2019/11/07 02:00:00")</f>
        <v>2019/11/07 02:00:00</v>
      </c>
      <c r="H603" s="10" t="str">
        <f>IFERROR(__xludf.DUMMYFUNCTION("""COMPUTED_VALUE"""),"8c68ae6d-d0f3-4426-a155-0857a1ac002c")</f>
        <v>8c68ae6d-d0f3-4426-a155-0857a1ac002c</v>
      </c>
      <c r="I603" s="10" t="str">
        <f>IFERROR(__xludf.DUMMYFUNCTION("""COMPUTED_VALUE"""),"8c68ae6d-d0f3-4426-a155-0857a1ac002c")</f>
        <v>8c68ae6d-d0f3-4426-a155-0857a1ac002c</v>
      </c>
    </row>
    <row r="604">
      <c r="A604" s="10" t="str">
        <f>IFERROR(__xludf.DUMMYFUNCTION("""COMPUTED_VALUE"""),"The drive for 5: Where is level 5 autonomy?")</f>
        <v>The drive for 5: Where is level 5 autonomy?</v>
      </c>
      <c r="B604" s="10" t="str">
        <f>IFERROR(__xludf.DUMMYFUNCTION("""COMPUTED_VALUE"""),"And you may you ask yourself — where is my self driving automobile? Let's speculate on how close we are to their ubiquity.")</f>
        <v>And you may you ask yourself — where is my self driving automobile? Let's speculate on how close we are to their ubiquity.</v>
      </c>
      <c r="C604" s="10" t="str">
        <f>IFERROR(__xludf.DUMMYFUNCTION("""COMPUTED_VALUE"""),"Auto/Tech &amp; TalkRobot")</f>
        <v>Auto/Tech &amp; TalkRobot</v>
      </c>
      <c r="D604" s="10" t="str">
        <f>IFERROR(__xludf.DUMMYFUNCTION("""COMPUTED_VALUE"""),"Moshe Shlisel, Ransom Wuller and Tom Honeyands")</f>
        <v>Moshe Shlisel, Ransom Wuller and Tom Honeyands</v>
      </c>
      <c r="E604" s="10" t="str">
        <f>IFERROR(__xludf.DUMMYFUNCTION("""COMPUTED_VALUE"""),"Moshe Shlisel,Ransom Wuller,Tom Honeyands")</f>
        <v>Moshe Shlisel,Ransom Wuller,Tom Honeyands</v>
      </c>
      <c r="F604" s="10" t="str">
        <f>IFERROR(__xludf.DUMMYFUNCTION("""COMPUTED_VALUE"""),"2019/11/06 15:00:00")</f>
        <v>2019/11/06 15:00:00</v>
      </c>
      <c r="G604" s="10" t="str">
        <f>IFERROR(__xludf.DUMMYFUNCTION("""COMPUTED_VALUE"""),"2019/11/06 15:20:00")</f>
        <v>2019/11/06 15:20:00</v>
      </c>
      <c r="H604" s="10" t="str">
        <f>IFERROR(__xludf.DUMMYFUNCTION("""COMPUTED_VALUE"""),"1fc1cef6-0141-46b2-8350-76391099c092")</f>
        <v>1fc1cef6-0141-46b2-8350-76391099c092</v>
      </c>
      <c r="I604" s="10" t="str">
        <f>IFERROR(__xludf.DUMMYFUNCTION("""COMPUTED_VALUE"""),"1fc1cef6-0141-46b2-8350-76391099c092")</f>
        <v>1fc1cef6-0141-46b2-8350-76391099c092</v>
      </c>
    </row>
    <row r="605">
      <c r="A605" s="10" t="str">
        <f>IFERROR(__xludf.DUMMYFUNCTION("""COMPUTED_VALUE"""),"PITCH Winner revealed")</f>
        <v>PITCH Winner revealed</v>
      </c>
      <c r="B605" s="10" t="str">
        <f>IFERROR(__xludf.DUMMYFUNCTION("""COMPUTED_VALUE"""),"The winner of Web Summit's 2019 PITCH competition is revealed.")</f>
        <v>The winner of Web Summit's 2019 PITCH competition is revealed.</v>
      </c>
      <c r="C605" s="10" t="str">
        <f>IFERROR(__xludf.DUMMYFUNCTION("""COMPUTED_VALUE"""),"Centre Stage")</f>
        <v>Centre Stage</v>
      </c>
      <c r="D605" s="10" t="str">
        <f>IFERROR(__xludf.DUMMYFUNCTION("""COMPUTED_VALUE"""),"Paddy Cosgrave, Pedro Miranda and Mada Seghete")</f>
        <v>Paddy Cosgrave, Pedro Miranda and Mada Seghete</v>
      </c>
      <c r="E605" s="10" t="str">
        <f>IFERROR(__xludf.DUMMYFUNCTION("""COMPUTED_VALUE"""),"Paddy Cosgrave,Pedro Miranda,Mada Seghete")</f>
        <v>Paddy Cosgrave,Pedro Miranda,Mada Seghete</v>
      </c>
      <c r="F605" s="10" t="str">
        <f>IFERROR(__xludf.DUMMYFUNCTION("""COMPUTED_VALUE"""),"2019/11/07 16:25:00")</f>
        <v>2019/11/07 16:25:00</v>
      </c>
      <c r="G605" s="10" t="str">
        <f>IFERROR(__xludf.DUMMYFUNCTION("""COMPUTED_VALUE"""),"2019/11/07 16:30:00")</f>
        <v>2019/11/07 16:30:00</v>
      </c>
      <c r="H605" s="10" t="str">
        <f>IFERROR(__xludf.DUMMYFUNCTION("""COMPUTED_VALUE"""),"19434eb9-68a0-4683-8227-ea6800835e78")</f>
        <v>19434eb9-68a0-4683-8227-ea6800835e78</v>
      </c>
      <c r="I605" s="10" t="str">
        <f>IFERROR(__xludf.DUMMYFUNCTION("""COMPUTED_VALUE"""),"19434eb9-68a0-4683-8227-ea6800835e78")</f>
        <v>19434eb9-68a0-4683-8227-ea6800835e78</v>
      </c>
    </row>
    <row r="606">
      <c r="A606" s="10" t="str">
        <f>IFERROR(__xludf.DUMMYFUNCTION("""COMPUTED_VALUE"""),"Opening remarks")</f>
        <v>Opening remarks</v>
      </c>
      <c r="B606" s="10" t="str">
        <f>IFERROR(__xludf.DUMMYFUNCTION("""COMPUTED_VALUE"""),"Welcome to Corporate Innovation Summit, where we unfold the secrets of the worlds largest firms.")</f>
        <v>Welcome to Corporate Innovation Summit, where we unfold the secrets of the worlds largest firms.</v>
      </c>
      <c r="C606" s="10" t="str">
        <f>IFERROR(__xludf.DUMMYFUNCTION("""COMPUTED_VALUE"""),"Corporate Innovation Summit")</f>
        <v>Corporate Innovation Summit</v>
      </c>
      <c r="D606" s="10" t="str">
        <f>IFERROR(__xludf.DUMMYFUNCTION("""COMPUTED_VALUE"""),"Scott Campbell")</f>
        <v>Scott Campbell</v>
      </c>
      <c r="E606" s="10" t="str">
        <f>IFERROR(__xludf.DUMMYFUNCTION("""COMPUTED_VALUE"""),"Scott Campbell")</f>
        <v>Scott Campbell</v>
      </c>
      <c r="F606" s="10" t="str">
        <f>IFERROR(__xludf.DUMMYFUNCTION("""COMPUTED_VALUE"""),"2019/11/05 10:00:00")</f>
        <v>2019/11/05 10:00:00</v>
      </c>
      <c r="G606" s="10" t="str">
        <f>IFERROR(__xludf.DUMMYFUNCTION("""COMPUTED_VALUE"""),"2019/11/05 10:15:00")</f>
        <v>2019/11/05 10:15:00</v>
      </c>
      <c r="H606" s="10" t="str">
        <f>IFERROR(__xludf.DUMMYFUNCTION("""COMPUTED_VALUE"""),"f67dafe5-f84e-4ff8-bcb4-804dfba7b2a5")</f>
        <v>f67dafe5-f84e-4ff8-bcb4-804dfba7b2a5</v>
      </c>
      <c r="I606" s="10" t="str">
        <f>IFERROR(__xludf.DUMMYFUNCTION("""COMPUTED_VALUE"""),"f67dafe5-f84e-4ff8-bcb4-804dfba7b2a5")</f>
        <v>f67dafe5-f84e-4ff8-bcb4-804dfba7b2a5</v>
      </c>
    </row>
    <row r="607">
      <c r="A607" s="10" t="str">
        <f>IFERROR(__xludf.DUMMYFUNCTION("""COMPUTED_VALUE"""),"Is DevOps still relevant in a cloud-native world? ")</f>
        <v>Is DevOps still relevant in a cloud-native world? </v>
      </c>
      <c r="B607" s="10" t="str">
        <f>IFERROR(__xludf.DUMMYFUNCTION("""COMPUTED_VALUE"""),"Has DevOps become outdated with the increasing trend towards abstracting away infrastructure into platforms? Let's hear what our panel of expetrs think.")</f>
        <v>Has DevOps become outdated with the increasing trend towards abstracting away infrastructure into platforms? Let's hear what our panel of expetrs think.</v>
      </c>
      <c r="C607" s="10" t="str">
        <f>IFERROR(__xludf.DUMMYFUNCTION("""COMPUTED_VALUE"""),"FullSTK")</f>
        <v>FullSTK</v>
      </c>
      <c r="D607" s="10" t="str">
        <f>IFERROR(__xludf.DUMMYFUNCTION("""COMPUTED_VALUE"""),"Andi Mann, Rebecca Parsons and Paul Dolan")</f>
        <v>Andi Mann, Rebecca Parsons and Paul Dolan</v>
      </c>
      <c r="E607" s="10" t="str">
        <f>IFERROR(__xludf.DUMMYFUNCTION("""COMPUTED_VALUE"""),"Andi Mann,Rebecca Parsons,Paul Dolan")</f>
        <v>Andi Mann,Rebecca Parsons,Paul Dolan</v>
      </c>
      <c r="F607" s="10" t="str">
        <f>IFERROR(__xludf.DUMMYFUNCTION("""COMPUTED_VALUE"""),"2019/11/07 15:20:00")</f>
        <v>2019/11/07 15:20:00</v>
      </c>
      <c r="G607" s="10" t="str">
        <f>IFERROR(__xludf.DUMMYFUNCTION("""COMPUTED_VALUE"""),"2019/11/07 15:40:00")</f>
        <v>2019/11/07 15:40:00</v>
      </c>
      <c r="H607" s="10" t="str">
        <f>IFERROR(__xludf.DUMMYFUNCTION("""COMPUTED_VALUE"""),"4042891e-6fb6-410c-bf2f-62bcbcf561a1")</f>
        <v>4042891e-6fb6-410c-bf2f-62bcbcf561a1</v>
      </c>
      <c r="I607" s="10" t="str">
        <f>IFERROR(__xludf.DUMMYFUNCTION("""COMPUTED_VALUE"""),"4042891e-6fb6-410c-bf2f-62bcbcf561a1")</f>
        <v>4042891e-6fb6-410c-bf2f-62bcbcf561a1</v>
      </c>
    </row>
    <row r="608">
      <c r="A608" s="10" t="str">
        <f>IFERROR(__xludf.DUMMYFUNCTION("""COMPUTED_VALUE"""),"Advancing in the age of automation ")</f>
        <v>Advancing in the age of automation </v>
      </c>
      <c r="B608" s="10" t="str">
        <f>IFERROR(__xludf.DUMMYFUNCTION("""COMPUTED_VALUE"""),"Data industry veteran Gaurav Dhillon will share insights and best practices to get automation right. He’ll discuss the required technology stack to solve the most pressing enterprise challenges, how lines of business and IT must collaborate to avert one-o"&amp;"ff projects and achieve automation at scale, and share practical customer use-cases that demonstrate success. ")</f>
        <v>Data industry veteran Gaurav Dhillon will share insights and best practices to get automation right. He’ll discuss the required technology stack to solve the most pressing enterprise challenges, how lines of business and IT must collaborate to avert one-off projects and achieve automation at scale, and share practical customer use-cases that demonstrate success. </v>
      </c>
      <c r="C608" s="24" t="str">
        <f>IFERROR(__xludf.DUMMYFUNCTION("""COMPUTED_VALUE"""),"binate.io")</f>
        <v>binate.io</v>
      </c>
      <c r="D608" s="10" t="str">
        <f>IFERROR(__xludf.DUMMYFUNCTION("""COMPUTED_VALUE"""),"Gaurav Dhillon")</f>
        <v>Gaurav Dhillon</v>
      </c>
      <c r="E608" s="10" t="str">
        <f>IFERROR(__xludf.DUMMYFUNCTION("""COMPUTED_VALUE"""),"Gaurav Dhillon")</f>
        <v>Gaurav Dhillon</v>
      </c>
      <c r="F608" s="10" t="str">
        <f>IFERROR(__xludf.DUMMYFUNCTION("""COMPUTED_VALUE"""),"2019/11/06 15:25:00")</f>
        <v>2019/11/06 15:25:00</v>
      </c>
      <c r="G608" s="10" t="str">
        <f>IFERROR(__xludf.DUMMYFUNCTION("""COMPUTED_VALUE"""),"2019/11/06 15:45:00")</f>
        <v>2019/11/06 15:45:00</v>
      </c>
      <c r="H608" s="10" t="str">
        <f>IFERROR(__xludf.DUMMYFUNCTION("""COMPUTED_VALUE"""),"ce5cb8a4-44c3-435d-bb53-87dfe5cb3eda")</f>
        <v>ce5cb8a4-44c3-435d-bb53-87dfe5cb3eda</v>
      </c>
      <c r="I608" s="10" t="str">
        <f>IFERROR(__xludf.DUMMYFUNCTION("""COMPUTED_VALUE"""),"ce5cb8a4-44c3-435d-bb53-87dfe5cb3eda")</f>
        <v>ce5cb8a4-44c3-435d-bb53-87dfe5cb3eda</v>
      </c>
    </row>
    <row r="609">
      <c r="A609" s="10" t="str">
        <f>IFERROR(__xludf.DUMMYFUNCTION("""COMPUTED_VALUE"""),"Opening remarks")</f>
        <v>Opening remarks</v>
      </c>
      <c r="B609" s="10" t="str">
        <f>IFERROR(__xludf.DUMMYFUNCTION("""COMPUTED_VALUE"""),"")</f>
        <v/>
      </c>
      <c r="C609" s="10" t="str">
        <f>IFERROR(__xludf.DUMMYFUNCTION("""COMPUTED_VALUE"""),"Future Societies")</f>
        <v>Future Societies</v>
      </c>
      <c r="D609" s="10" t="str">
        <f>IFERROR(__xludf.DUMMYFUNCTION("""COMPUTED_VALUE"""),"Casper Klynge")</f>
        <v>Casper Klynge</v>
      </c>
      <c r="E609" s="10" t="str">
        <f>IFERROR(__xludf.DUMMYFUNCTION("""COMPUTED_VALUE"""),"Casper Klynge")</f>
        <v>Casper Klynge</v>
      </c>
      <c r="F609" s="10" t="str">
        <f>IFERROR(__xludf.DUMMYFUNCTION("""COMPUTED_VALUE"""),"2019/11/05 10:10:00")</f>
        <v>2019/11/05 10:10:00</v>
      </c>
      <c r="G609" s="10" t="str">
        <f>IFERROR(__xludf.DUMMYFUNCTION("""COMPUTED_VALUE"""),"2019/11/05 10:20:00")</f>
        <v>2019/11/05 10:20:00</v>
      </c>
      <c r="H609" s="10" t="str">
        <f>IFERROR(__xludf.DUMMYFUNCTION("""COMPUTED_VALUE"""),"812f199f-9fc9-4214-9191-5e4a8a78d4df")</f>
        <v>812f199f-9fc9-4214-9191-5e4a8a78d4df</v>
      </c>
      <c r="I609" s="10" t="str">
        <f>IFERROR(__xludf.DUMMYFUNCTION("""COMPUTED_VALUE"""),"812f199f-9fc9-4214-9191-5e4a8a78d4df")</f>
        <v>812f199f-9fc9-4214-9191-5e4a8a78d4df</v>
      </c>
    </row>
    <row r="610">
      <c r="A610" s="10" t="str">
        <f>IFERROR(__xludf.DUMMYFUNCTION("""COMPUTED_VALUE"""),"Can you manufacture dissent?")</f>
        <v>Can you manufacture dissent?</v>
      </c>
      <c r="B610" s="10" t="str">
        <f>IFERROR(__xludf.DUMMYFUNCTION("""COMPUTED_VALUE"""),"Fomenting dissent in non-democratic countries is never easy. Helping citizens living under authoritarian governments to seize control is both difficult and fraught with diplomatic challenges. In this session we will hear from a world leading expert in pro"&amp;"moting anti-authoritarian movements about why he thinks Europe isn't playing this particular game, and the role the United States government is playing.")</f>
        <v>Fomenting dissent in non-democratic countries is never easy. Helping citizens living under authoritarian governments to seize control is both difficult and fraught with diplomatic challenges. In this session we will hear from a world leading expert in promoting anti-authoritarian movements about why he thinks Europe isn't playing this particular game, and the role the United States government is playing.</v>
      </c>
      <c r="C610" s="10" t="str">
        <f>IFERROR(__xludf.DUMMYFUNCTION("""COMPUTED_VALUE"""),"Future Societies")</f>
        <v>Future Societies</v>
      </c>
      <c r="D610" s="10" t="str">
        <f>IFERROR(__xludf.DUMMYFUNCTION("""COMPUTED_VALUE"""),"Michael Pillsbury and Ryan Broderick")</f>
        <v>Michael Pillsbury and Ryan Broderick</v>
      </c>
      <c r="E610" s="10" t="str">
        <f>IFERROR(__xludf.DUMMYFUNCTION("""COMPUTED_VALUE"""),"Michael Pillsbury,Ryan Broderick")</f>
        <v>Michael Pillsbury,Ryan Broderick</v>
      </c>
      <c r="F610" s="10" t="str">
        <f>IFERROR(__xludf.DUMMYFUNCTION("""COMPUTED_VALUE"""),"2019/11/07 15:00:00")</f>
        <v>2019/11/07 15:00:00</v>
      </c>
      <c r="G610" s="10" t="str">
        <f>IFERROR(__xludf.DUMMYFUNCTION("""COMPUTED_VALUE"""),"2019/11/07 15:25:00")</f>
        <v>2019/11/07 15:25:00</v>
      </c>
      <c r="H610" s="10" t="str">
        <f>IFERROR(__xludf.DUMMYFUNCTION("""COMPUTED_VALUE"""),"6bcbad01-b938-4ba6-9fa9-0680d90c6015")</f>
        <v>6bcbad01-b938-4ba6-9fa9-0680d90c6015</v>
      </c>
      <c r="I610" s="10" t="str">
        <f>IFERROR(__xludf.DUMMYFUNCTION("""COMPUTED_VALUE"""),"6bcbad01-b938-4ba6-9fa9-0680d90c6015")</f>
        <v>6bcbad01-b938-4ba6-9fa9-0680d90c6015</v>
      </c>
    </row>
    <row r="611">
      <c r="A611" s="10" t="str">
        <f>IFERROR(__xludf.DUMMYFUNCTION("""COMPUTED_VALUE"""),"Influencer marketing: Lessons learned")</f>
        <v>Influencer marketing: Lessons learned</v>
      </c>
      <c r="B611" s="10" t="str">
        <f>IFERROR(__xludf.DUMMYFUNCTION("""COMPUTED_VALUE"""),"CEO and co-founder of Shoppiday, Juan Luis Rico discusses the lessons he has learned in influencer marketing in order to drive growth")</f>
        <v>CEO and co-founder of Shoppiday, Juan Luis Rico discusses the lessons he has learned in influencer marketing in order to drive growth</v>
      </c>
      <c r="C611" s="10" t="str">
        <f>IFERROR(__xludf.DUMMYFUNCTION("""COMPUTED_VALUE"""),"Growth Summit")</f>
        <v>Growth Summit</v>
      </c>
      <c r="D611" s="10" t="str">
        <f>IFERROR(__xludf.DUMMYFUNCTION("""COMPUTED_VALUE"""),"Juan Luis Rico")</f>
        <v>Juan Luis Rico</v>
      </c>
      <c r="E611" s="10" t="str">
        <f>IFERROR(__xludf.DUMMYFUNCTION("""COMPUTED_VALUE"""),"Juan Luis Rico")</f>
        <v>Juan Luis Rico</v>
      </c>
      <c r="F611" s="10" t="str">
        <f>IFERROR(__xludf.DUMMYFUNCTION("""COMPUTED_VALUE"""),"2019/11/07 10:02:00")</f>
        <v>2019/11/07 10:02:00</v>
      </c>
      <c r="G611" s="10" t="str">
        <f>IFERROR(__xludf.DUMMYFUNCTION("""COMPUTED_VALUE"""),"2019/11/07 10:06:00")</f>
        <v>2019/11/07 10:06:00</v>
      </c>
      <c r="H611" s="10" t="str">
        <f>IFERROR(__xludf.DUMMYFUNCTION("""COMPUTED_VALUE"""),"3cdb2945-e926-46ce-b334-6ec3f75ccd87")</f>
        <v>3cdb2945-e926-46ce-b334-6ec3f75ccd87</v>
      </c>
      <c r="I611" s="10" t="str">
        <f>IFERROR(__xludf.DUMMYFUNCTION("""COMPUTED_VALUE"""),"3cdb2945-e926-46ce-b334-6ec3f75ccd87")</f>
        <v>3cdb2945-e926-46ce-b334-6ec3f75ccd87</v>
      </c>
    </row>
    <row r="612">
      <c r="A612" s="10" t="str">
        <f>IFERROR(__xludf.DUMMYFUNCTION("""COMPUTED_VALUE"""),"People before profiles: Customer relationships in the age of AI")</f>
        <v>People before profiles: Customer relationships in the age of AI</v>
      </c>
      <c r="B612" s="10" t="str">
        <f>IFERROR(__xludf.DUMMYFUNCTION("""COMPUTED_VALUE"""),"In this talk, founder and CEO of integrate.ai, Steve presents an oral history of martech, pinpointing the exact moment we stopped treating our customers like people, and started seeing them as profiles. New technology like AI presents an opportunity to ge"&amp;"t back to basics, but will businesses bite? ")</f>
        <v>In this talk, founder and CEO of integrate.ai, Steve presents an oral history of martech, pinpointing the exact moment we stopped treating our customers like people, and started seeing them as profiles. New technology like AI presents an opportunity to get back to basics, but will businesses bite? </v>
      </c>
      <c r="C612" s="10" t="str">
        <f>IFERROR(__xludf.DUMMYFUNCTION("""COMPUTED_VALUE"""),"Growth Summit")</f>
        <v>Growth Summit</v>
      </c>
      <c r="D612" s="10" t="str">
        <f>IFERROR(__xludf.DUMMYFUNCTION("""COMPUTED_VALUE"""),"Steve Irvine")</f>
        <v>Steve Irvine</v>
      </c>
      <c r="E612" s="10" t="str">
        <f>IFERROR(__xludf.DUMMYFUNCTION("""COMPUTED_VALUE"""),"Steve Irvine")</f>
        <v>Steve Irvine</v>
      </c>
      <c r="F612" s="10" t="str">
        <f>IFERROR(__xludf.DUMMYFUNCTION("""COMPUTED_VALUE"""),"2019/11/05 13:36:00")</f>
        <v>2019/11/05 13:36:00</v>
      </c>
      <c r="G612" s="10" t="str">
        <f>IFERROR(__xludf.DUMMYFUNCTION("""COMPUTED_VALUE"""),"2019/11/05 13:47:00")</f>
        <v>2019/11/05 13:47:00</v>
      </c>
      <c r="H612" s="10" t="str">
        <f>IFERROR(__xludf.DUMMYFUNCTION("""COMPUTED_VALUE"""),"b5b6a05c-8350-4d50-9275-01fdcc9371ee")</f>
        <v>b5b6a05c-8350-4d50-9275-01fdcc9371ee</v>
      </c>
      <c r="I612" s="10" t="str">
        <f>IFERROR(__xludf.DUMMYFUNCTION("""COMPUTED_VALUE"""),"b5b6a05c-8350-4d50-9275-01fdcc9371ee")</f>
        <v>b5b6a05c-8350-4d50-9275-01fdcc9371ee</v>
      </c>
    </row>
    <row r="613">
      <c r="A613" s="10" t="str">
        <f>IFERROR(__xludf.DUMMYFUNCTION("""COMPUTED_VALUE"""),"PITCH ground round 5")</f>
        <v>PITCH ground round 5</v>
      </c>
      <c r="B613" s="10" t="str">
        <f>IFERROR(__xludf.DUMMYFUNCTION("""COMPUTED_VALUE"""),"")</f>
        <v/>
      </c>
      <c r="C613" s="10" t="str">
        <f>IFERROR(__xludf.DUMMYFUNCTION("""COMPUTED_VALUE"""),"")</f>
        <v/>
      </c>
      <c r="D613" s="10" t="str">
        <f>IFERROR(__xludf.DUMMYFUNCTION("""COMPUTED_VALUE"""),"Juan Pablo Ortega,  Harry Briggs,  Paddy Dillon,  Jordan Fliegel,  Daniel Reis,  Miguel Teixeira,  Jony Jung,  Michal Kiezik,  Paulo Ferreira dos Santos,  Peter Horvath and  JuanMiguel Perez Rosas and Brennan Basnicki")</f>
        <v>Juan Pablo Ortega,  Harry Briggs,  Paddy Dillon,  Jordan Fliegel,  Daniel Reis,  Miguel Teixeira,  Jony Jung,  Michal Kiezik,  Paulo Ferreira dos Santos,  Peter Horvath and  JuanMiguel Perez Rosas and Brennan Basnicki</v>
      </c>
      <c r="E613" s="10" t="str">
        <f>IFERROR(__xludf.DUMMYFUNCTION("""COMPUTED_VALUE"""),"Juan Pablo Ortega, Harry Briggs, Paddy Dillon, Jordan Fliegel, Daniel Reis, Miguel Teixeira, Jony Jung, Michal Kiezik, Paulo Ferreira dos Santos, Peter Horvath, JuanMiguel Perez Rosas and Brennan Basnicki")</f>
        <v>Juan Pablo Ortega, Harry Briggs, Paddy Dillon, Jordan Fliegel, Daniel Reis, Miguel Teixeira, Jony Jung, Michal Kiezik, Paulo Ferreira dos Santos, Peter Horvath, JuanMiguel Perez Rosas and Brennan Basnicki</v>
      </c>
      <c r="F613" s="10" t="str">
        <f>IFERROR(__xludf.DUMMYFUNCTION("""COMPUTED_VALUE"""),"")</f>
        <v/>
      </c>
      <c r="G613" s="10" t="str">
        <f>IFERROR(__xludf.DUMMYFUNCTION("""COMPUTED_VALUE"""),"")</f>
        <v/>
      </c>
      <c r="H613" s="10" t="str">
        <f>IFERROR(__xludf.DUMMYFUNCTION("""COMPUTED_VALUE"""),"1b6c4eee-9a03-5a0c-abcf-c8f3235f0480")</f>
        <v>1b6c4eee-9a03-5a0c-abcf-c8f3235f0480</v>
      </c>
      <c r="I613" s="10" t="str">
        <f>IFERROR(__xludf.DUMMYFUNCTION("""COMPUTED_VALUE"""),"1b6c4eee-9a03-5a0c-abcf-c8f3235f0480")</f>
        <v>1b6c4eee-9a03-5a0c-abcf-c8f3235f0480</v>
      </c>
    </row>
    <row r="614">
      <c r="A614" s="10" t="str">
        <f>IFERROR(__xludf.DUMMYFUNCTION("""COMPUTED_VALUE"""),"Opening remarks")</f>
        <v>Opening remarks</v>
      </c>
      <c r="B614" s="10" t="str">
        <f>IFERROR(__xludf.DUMMYFUNCTION("""COMPUTED_VALUE"""),"")</f>
        <v/>
      </c>
      <c r="C614" s="10" t="str">
        <f>IFERROR(__xludf.DUMMYFUNCTION("""COMPUTED_VALUE"""),"Future Societies")</f>
        <v>Future Societies</v>
      </c>
      <c r="D614" s="10" t="str">
        <f>IFERROR(__xludf.DUMMYFUNCTION("""COMPUTED_VALUE"""),"Andrew Chakhoyan")</f>
        <v>Andrew Chakhoyan</v>
      </c>
      <c r="E614" s="10" t="str">
        <f>IFERROR(__xludf.DUMMYFUNCTION("""COMPUTED_VALUE"""),"Andrew Chakhoyan")</f>
        <v>Andrew Chakhoyan</v>
      </c>
      <c r="F614" s="10" t="str">
        <f>IFERROR(__xludf.DUMMYFUNCTION("""COMPUTED_VALUE"""),"2019/11/07 10:15:00")</f>
        <v>2019/11/07 10:15:00</v>
      </c>
      <c r="G614" s="10" t="str">
        <f>IFERROR(__xludf.DUMMYFUNCTION("""COMPUTED_VALUE"""),"2019/11/07 10:30:00")</f>
        <v>2019/11/07 10:30:00</v>
      </c>
      <c r="H614" s="10" t="str">
        <f>IFERROR(__xludf.DUMMYFUNCTION("""COMPUTED_VALUE"""),"d2baa87c-23eb-4849-8534-ee749c8e0952")</f>
        <v>d2baa87c-23eb-4849-8534-ee749c8e0952</v>
      </c>
      <c r="I614" s="10" t="str">
        <f>IFERROR(__xludf.DUMMYFUNCTION("""COMPUTED_VALUE"""),"d2baa87c-23eb-4849-8534-ee749c8e0952")</f>
        <v>d2baa87c-23eb-4849-8534-ee749c8e0952</v>
      </c>
    </row>
    <row r="615">
      <c r="A615" s="10" t="str">
        <f>IFERROR(__xludf.DUMMYFUNCTION("""COMPUTED_VALUE"""),"Opening remarks")</f>
        <v>Opening remarks</v>
      </c>
      <c r="B615" s="10" t="str">
        <f>IFERROR(__xludf.DUMMYFUNCTION("""COMPUTED_VALUE"""),"")</f>
        <v/>
      </c>
      <c r="C615" s="10" t="str">
        <f>IFERROR(__xludf.DUMMYFUNCTION("""COMPUTED_VALUE"""),"SportsTrade")</f>
        <v>SportsTrade</v>
      </c>
      <c r="D615" s="10" t="str">
        <f>IFERROR(__xludf.DUMMYFUNCTION("""COMPUTED_VALUE"""),"Nuno Gomes")</f>
        <v>Nuno Gomes</v>
      </c>
      <c r="E615" s="10" t="str">
        <f>IFERROR(__xludf.DUMMYFUNCTION("""COMPUTED_VALUE"""),"Nuno Gomes")</f>
        <v>Nuno Gomes</v>
      </c>
      <c r="F615" s="10" t="str">
        <f>IFERROR(__xludf.DUMMYFUNCTION("""COMPUTED_VALUE"""),"2019/11/05 10:25:00")</f>
        <v>2019/11/05 10:25:00</v>
      </c>
      <c r="G615" s="10" t="str">
        <f>IFERROR(__xludf.DUMMYFUNCTION("""COMPUTED_VALUE"""),"2019/11/05 10:30:00")</f>
        <v>2019/11/05 10:30:00</v>
      </c>
      <c r="H615" s="10" t="str">
        <f>IFERROR(__xludf.DUMMYFUNCTION("""COMPUTED_VALUE"""),"c5a3397c-cd6a-4900-90a7-f17132c97a77")</f>
        <v>c5a3397c-cd6a-4900-90a7-f17132c97a77</v>
      </c>
      <c r="I615" s="10" t="str">
        <f>IFERROR(__xludf.DUMMYFUNCTION("""COMPUTED_VALUE"""),"c5a3397c-cd6a-4900-90a7-f17132c97a77")</f>
        <v>c5a3397c-cd6a-4900-90a7-f17132c97a77</v>
      </c>
    </row>
    <row r="616">
      <c r="A616" s="10" t="str">
        <f>IFERROR(__xludf.DUMMYFUNCTION("""COMPUTED_VALUE"""),"Back to the future with cloud")</f>
        <v>Back to the future with cloud</v>
      </c>
      <c r="B616" s="10" t="str">
        <f>IFERROR(__xludf.DUMMYFUNCTION("""COMPUTED_VALUE"""),"Businesses agree there is an abundance of opportunities  in digital transformation. Yet, as they welcome new technologies, they often keep old structures and practices in place that hold them back. In 2010 SAP embraced cloud to offer customers choice in h"&amp;"ow they consume SAP’s software.  As the world’s largest enterprise software company, with its software playing a role in up to 77% of global transactions, the company embarked on one of the most comprehensive and complex digital transformation journeys th"&amp;"e industry has seen. The results have been significant: the revenue, profit and the number of employees have more than doubled since 2010 and by 2023, SAP projects that it will approach the 80% mark for its predictable revenue.  But, it all started with t"&amp;"he commitment to re-invent the traditional business model with the customer at the centre, and re-imagine the company culture.")</f>
        <v>Businesses agree there is an abundance of opportunities  in digital transformation. Yet, as they welcome new technologies, they often keep old structures and practices in place that hold them back. In 2010 SAP embraced cloud to offer customers choice in how they consume SAP’s software.  As the world’s largest enterprise software company, with its software playing a role in up to 77% of global transactions, the company embarked on one of the most comprehensive and complex digital transformation journeys the industry has seen. The results have been significant: the revenue, profit and the number of employees have more than doubled since 2010 and by 2023, SAP projects that it will approach the 80% mark for its predictable revenue.  But, it all started with the commitment to re-invent the traditional business model with the customer at the centre, and re-imagine the company culture.</v>
      </c>
      <c r="C616" s="10" t="str">
        <f>IFERROR(__xludf.DUMMYFUNCTION("""COMPUTED_VALUE"""),"SaaS Monster")</f>
        <v>SaaS Monster</v>
      </c>
      <c r="D616" s="10" t="str">
        <f>IFERROR(__xludf.DUMMYFUNCTION("""COMPUTED_VALUE"""),"Adaire Fox-Martin")</f>
        <v>Adaire Fox-Martin</v>
      </c>
      <c r="E616" s="10" t="str">
        <f>IFERROR(__xludf.DUMMYFUNCTION("""COMPUTED_VALUE"""),"Adaire Fox-Martin")</f>
        <v>Adaire Fox-Martin</v>
      </c>
      <c r="F616" s="10" t="str">
        <f>IFERROR(__xludf.DUMMYFUNCTION("""COMPUTED_VALUE"""),"2019/11/05 10:30:00")</f>
        <v>2019/11/05 10:30:00</v>
      </c>
      <c r="G616" s="10" t="str">
        <f>IFERROR(__xludf.DUMMYFUNCTION("""COMPUTED_VALUE"""),"2019/11/05 10:50:00")</f>
        <v>2019/11/05 10:50:00</v>
      </c>
      <c r="H616" s="10" t="str">
        <f>IFERROR(__xludf.DUMMYFUNCTION("""COMPUTED_VALUE"""),"52d1fcf0-7511-4479-9b2f-84624a820b06")</f>
        <v>52d1fcf0-7511-4479-9b2f-84624a820b06</v>
      </c>
      <c r="I616" s="10" t="str">
        <f>IFERROR(__xludf.DUMMYFUNCTION("""COMPUTED_VALUE"""),"52d1fcf0-7511-4479-9b2f-84624a820b06")</f>
        <v>52d1fcf0-7511-4479-9b2f-84624a820b06</v>
      </c>
    </row>
    <row r="617">
      <c r="A617" s="10" t="str">
        <f>IFERROR(__xludf.DUMMYFUNCTION("""COMPUTED_VALUE"""),"What they don't tell you about raising rounds ")</f>
        <v>What they don't tell you about raising rounds </v>
      </c>
      <c r="B617" s="10" t="str">
        <f>IFERROR(__xludf.DUMMYFUNCTION("""COMPUTED_VALUE"""),"In this session the founder of Toptal draws on his personal story to talk about going against the trend of raising funds to scale your company, and the ups and downs of bootstrapping your startup.")</f>
        <v>In this session the founder of Toptal draws on his personal story to talk about going against the trend of raising funds to scale your company, and the ups and downs of bootstrapping your startup.</v>
      </c>
      <c r="C617" s="10" t="str">
        <f>IFERROR(__xludf.DUMMYFUNCTION("""COMPUTED_VALUE"""),"Startup University")</f>
        <v>Startup University</v>
      </c>
      <c r="D617" s="10" t="str">
        <f>IFERROR(__xludf.DUMMYFUNCTION("""COMPUTED_VALUE"""),"Taso Du Val and Mark Little")</f>
        <v>Taso Du Val and Mark Little</v>
      </c>
      <c r="E617" s="10" t="str">
        <f>IFERROR(__xludf.DUMMYFUNCTION("""COMPUTED_VALUE"""),"Taso Du Val,Mark Little")</f>
        <v>Taso Du Val,Mark Little</v>
      </c>
      <c r="F617" s="10" t="str">
        <f>IFERROR(__xludf.DUMMYFUNCTION("""COMPUTED_VALUE"""),"2019/11/05 14:20:00")</f>
        <v>2019/11/05 14:20:00</v>
      </c>
      <c r="G617" s="10" t="str">
        <f>IFERROR(__xludf.DUMMYFUNCTION("""COMPUTED_VALUE"""),"2019/11/05 14:40:00")</f>
        <v>2019/11/05 14:40:00</v>
      </c>
      <c r="H617" s="10" t="str">
        <f>IFERROR(__xludf.DUMMYFUNCTION("""COMPUTED_VALUE"""),"51f3c8e8-a930-48f5-88a4-2dbd760b2d90")</f>
        <v>51f3c8e8-a930-48f5-88a4-2dbd760b2d90</v>
      </c>
      <c r="I617" s="10" t="str">
        <f>IFERROR(__xludf.DUMMYFUNCTION("""COMPUTED_VALUE"""),"51f3c8e8-a930-48f5-88a4-2dbd760b2d90")</f>
        <v>51f3c8e8-a930-48f5-88a4-2dbd760b2d90</v>
      </c>
    </row>
    <row r="618">
      <c r="A618" s="10" t="str">
        <f>IFERROR(__xludf.DUMMYFUNCTION("""COMPUTED_VALUE"""),"Making sense of machine learning for your organisation")</f>
        <v>Making sense of machine learning for your organisation</v>
      </c>
      <c r="B618" s="10" t="str">
        <f>IFERROR(__xludf.DUMMYFUNCTION("""COMPUTED_VALUE"""),"Machine learning (ML) helps your organisation leverage data by providing immense value across almost every part of the stack, but where do you begin? Common questions include how can it help me, what do I need to know, and how do I get started? In this se"&amp;"ssion, we'll lay out the groundwork by reviewing the basics of ML applications, followed by exploring the different services available on AWS. We'll review the pros and cons of different methodologies. You'll leave this session with questions that you can"&amp;" take back to your team to help you decide which methodology is best for you.")</f>
        <v>Machine learning (ML) helps your organisation leverage data by providing immense value across almost every part of the stack, but where do you begin? Common questions include how can it help me, what do I need to know, and how do I get started? In this session, we'll lay out the groundwork by reviewing the basics of ML applications, followed by exploring the different services available on AWS. We'll review the pros and cons of different methodologies. You'll leave this session with questions that you can take back to your team to help you decide which methodology is best for you.</v>
      </c>
      <c r="C618" s="10" t="str">
        <f>IFERROR(__xludf.DUMMYFUNCTION("""COMPUTED_VALUE"""),"AWS Developer Workshops")</f>
        <v>AWS Developer Workshops</v>
      </c>
      <c r="D618" s="10" t="str">
        <f>IFERROR(__xludf.DUMMYFUNCTION("""COMPUTED_VALUE"""),"")</f>
        <v/>
      </c>
      <c r="E618" s="10" t="str">
        <f>IFERROR(__xludf.DUMMYFUNCTION("""COMPUTED_VALUE"""),"")</f>
        <v/>
      </c>
      <c r="F618" s="10" t="str">
        <f>IFERROR(__xludf.DUMMYFUNCTION("""COMPUTED_VALUE"""),"2019/11/05 15:00:00")</f>
        <v>2019/11/05 15:00:00</v>
      </c>
      <c r="G618" s="10" t="str">
        <f>IFERROR(__xludf.DUMMYFUNCTION("""COMPUTED_VALUE"""),"2019/11/05 15:50:00")</f>
        <v>2019/11/05 15:50:00</v>
      </c>
      <c r="H618" s="10" t="str">
        <f>IFERROR(__xludf.DUMMYFUNCTION("""COMPUTED_VALUE"""),"ba0b2338-3915-419e-8572-e823547d1888")</f>
        <v>ba0b2338-3915-419e-8572-e823547d1888</v>
      </c>
      <c r="I618" s="10" t="str">
        <f>IFERROR(__xludf.DUMMYFUNCTION("""COMPUTED_VALUE"""),"ba0b2338-3915-419e-8572-e823547d1888")</f>
        <v>ba0b2338-3915-419e-8572-e823547d1888</v>
      </c>
    </row>
    <row r="619">
      <c r="A619" s="10" t="str">
        <f>IFERROR(__xludf.DUMMYFUNCTION("""COMPUTED_VALUE"""),"The 2020 marketing playbook ")</f>
        <v>The 2020 marketing playbook </v>
      </c>
      <c r="B619" s="10" t="str">
        <f>IFERROR(__xludf.DUMMYFUNCTION("""COMPUTED_VALUE"""),"To be a successful marketer in 2020, you need to have your head in the game. David Meltzer will give you the key moves you need in your marketing playbook.")</f>
        <v>To be a successful marketer in 2020, you need to have your head in the game. David Meltzer will give you the key moves you need in your marketing playbook.</v>
      </c>
      <c r="C619" s="10" t="str">
        <f>IFERROR(__xludf.DUMMYFUNCTION("""COMPUTED_VALUE"""),"PandaConf")</f>
        <v>PandaConf</v>
      </c>
      <c r="D619" s="10" t="str">
        <f>IFERROR(__xludf.DUMMYFUNCTION("""COMPUTED_VALUE"""),"David Meltzer")</f>
        <v>David Meltzer</v>
      </c>
      <c r="E619" s="10" t="str">
        <f>IFERROR(__xludf.DUMMYFUNCTION("""COMPUTED_VALUE"""),"David Meltzer")</f>
        <v>David Meltzer</v>
      </c>
      <c r="F619" s="10" t="str">
        <f>IFERROR(__xludf.DUMMYFUNCTION("""COMPUTED_VALUE"""),"2019/11/06 10:50:00")</f>
        <v>2019/11/06 10:50:00</v>
      </c>
      <c r="G619" s="10" t="str">
        <f>IFERROR(__xludf.DUMMYFUNCTION("""COMPUTED_VALUE"""),"2019/11/06 11:00:00")</f>
        <v>2019/11/06 11:00:00</v>
      </c>
      <c r="H619" s="10" t="str">
        <f>IFERROR(__xludf.DUMMYFUNCTION("""COMPUTED_VALUE"""),"a3e6df10-bf0c-4bb6-bc64-445c0756285c")</f>
        <v>a3e6df10-bf0c-4bb6-bc64-445c0756285c</v>
      </c>
      <c r="I619" s="10" t="str">
        <f>IFERROR(__xludf.DUMMYFUNCTION("""COMPUTED_VALUE"""),"a3e6df10-bf0c-4bb6-bc64-445c0756285c")</f>
        <v>a3e6df10-bf0c-4bb6-bc64-445c0756285c</v>
      </c>
    </row>
    <row r="620">
      <c r="A620" s="10" t="str">
        <f>IFERROR(__xludf.DUMMYFUNCTION("""COMPUTED_VALUE"""),"Mastercard's leadership in responsible technology")</f>
        <v>Mastercard's leadership in responsible technology</v>
      </c>
      <c r="B620" s="10" t="str">
        <f>IFERROR(__xludf.DUMMYFUNCTION("""COMPUTED_VALUE"""),"Responsible technology – new and emerging technologies like AI, biometrics and cyber stand to perform an unprecedented and positive role for society. But for them to be successful, public, government and industry trust is essential.  How, then, can an env"&amp;"ironment be created and sustained, that strikes the right balance between enabling technology development to continue to keep pace with user demand, while ensuring the right guardrails are in place, so we can all build and maintain trust in them?")</f>
        <v>Responsible technology – new and emerging technologies like AI, biometrics and cyber stand to perform an unprecedented and positive role for society. But for them to be successful, public, government and industry trust is essential.  How, then, can an environment be created and sustained, that strikes the right balance between enabling technology development to continue to keep pace with user demand, while ensuring the right guardrails are in place, so we can all build and maintain trust in them?</v>
      </c>
      <c r="C620" s="10" t="str">
        <f>IFERROR(__xludf.DUMMYFUNCTION("""COMPUTED_VALUE"""),"Corporate Innovation Summit")</f>
        <v>Corporate Innovation Summit</v>
      </c>
      <c r="D620" s="10" t="str">
        <f>IFERROR(__xludf.DUMMYFUNCTION("""COMPUTED_VALUE"""),"Ajay Bhalla and Jeremy Kahn")</f>
        <v>Ajay Bhalla and Jeremy Kahn</v>
      </c>
      <c r="E620" s="10" t="str">
        <f>IFERROR(__xludf.DUMMYFUNCTION("""COMPUTED_VALUE"""),"Ajay Bhalla,Jeremy Kahn")</f>
        <v>Ajay Bhalla,Jeremy Kahn</v>
      </c>
      <c r="F620" s="10" t="str">
        <f>IFERROR(__xludf.DUMMYFUNCTION("""COMPUTED_VALUE"""),"2019/11/06 14:40:00")</f>
        <v>2019/11/06 14:40:00</v>
      </c>
      <c r="G620" s="10" t="str">
        <f>IFERROR(__xludf.DUMMYFUNCTION("""COMPUTED_VALUE"""),"2019/11/06 15:00:00")</f>
        <v>2019/11/06 15:00:00</v>
      </c>
      <c r="H620" s="10" t="str">
        <f>IFERROR(__xludf.DUMMYFUNCTION("""COMPUTED_VALUE"""),"3ff9efcf-7f8b-4346-81eb-8d4e9ef580de")</f>
        <v>3ff9efcf-7f8b-4346-81eb-8d4e9ef580de</v>
      </c>
      <c r="I620" s="10" t="str">
        <f>IFERROR(__xludf.DUMMYFUNCTION("""COMPUTED_VALUE"""),"3ff9efcf-7f8b-4346-81eb-8d4e9ef580de")</f>
        <v>3ff9efcf-7f8b-4346-81eb-8d4e9ef580de</v>
      </c>
    </row>
    <row r="621">
      <c r="A621" s="10" t="str">
        <f>IFERROR(__xludf.DUMMYFUNCTION("""COMPUTED_VALUE"""),"PITCH quarterfinal 2")</f>
        <v>PITCH quarterfinal 2</v>
      </c>
      <c r="B621" s="10" t="str">
        <f>IFERROR(__xludf.DUMMYFUNCTION("""COMPUTED_VALUE"""),"")</f>
        <v/>
      </c>
      <c r="C621" s="10" t="str">
        <f>IFERROR(__xludf.DUMMYFUNCTION("""COMPUTED_VALUE"""),"PITCH 3")</f>
        <v>PITCH 3</v>
      </c>
      <c r="D621" s="10" t="str">
        <f>IFERROR(__xludf.DUMMYFUNCTION("""COMPUTED_VALUE"""),"Tahira Rehmatullah, Jean-Marc Patouillaud, Ajay Ramachandran, Brendan Yell, Jacqueline van den Ende and Ulli Waltinger")</f>
        <v>Tahira Rehmatullah, Jean-Marc Patouillaud, Ajay Ramachandran, Brendan Yell, Jacqueline van den Ende and Ulli Waltinger</v>
      </c>
      <c r="E621" s="10" t="str">
        <f>IFERROR(__xludf.DUMMYFUNCTION("""COMPUTED_VALUE"""),"Tahira Rehmatullah,Jean-Marc Patouillaud,Ajay Ramachandran,Brendan Yell,Jacqueline van den Ende,Ulli Waltinger")</f>
        <v>Tahira Rehmatullah,Jean-Marc Patouillaud,Ajay Ramachandran,Brendan Yell,Jacqueline van den Ende,Ulli Waltinger</v>
      </c>
      <c r="F621" s="10" t="str">
        <f>IFERROR(__xludf.DUMMYFUNCTION("""COMPUTED_VALUE"""),"2019/11/05 16:15:00")</f>
        <v>2019/11/05 16:15:00</v>
      </c>
      <c r="G621" s="10" t="str">
        <f>IFERROR(__xludf.DUMMYFUNCTION("""COMPUTED_VALUE"""),"2019/11/05 17:30:00")</f>
        <v>2019/11/05 17:30:00</v>
      </c>
      <c r="H621" s="10" t="str">
        <f>IFERROR(__xludf.DUMMYFUNCTION("""COMPUTED_VALUE"""),"64889f92-b8d1-4d50-8db0-91724fd1690f")</f>
        <v>64889f92-b8d1-4d50-8db0-91724fd1690f</v>
      </c>
      <c r="I621" s="10" t="str">
        <f>IFERROR(__xludf.DUMMYFUNCTION("""COMPUTED_VALUE"""),"64889f92-b8d1-4d50-8db0-91724fd1690f")</f>
        <v>64889f92-b8d1-4d50-8db0-91724fd1690f</v>
      </c>
    </row>
    <row r="622">
      <c r="A622" s="10" t="str">
        <f>IFERROR(__xludf.DUMMYFUNCTION("""COMPUTED_VALUE"""),"Building a FinTech that’s changing the game")</f>
        <v>Building a FinTech that’s changing the game</v>
      </c>
      <c r="B622" s="10" t="str">
        <f>IFERROR(__xludf.DUMMYFUNCTION("""COMPUTED_VALUE"""),"Bitpanda’s CEO Eric Demuth will talk about how the company solved one of the industry’s biggest challenges: making investing as safe and easy as possible. Eric will share the company’s growth insights: how to create products with a positive revenue stream"&amp;" that can actually scale, and Bitpanda’s impact on the financial industry - empowering everyone to invest in their future.
")</f>
        <v>Bitpanda’s CEO Eric Demuth will talk about how the company solved one of the industry’s biggest challenges: making investing as safe and easy as possible. Eric will share the company’s growth insights: how to create products with a positive revenue stream that can actually scale, and Bitpanda’s impact on the financial industry - empowering everyone to invest in their future.
</v>
      </c>
      <c r="C622" s="10" t="str">
        <f>IFERROR(__xludf.DUMMYFUNCTION("""COMPUTED_VALUE"""),"Growth Summit")</f>
        <v>Growth Summit</v>
      </c>
      <c r="D622" s="10" t="str">
        <f>IFERROR(__xludf.DUMMYFUNCTION("""COMPUTED_VALUE"""),"Eric Demuth")</f>
        <v>Eric Demuth</v>
      </c>
      <c r="E622" s="10" t="str">
        <f>IFERROR(__xludf.DUMMYFUNCTION("""COMPUTED_VALUE"""),"Eric Demuth")</f>
        <v>Eric Demuth</v>
      </c>
      <c r="F622" s="10" t="str">
        <f>IFERROR(__xludf.DUMMYFUNCTION("""COMPUTED_VALUE"""),"2019/11/05 12:30:00")</f>
        <v>2019/11/05 12:30:00</v>
      </c>
      <c r="G622" s="10" t="str">
        <f>IFERROR(__xludf.DUMMYFUNCTION("""COMPUTED_VALUE"""),"2019/11/05 12:41:00")</f>
        <v>2019/11/05 12:41:00</v>
      </c>
      <c r="H622" s="10" t="str">
        <f>IFERROR(__xludf.DUMMYFUNCTION("""COMPUTED_VALUE"""),"b5074e1d-20df-436b-ba78-34da6561777f")</f>
        <v>b5074e1d-20df-436b-ba78-34da6561777f</v>
      </c>
      <c r="I622" s="10" t="str">
        <f>IFERROR(__xludf.DUMMYFUNCTION("""COMPUTED_VALUE"""),"b5074e1d-20df-436b-ba78-34da6561777f")</f>
        <v>b5074e1d-20df-436b-ba78-34da6561777f</v>
      </c>
    </row>
    <row r="623">
      <c r="A623" s="10" t="str">
        <f>IFERROR(__xludf.DUMMYFUNCTION("""COMPUTED_VALUE"""),"Digital skills, your future, hosted by European Commission")</f>
        <v>Digital skills, your future, hosted by European Commission</v>
      </c>
      <c r="B623" s="10" t="str">
        <f>IFERROR(__xludf.DUMMYFUNCTION("""COMPUTED_VALUE"""),"Europe is facing a large digital skills gap. There are around 1 million vacancies for digital experts and this figure is set to increase in the future. All over Europe, 35% of workers do not have even basic digital skills. This is significantly impacting "&amp;"EU businesses. People need to be trained and re-trained for the digital transformation. In this workshop you will learn from companies who have tackled this challenge and who are committed to invest in people and Europe’s future.")</f>
        <v>Europe is facing a large digital skills gap. There are around 1 million vacancies for digital experts and this figure is set to increase in the future. All over Europe, 35% of workers do not have even basic digital skills. This is significantly impacting EU businesses. People need to be trained and re-trained for the digital transformation. In this workshop you will learn from companies who have tackled this challenge and who are committed to invest in people and Europe’s future.</v>
      </c>
      <c r="C623" s="10" t="str">
        <f>IFERROR(__xludf.DUMMYFUNCTION("""COMPUTED_VALUE"""),"Workshop 2")</f>
        <v>Workshop 2</v>
      </c>
      <c r="D623" s="10" t="str">
        <f>IFERROR(__xludf.DUMMYFUNCTION("""COMPUTED_VALUE"""),"François Lhemery, Gaia Spinella, Marcel Salathé and Ana Rodrigues")</f>
        <v>François Lhemery, Gaia Spinella, Marcel Salathé and Ana Rodrigues</v>
      </c>
      <c r="E623" s="10" t="str">
        <f>IFERROR(__xludf.DUMMYFUNCTION("""COMPUTED_VALUE"""),"François Lhemery,Gaia Spinella,Marcel Salathé,Ana Rodrigues")</f>
        <v>François Lhemery,Gaia Spinella,Marcel Salathé,Ana Rodrigues</v>
      </c>
      <c r="F623" s="10" t="str">
        <f>IFERROR(__xludf.DUMMYFUNCTION("""COMPUTED_VALUE"""),"2019/11/05 10:00:00")</f>
        <v>2019/11/05 10:00:00</v>
      </c>
      <c r="G623" s="10" t="str">
        <f>IFERROR(__xludf.DUMMYFUNCTION("""COMPUTED_VALUE"""),"2019/11/05 10:45:00")</f>
        <v>2019/11/05 10:45:00</v>
      </c>
      <c r="H623" s="10" t="str">
        <f>IFERROR(__xludf.DUMMYFUNCTION("""COMPUTED_VALUE"""),"b4e8eb0f-cf25-4278-b21b-e583dad7d1d9")</f>
        <v>b4e8eb0f-cf25-4278-b21b-e583dad7d1d9</v>
      </c>
      <c r="I623" s="10" t="str">
        <f>IFERROR(__xludf.DUMMYFUNCTION("""COMPUTED_VALUE"""),"b4e8eb0f-cf25-4278-b21b-e583dad7d1d9")</f>
        <v>b4e8eb0f-cf25-4278-b21b-e583dad7d1d9</v>
      </c>
    </row>
    <row r="624">
      <c r="A624" s="10" t="str">
        <f>IFERROR(__xludf.DUMMYFUNCTION("""COMPUTED_VALUE"""),"How your home affects your health")</f>
        <v>How your home affects your health</v>
      </c>
      <c r="B624" s="10" t="str">
        <f>IFERROR(__xludf.DUMMYFUNCTION("""COMPUTED_VALUE"""),"Forget smart houses. 'Wellness homes' are the future; homes that monitor and calibrate air, water and light quality, to enhance the health and well-being of those inside. Delos founder Paul Scialla shares the story of wellness real estate and how technolo"&amp;"gy is transforming how we think about the places where we spend our time.
")</f>
        <v>Forget smart houses. 'Wellness homes' are the future; homes that monitor and calibrate air, water and light quality, to enhance the health and well-being of those inside. Delos founder Paul Scialla shares the story of wellness real estate and how technology is transforming how we think about the places where we spend our time.
</v>
      </c>
      <c r="C624" s="10" t="str">
        <f>IFERROR(__xludf.DUMMYFUNCTION("""COMPUTED_VALUE"""),"HealthConf")</f>
        <v>HealthConf</v>
      </c>
      <c r="D624" s="10" t="str">
        <f>IFERROR(__xludf.DUMMYFUNCTION("""COMPUTED_VALUE"""),"Paul Scialla")</f>
        <v>Paul Scialla</v>
      </c>
      <c r="E624" s="10" t="str">
        <f>IFERROR(__xludf.DUMMYFUNCTION("""COMPUTED_VALUE"""),"Paul Scialla")</f>
        <v>Paul Scialla</v>
      </c>
      <c r="F624" s="10" t="str">
        <f>IFERROR(__xludf.DUMMYFUNCTION("""COMPUTED_VALUE"""),"2019/11/07 11:05:00")</f>
        <v>2019/11/07 11:05:00</v>
      </c>
      <c r="G624" s="10" t="str">
        <f>IFERROR(__xludf.DUMMYFUNCTION("""COMPUTED_VALUE"""),"2019/11/07 11:20:00")</f>
        <v>2019/11/07 11:20:00</v>
      </c>
      <c r="H624" s="10" t="str">
        <f>IFERROR(__xludf.DUMMYFUNCTION("""COMPUTED_VALUE"""),"697c2c27-066d-4e4c-ac57-87f831829d51")</f>
        <v>697c2c27-066d-4e4c-ac57-87f831829d51</v>
      </c>
      <c r="I624" s="10" t="str">
        <f>IFERROR(__xludf.DUMMYFUNCTION("""COMPUTED_VALUE"""),"697c2c27-066d-4e4c-ac57-87f831829d51")</f>
        <v>697c2c27-066d-4e4c-ac57-87f831829d51</v>
      </c>
    </row>
    <row r="625">
      <c r="A625" s="10" t="str">
        <f>IFERROR(__xludf.DUMMYFUNCTION("""COMPUTED_VALUE"""),"What is driving innovation?")</f>
        <v>What is driving innovation?</v>
      </c>
      <c r="B625" s="10" t="str">
        <f>IFERROR(__xludf.DUMMYFUNCTION("""COMPUTED_VALUE"""),"Millennials don't want to buy cars anymore, let alone drive themselves. So just what do millennials want when it comes to transportation? ")</f>
        <v>Millennials don't want to buy cars anymore, let alone drive themselves. So just what do millennials want when it comes to transportation? </v>
      </c>
      <c r="C625" s="10" t="str">
        <f>IFERROR(__xludf.DUMMYFUNCTION("""COMPUTED_VALUE"""),"Auto/Tech &amp; TalkRobot")</f>
        <v>Auto/Tech &amp; TalkRobot</v>
      </c>
      <c r="D625" s="10" t="str">
        <f>IFERROR(__xludf.DUMMYFUNCTION("""COMPUTED_VALUE"""),"Teemu Moisala, Alain Visser, Felix Leuschner and Jim Motavalli")</f>
        <v>Teemu Moisala, Alain Visser, Felix Leuschner and Jim Motavalli</v>
      </c>
      <c r="E625" s="10" t="str">
        <f>IFERROR(__xludf.DUMMYFUNCTION("""COMPUTED_VALUE"""),"Teemu Moisala,Alain Visser,Felix Leuschner,Jim Motavalli")</f>
        <v>Teemu Moisala,Alain Visser,Felix Leuschner,Jim Motavalli</v>
      </c>
      <c r="F625" s="10" t="str">
        <f>IFERROR(__xludf.DUMMYFUNCTION("""COMPUTED_VALUE"""),"2019/11/07 11:15:00")</f>
        <v>2019/11/07 11:15:00</v>
      </c>
      <c r="G625" s="10" t="str">
        <f>IFERROR(__xludf.DUMMYFUNCTION("""COMPUTED_VALUE"""),"2019/11/07 11:35:00")</f>
        <v>2019/11/07 11:35:00</v>
      </c>
      <c r="H625" s="10" t="str">
        <f>IFERROR(__xludf.DUMMYFUNCTION("""COMPUTED_VALUE"""),"e844abbb-1a5d-477e-a3e7-8770e387c3f5")</f>
        <v>e844abbb-1a5d-477e-a3e7-8770e387c3f5</v>
      </c>
      <c r="I625" s="10" t="str">
        <f>IFERROR(__xludf.DUMMYFUNCTION("""COMPUTED_VALUE"""),"e844abbb-1a5d-477e-a3e7-8770e387c3f5")</f>
        <v>e844abbb-1a5d-477e-a3e7-8770e387c3f5</v>
      </c>
    </row>
    <row r="626">
      <c r="A626" s="10" t="str">
        <f>IFERROR(__xludf.DUMMYFUNCTION("""COMPUTED_VALUE"""),"Walking with giants")</f>
        <v>Walking with giants</v>
      </c>
      <c r="B626" s="10" t="str">
        <f>IFERROR(__xludf.DUMMYFUNCTION("""COMPUTED_VALUE"""),"President of Sevilla FC, José Castro, outlines how Spain's oldest La Liga club is operating on the cutting edge of innovation.
")</f>
        <v>President of Sevilla FC, José Castro, outlines how Spain's oldest La Liga club is operating on the cutting edge of innovation.
</v>
      </c>
      <c r="C626" s="10" t="str">
        <f>IFERROR(__xludf.DUMMYFUNCTION("""COMPUTED_VALUE"""),"SportsTrade")</f>
        <v>SportsTrade</v>
      </c>
      <c r="D626" s="10" t="str">
        <f>IFERROR(__xludf.DUMMYFUNCTION("""COMPUTED_VALUE"""),"José Castro Carmona and Miguel Delaney")</f>
        <v>José Castro Carmona and Miguel Delaney</v>
      </c>
      <c r="E626" s="10" t="str">
        <f>IFERROR(__xludf.DUMMYFUNCTION("""COMPUTED_VALUE"""),"José Castro Carmona,Miguel Delaney")</f>
        <v>José Castro Carmona,Miguel Delaney</v>
      </c>
      <c r="F626" s="10" t="str">
        <f>IFERROR(__xludf.DUMMYFUNCTION("""COMPUTED_VALUE"""),"2019/11/05 13:35:00")</f>
        <v>2019/11/05 13:35:00</v>
      </c>
      <c r="G626" s="10" t="str">
        <f>IFERROR(__xludf.DUMMYFUNCTION("""COMPUTED_VALUE"""),"2019/11/05 13:45:00")</f>
        <v>2019/11/05 13:45:00</v>
      </c>
      <c r="H626" s="10" t="str">
        <f>IFERROR(__xludf.DUMMYFUNCTION("""COMPUTED_VALUE"""),"99acb01d-d63e-4c97-9084-01fe59f09bb0")</f>
        <v>99acb01d-d63e-4c97-9084-01fe59f09bb0</v>
      </c>
      <c r="I626" s="10" t="str">
        <f>IFERROR(__xludf.DUMMYFUNCTION("""COMPUTED_VALUE"""),"99acb01d-d63e-4c97-9084-01fe59f09bb0")</f>
        <v>99acb01d-d63e-4c97-9084-01fe59f09bb0</v>
      </c>
    </row>
    <row r="627">
      <c r="A627" s="10" t="str">
        <f>IFERROR(__xludf.DUMMYFUNCTION("""COMPUTED_VALUE"""),"The democratisation of innovation")</f>
        <v>The democratisation of innovation</v>
      </c>
      <c r="B627" s="10" t="str">
        <f>IFERROR(__xludf.DUMMYFUNCTION("""COMPUTED_VALUE"""),"Organisations historically designed themselves as castles with moats, where valuable resources were only accessed by a small, trusted group. However, today’s hyper-disruptive landscape makes it extremely difficult to guess what the market wants at any giv"&amp;"en time. To succeed these days, organisations need to decentralise and design with the broader villages in mind. Different groups need to be able to freely access valuable data so they can self start and build up their own economies. Tune into Ross’ sessi"&amp;"on to learn how organisations can democratise innovation and why APIs should be central to any strategy.")</f>
        <v>Organisations historically designed themselves as castles with moats, where valuable resources were only accessed by a small, trusted group. However, today’s hyper-disruptive landscape makes it extremely difficult to guess what the market wants at any given time. To succeed these days, organisations need to decentralise and design with the broader villages in mind. Different groups need to be able to freely access valuable data so they can self start and build up their own economies. Tune into Ross’ session to learn how organisations can democratise innovation and why APIs should be central to any strategy.</v>
      </c>
      <c r="C627" s="10" t="str">
        <f>IFERROR(__xludf.DUMMYFUNCTION("""COMPUTED_VALUE"""),"SaaS Monster")</f>
        <v>SaaS Monster</v>
      </c>
      <c r="D627" s="10" t="str">
        <f>IFERROR(__xludf.DUMMYFUNCTION("""COMPUTED_VALUE"""),"Ross Mason and Julie Bort")</f>
        <v>Ross Mason and Julie Bort</v>
      </c>
      <c r="E627" s="10" t="str">
        <f>IFERROR(__xludf.DUMMYFUNCTION("""COMPUTED_VALUE"""),"Ross Mason,Julie Bort")</f>
        <v>Ross Mason,Julie Bort</v>
      </c>
      <c r="F627" s="10" t="str">
        <f>IFERROR(__xludf.DUMMYFUNCTION("""COMPUTED_VALUE"""),"2019/11/05 11:50:00")</f>
        <v>2019/11/05 11:50:00</v>
      </c>
      <c r="G627" s="10" t="str">
        <f>IFERROR(__xludf.DUMMYFUNCTION("""COMPUTED_VALUE"""),"2019/11/05 12:10:00")</f>
        <v>2019/11/05 12:10:00</v>
      </c>
      <c r="H627" s="10" t="str">
        <f>IFERROR(__xludf.DUMMYFUNCTION("""COMPUTED_VALUE"""),"7169092f-3e8a-4086-bf3b-d54656a064cb")</f>
        <v>7169092f-3e8a-4086-bf3b-d54656a064cb</v>
      </c>
      <c r="I627" s="10" t="str">
        <f>IFERROR(__xludf.DUMMYFUNCTION("""COMPUTED_VALUE"""),"7169092f-3e8a-4086-bf3b-d54656a064cb")</f>
        <v>7169092f-3e8a-4086-bf3b-d54656a064cb</v>
      </c>
    </row>
    <row r="628">
      <c r="A628" s="10" t="str">
        <f>IFERROR(__xludf.DUMMYFUNCTION("""COMPUTED_VALUE"""),"Lunch break")</f>
        <v>Lunch break</v>
      </c>
      <c r="B628" s="10" t="str">
        <f>IFERROR(__xludf.DUMMYFUNCTION("""COMPUTED_VALUE"""),"")</f>
        <v/>
      </c>
      <c r="C628" s="10" t="str">
        <f>IFERROR(__xludf.DUMMYFUNCTION("""COMPUTED_VALUE"""),"PandaConf")</f>
        <v>PandaConf</v>
      </c>
      <c r="D628" s="10" t="str">
        <f>IFERROR(__xludf.DUMMYFUNCTION("""COMPUTED_VALUE"""),"")</f>
        <v/>
      </c>
      <c r="E628" s="10" t="str">
        <f>IFERROR(__xludf.DUMMYFUNCTION("""COMPUTED_VALUE"""),"")</f>
        <v/>
      </c>
      <c r="F628" s="10" t="str">
        <f>IFERROR(__xludf.DUMMYFUNCTION("""COMPUTED_VALUE"""),"2019/11/06 12:50:00")</f>
        <v>2019/11/06 12:50:00</v>
      </c>
      <c r="G628" s="10" t="str">
        <f>IFERROR(__xludf.DUMMYFUNCTION("""COMPUTED_VALUE"""),"2019/11/06 13:20:00")</f>
        <v>2019/11/06 13:20:00</v>
      </c>
      <c r="H628" s="10" t="str">
        <f>IFERROR(__xludf.DUMMYFUNCTION("""COMPUTED_VALUE"""),"4b044661-24dc-4ab0-bfe3-412a4bbb8a65")</f>
        <v>4b044661-24dc-4ab0-bfe3-412a4bbb8a65</v>
      </c>
      <c r="I628" s="10" t="str">
        <f>IFERROR(__xludf.DUMMYFUNCTION("""COMPUTED_VALUE"""),"4b044661-24dc-4ab0-bfe3-412a4bbb8a65")</f>
        <v>4b044661-24dc-4ab0-bfe3-412a4bbb8a65</v>
      </c>
    </row>
    <row r="629">
      <c r="A629" s="10" t="str">
        <f>IFERROR(__xludf.DUMMYFUNCTION("""COMPUTED_VALUE"""),"How to build a truly global movement")</f>
        <v>How to build a truly global movement</v>
      </c>
      <c r="B629" s="10" t="str">
        <f>IFERROR(__xludf.DUMMYFUNCTION("""COMPUTED_VALUE"""),"Building and maintaining a global mass movement is no easy feat. These speakers are leading and mobilizing two of the world's largest truly global movements - the Scouts with over 50 million young people engaged in non-formal education and Wikipedia as on"&amp;"e of the most ubiqitous online movements around. Learn from them how these movements have managed to remain so successful in a complex and rapidly changing world.")</f>
        <v>Building and maintaining a global mass movement is no easy feat. These speakers are leading and mobilizing two of the world's largest truly global movements - the Scouts with over 50 million young people engaged in non-formal education and Wikipedia as one of the most ubiqitous online movements around. Learn from them how these movements have managed to remain so successful in a complex and rapidly changing world.</v>
      </c>
      <c r="C629" s="10" t="str">
        <f>IFERROR(__xludf.DUMMYFUNCTION("""COMPUTED_VALUE"""),"Future Societies")</f>
        <v>Future Societies</v>
      </c>
      <c r="D629" s="10" t="str">
        <f>IFERROR(__xludf.DUMMYFUNCTION("""COMPUTED_VALUE"""),"Katherine Maher, Ahmad Alhendawi and Ryan Broderick")</f>
        <v>Katherine Maher, Ahmad Alhendawi and Ryan Broderick</v>
      </c>
      <c r="E629" s="10" t="str">
        <f>IFERROR(__xludf.DUMMYFUNCTION("""COMPUTED_VALUE"""),"Katherine Maher,Ahmad Alhendawi,Ryan Broderick")</f>
        <v>Katherine Maher,Ahmad Alhendawi,Ryan Broderick</v>
      </c>
      <c r="F629" s="10" t="str">
        <f>IFERROR(__xludf.DUMMYFUNCTION("""COMPUTED_VALUE"""),"2019/11/06 15:55:00")</f>
        <v>2019/11/06 15:55:00</v>
      </c>
      <c r="G629" s="10" t="str">
        <f>IFERROR(__xludf.DUMMYFUNCTION("""COMPUTED_VALUE"""),"2019/11/06 16:15:00")</f>
        <v>2019/11/06 16:15:00</v>
      </c>
      <c r="H629" s="10" t="str">
        <f>IFERROR(__xludf.DUMMYFUNCTION("""COMPUTED_VALUE"""),"6b741b2b-9b22-4ec9-9efa-a69050d2b3d5")</f>
        <v>6b741b2b-9b22-4ec9-9efa-a69050d2b3d5</v>
      </c>
      <c r="I629" s="10" t="str">
        <f>IFERROR(__xludf.DUMMYFUNCTION("""COMPUTED_VALUE"""),"6b741b2b-9b22-4ec9-9efa-a69050d2b3d5")</f>
        <v>6b741b2b-9b22-4ec9-9efa-a69050d2b3d5</v>
      </c>
    </row>
    <row r="630">
      <c r="A630" s="10" t="str">
        <f>IFERROR(__xludf.DUMMYFUNCTION("""COMPUTED_VALUE"""),"Inside La Liga: How technology is disrupting sport")</f>
        <v>Inside La Liga: How technology is disrupting sport</v>
      </c>
      <c r="B630" s="10" t="str">
        <f>IFERROR(__xludf.DUMMYFUNCTION("""COMPUTED_VALUE"""),"The President of La Liga, Javier Tebas, offers unrivalled insight into the role technology has played in growing one of the biggest sporting leagues in the world.")</f>
        <v>The President of La Liga, Javier Tebas, offers unrivalled insight into the role technology has played in growing one of the biggest sporting leagues in the world.</v>
      </c>
      <c r="C630" s="10" t="str">
        <f>IFERROR(__xludf.DUMMYFUNCTION("""COMPUTED_VALUE"""),"SportsTrade")</f>
        <v>SportsTrade</v>
      </c>
      <c r="D630" s="10" t="str">
        <f>IFERROR(__xludf.DUMMYFUNCTION("""COMPUTED_VALUE"""),"Javier Tebas and Guillem Balague")</f>
        <v>Javier Tebas and Guillem Balague</v>
      </c>
      <c r="E630" s="10" t="str">
        <f>IFERROR(__xludf.DUMMYFUNCTION("""COMPUTED_VALUE"""),"Javier Tebas,Guillem Balague")</f>
        <v>Javier Tebas,Guillem Balague</v>
      </c>
      <c r="F630" s="10" t="str">
        <f>IFERROR(__xludf.DUMMYFUNCTION("""COMPUTED_VALUE"""),"2019/11/05 14:25:00")</f>
        <v>2019/11/05 14:25:00</v>
      </c>
      <c r="G630" s="10" t="str">
        <f>IFERROR(__xludf.DUMMYFUNCTION("""COMPUTED_VALUE"""),"2019/11/05 14:45:00")</f>
        <v>2019/11/05 14:45:00</v>
      </c>
      <c r="H630" s="10" t="str">
        <f>IFERROR(__xludf.DUMMYFUNCTION("""COMPUTED_VALUE"""),"5fb8efdc-f17f-4c96-ba9e-0f62f7b95a7b")</f>
        <v>5fb8efdc-f17f-4c96-ba9e-0f62f7b95a7b</v>
      </c>
      <c r="I630" s="10" t="str">
        <f>IFERROR(__xludf.DUMMYFUNCTION("""COMPUTED_VALUE"""),"5fb8efdc-f17f-4c96-ba9e-0f62f7b95a7b")</f>
        <v>5fb8efdc-f17f-4c96-ba9e-0f62f7b95a7b</v>
      </c>
    </row>
    <row r="631">
      <c r="A631" s="10" t="str">
        <f>IFERROR(__xludf.DUMMYFUNCTION("""COMPUTED_VALUE"""),"Who will buy insurance in the future, and how?")</f>
        <v>Who will buy insurance in the future, and how?</v>
      </c>
      <c r="B631" s="10" t="str">
        <f>IFERROR(__xludf.DUMMYFUNCTION("""COMPUTED_VALUE"""),"We continue to see rapid evolution in how customers buy, what they want and when. So what does this mean for insurance? One size doesn't fit all.")</f>
        <v>We continue to see rapid evolution in how customers buy, what they want and when. So what does this mean for insurance? One size doesn't fit all.</v>
      </c>
      <c r="C631" s="10" t="str">
        <f>IFERROR(__xludf.DUMMYFUNCTION("""COMPUTED_VALUE"""),"Growth Summit")</f>
        <v>Growth Summit</v>
      </c>
      <c r="D631" s="10" t="str">
        <f>IFERROR(__xludf.DUMMYFUNCTION("""COMPUTED_VALUE"""),"Tim Hardcastle")</f>
        <v>Tim Hardcastle</v>
      </c>
      <c r="E631" s="10" t="str">
        <f>IFERROR(__xludf.DUMMYFUNCTION("""COMPUTED_VALUE"""),"Tim Hardcastle")</f>
        <v>Tim Hardcastle</v>
      </c>
      <c r="F631" s="10" t="str">
        <f>IFERROR(__xludf.DUMMYFUNCTION("""COMPUTED_VALUE"""),"2019/11/07 11:10:00")</f>
        <v>2019/11/07 11:10:00</v>
      </c>
      <c r="G631" s="10" t="str">
        <f>IFERROR(__xludf.DUMMYFUNCTION("""COMPUTED_VALUE"""),"2019/11/07 11:14:00")</f>
        <v>2019/11/07 11:14:00</v>
      </c>
      <c r="H631" s="10" t="str">
        <f>IFERROR(__xludf.DUMMYFUNCTION("""COMPUTED_VALUE"""),"bebe1502-c8f9-4e2d-b676-c4aa86b87ce1")</f>
        <v>bebe1502-c8f9-4e2d-b676-c4aa86b87ce1</v>
      </c>
      <c r="I631" s="10" t="str">
        <f>IFERROR(__xludf.DUMMYFUNCTION("""COMPUTED_VALUE"""),"bebe1502-c8f9-4e2d-b676-c4aa86b87ce1")</f>
        <v>bebe1502-c8f9-4e2d-b676-c4aa86b87ce1</v>
      </c>
    </row>
    <row r="632">
      <c r="A632" s="10" t="str">
        <f>IFERROR(__xludf.DUMMYFUNCTION("""COMPUTED_VALUE"""),"Lessons from 1000 cities - how to achieve growth with limited funding")</f>
        <v>Lessons from 1000 cities - how to achieve growth with limited funding</v>
      </c>
      <c r="B632" s="10" t="str">
        <f>IFERROR(__xludf.DUMMYFUNCTION("""COMPUTED_VALUE"""),"Live in 1000 cities and working with many of the world's biggest companies and travel platforms, Talixo is growing exponentially. Henry will explain how Talixo have achieved this with only €12m in funding.")</f>
        <v>Live in 1000 cities and working with many of the world's biggest companies and travel platforms, Talixo is growing exponentially. Henry will explain how Talixo have achieved this with only €12m in funding.</v>
      </c>
      <c r="C632" s="10" t="str">
        <f>IFERROR(__xludf.DUMMYFUNCTION("""COMPUTED_VALUE"""),"Growth Summit")</f>
        <v>Growth Summit</v>
      </c>
      <c r="D632" s="10" t="str">
        <f>IFERROR(__xludf.DUMMYFUNCTION("""COMPUTED_VALUE"""),"Henry  Joseph-Grant")</f>
        <v>Henry  Joseph-Grant</v>
      </c>
      <c r="E632" s="10" t="str">
        <f>IFERROR(__xludf.DUMMYFUNCTION("""COMPUTED_VALUE"""),"Henry  Joseph-Grant")</f>
        <v>Henry  Joseph-Grant</v>
      </c>
      <c r="F632" s="10" t="str">
        <f>IFERROR(__xludf.DUMMYFUNCTION("""COMPUTED_VALUE"""),"2019/11/06 10:34:00")</f>
        <v>2019/11/06 10:34:00</v>
      </c>
      <c r="G632" s="10" t="str">
        <f>IFERROR(__xludf.DUMMYFUNCTION("""COMPUTED_VALUE"""),"2019/11/06 10:38:00")</f>
        <v>2019/11/06 10:38:00</v>
      </c>
      <c r="H632" s="10" t="str">
        <f>IFERROR(__xludf.DUMMYFUNCTION("""COMPUTED_VALUE"""),"a2851c3f-6ed4-4e78-b0bc-69b6eb5f820d")</f>
        <v>a2851c3f-6ed4-4e78-b0bc-69b6eb5f820d</v>
      </c>
      <c r="I632" s="10" t="str">
        <f>IFERROR(__xludf.DUMMYFUNCTION("""COMPUTED_VALUE"""),"a2851c3f-6ed4-4e78-b0bc-69b6eb5f820d")</f>
        <v>a2851c3f-6ed4-4e78-b0bc-69b6eb5f820d</v>
      </c>
    </row>
    <row r="633">
      <c r="A633" s="10" t="str">
        <f>IFERROR(__xludf.DUMMYFUNCTION("""COMPUTED_VALUE"""),"It's an app eat app world: Dominating the app store ")</f>
        <v>It's an app eat app world: Dominating the app store </v>
      </c>
      <c r="B633" s="10" t="str">
        <f>IFERROR(__xludf.DUMMYFUNCTION("""COMPUTED_VALUE"""),"World app domination is becoming harder with fierce competition and a crowded market. So what does it take to conquer the app store in 2019?")</f>
        <v>World app domination is becoming harder with fierce competition and a crowded market. So what does it take to conquer the app store in 2019?</v>
      </c>
      <c r="C633" s="10" t="str">
        <f>IFERROR(__xludf.DUMMYFUNCTION("""COMPUTED_VALUE"""),"Startup University")</f>
        <v>Startup University</v>
      </c>
      <c r="D633" s="10" t="str">
        <f>IFERROR(__xludf.DUMMYFUNCTION("""COMPUTED_VALUE"""),"Oleksandr Kosovan, Riccardo Zacconi and Kit Eaton")</f>
        <v>Oleksandr Kosovan, Riccardo Zacconi and Kit Eaton</v>
      </c>
      <c r="E633" s="10" t="str">
        <f>IFERROR(__xludf.DUMMYFUNCTION("""COMPUTED_VALUE"""),"Oleksandr Kosovan,Riccardo Zacconi,Kit Eaton")</f>
        <v>Oleksandr Kosovan,Riccardo Zacconi,Kit Eaton</v>
      </c>
      <c r="F633" s="10" t="str">
        <f>IFERROR(__xludf.DUMMYFUNCTION("""COMPUTED_VALUE"""),"2019/11/06 12:35:00")</f>
        <v>2019/11/06 12:35:00</v>
      </c>
      <c r="G633" s="10" t="str">
        <f>IFERROR(__xludf.DUMMYFUNCTION("""COMPUTED_VALUE"""),"2019/11/06 12:55:00")</f>
        <v>2019/11/06 12:55:00</v>
      </c>
      <c r="H633" s="10" t="str">
        <f>IFERROR(__xludf.DUMMYFUNCTION("""COMPUTED_VALUE"""),"da79f21e-8d02-4075-959e-a7822d9929b5")</f>
        <v>da79f21e-8d02-4075-959e-a7822d9929b5</v>
      </c>
      <c r="I633" s="10" t="str">
        <f>IFERROR(__xludf.DUMMYFUNCTION("""COMPUTED_VALUE"""),"da79f21e-8d02-4075-959e-a7822d9929b5")</f>
        <v>da79f21e-8d02-4075-959e-a7822d9929b5</v>
      </c>
    </row>
    <row r="634">
      <c r="A634" s="10" t="str">
        <f>IFERROR(__xludf.DUMMYFUNCTION("""COMPUTED_VALUE"""),"It’s all about focus: How to recognise key goals and achieve them")</f>
        <v>It’s all about focus: How to recognise key goals and achieve them</v>
      </c>
      <c r="B634" s="10" t="str">
        <f>IFERROR(__xludf.DUMMYFUNCTION("""COMPUTED_VALUE"""),"CEO of Omni:us, Sophie outlines three key areas which each company should identify and concentrate on in order to achieve their goals.")</f>
        <v>CEO of Omni:us, Sophie outlines three key areas which each company should identify and concentrate on in order to achieve their goals.</v>
      </c>
      <c r="C634" s="10" t="str">
        <f>IFERROR(__xludf.DUMMYFUNCTION("""COMPUTED_VALUE"""),"Growth Summit")</f>
        <v>Growth Summit</v>
      </c>
      <c r="D634" s="10" t="str">
        <f>IFERROR(__xludf.DUMMYFUNCTION("""COMPUTED_VALUE"""),"Sofie Quidenus Wahlforss")</f>
        <v>Sofie Quidenus Wahlforss</v>
      </c>
      <c r="E634" s="10" t="str">
        <f>IFERROR(__xludf.DUMMYFUNCTION("""COMPUTED_VALUE"""),"Sofie Quidenus Wahlforss")</f>
        <v>Sofie Quidenus Wahlforss</v>
      </c>
      <c r="F634" s="10" t="str">
        <f>IFERROR(__xludf.DUMMYFUNCTION("""COMPUTED_VALUE"""),"2019/11/06 12:52:00")</f>
        <v>2019/11/06 12:52:00</v>
      </c>
      <c r="G634" s="10" t="str">
        <f>IFERROR(__xludf.DUMMYFUNCTION("""COMPUTED_VALUE"""),"2019/11/06 13:03:00")</f>
        <v>2019/11/06 13:03:00</v>
      </c>
      <c r="H634" s="10" t="str">
        <f>IFERROR(__xludf.DUMMYFUNCTION("""COMPUTED_VALUE"""),"b0509794-10e7-44d5-ac2e-a82e86451538")</f>
        <v>b0509794-10e7-44d5-ac2e-a82e86451538</v>
      </c>
      <c r="I634" s="10" t="str">
        <f>IFERROR(__xludf.DUMMYFUNCTION("""COMPUTED_VALUE"""),"b0509794-10e7-44d5-ac2e-a82e86451538")</f>
        <v>b0509794-10e7-44d5-ac2e-a82e86451538</v>
      </c>
    </row>
    <row r="635">
      <c r="A635" s="10" t="str">
        <f>IFERROR(__xludf.DUMMYFUNCTION("""COMPUTED_VALUE"""),"CX growth hacking (part 2), hosted by ZETA")</f>
        <v>CX growth hacking (part 2), hosted by ZETA</v>
      </c>
      <c r="B635" s="10"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635" s="10" t="str">
        <f>IFERROR(__xludf.DUMMYFUNCTION("""COMPUTED_VALUE"""),"Workshop 4")</f>
        <v>Workshop 4</v>
      </c>
      <c r="D635" s="10" t="str">
        <f>IFERROR(__xludf.DUMMYFUNCTION("""COMPUTED_VALUE"""),"Noriyuki Yamazaki")</f>
        <v>Noriyuki Yamazaki</v>
      </c>
      <c r="E635" s="10" t="str">
        <f>IFERROR(__xludf.DUMMYFUNCTION("""COMPUTED_VALUE"""),"Noriyuki Yamazaki")</f>
        <v>Noriyuki Yamazaki</v>
      </c>
      <c r="F635" s="10" t="str">
        <f>IFERROR(__xludf.DUMMYFUNCTION("""COMPUTED_VALUE"""),"2019/11/06 12:50:00")</f>
        <v>2019/11/06 12:50:00</v>
      </c>
      <c r="G635" s="10" t="str">
        <f>IFERROR(__xludf.DUMMYFUNCTION("""COMPUTED_VALUE"""),"2019/11/06 13:30:00")</f>
        <v>2019/11/06 13:30:00</v>
      </c>
      <c r="H635" s="10" t="str">
        <f>IFERROR(__xludf.DUMMYFUNCTION("""COMPUTED_VALUE"""),"6dcddc95-1443-40f0-a456-0c286316db7e")</f>
        <v>6dcddc95-1443-40f0-a456-0c286316db7e</v>
      </c>
      <c r="I635" s="10" t="str">
        <f>IFERROR(__xludf.DUMMYFUNCTION("""COMPUTED_VALUE"""),"6dcddc95-1443-40f0-a456-0c286316db7e")</f>
        <v>6dcddc95-1443-40f0-a456-0c286316db7e</v>
      </c>
    </row>
    <row r="636">
      <c r="A636" s="10" t="str">
        <f>IFERROR(__xludf.DUMMYFUNCTION("""COMPUTED_VALUE"""),"Running a people-oriented business remotely")</f>
        <v>Running a people-oriented business remotely</v>
      </c>
      <c r="B636" s="10" t="str">
        <f>IFERROR(__xludf.DUMMYFUNCTION("""COMPUTED_VALUE"""),"We will talk about challenges faced during international expansion into non-english speaking countries and different time zones, and life hacks we’ve found to overcome them. We will also share our views on behavioural similarities between drivers in diffe"&amp;"rent locations and new opportunities identified.")</f>
        <v>We will talk about challenges faced during international expansion into non-english speaking countries and different time zones, and life hacks we’ve found to overcome them. We will also share our views on behavioural similarities between drivers in different locations and new opportunities identified.</v>
      </c>
      <c r="C636" s="10" t="str">
        <f>IFERROR(__xludf.DUMMYFUNCTION("""COMPUTED_VALUE"""),"Growth Summit")</f>
        <v>Growth Summit</v>
      </c>
      <c r="D636" s="10" t="str">
        <f>IFERROR(__xludf.DUMMYFUNCTION("""COMPUTED_VALUE"""),"Mikhail Marchenko")</f>
        <v>Mikhail Marchenko</v>
      </c>
      <c r="E636" s="10" t="str">
        <f>IFERROR(__xludf.DUMMYFUNCTION("""COMPUTED_VALUE"""),"Mikhail Marchenko")</f>
        <v>Mikhail Marchenko</v>
      </c>
      <c r="F636" s="10" t="str">
        <f>IFERROR(__xludf.DUMMYFUNCTION("""COMPUTED_VALUE"""),"2019/11/07 10:46:00")</f>
        <v>2019/11/07 10:46:00</v>
      </c>
      <c r="G636" s="10" t="str">
        <f>IFERROR(__xludf.DUMMYFUNCTION("""COMPUTED_VALUE"""),"2019/11/07 10:50:00")</f>
        <v>2019/11/07 10:50:00</v>
      </c>
      <c r="H636" s="10" t="str">
        <f>IFERROR(__xludf.DUMMYFUNCTION("""COMPUTED_VALUE"""),"a6892abc-301c-4767-8da3-470b3a5543cc")</f>
        <v>a6892abc-301c-4767-8da3-470b3a5543cc</v>
      </c>
      <c r="I636" s="10" t="str">
        <f>IFERROR(__xludf.DUMMYFUNCTION("""COMPUTED_VALUE"""),"a6892abc-301c-4767-8da3-470b3a5543cc")</f>
        <v>a6892abc-301c-4767-8da3-470b3a5543cc</v>
      </c>
    </row>
    <row r="637">
      <c r="A637" s="10" t="str">
        <f>IFERROR(__xludf.DUMMYFUNCTION("""COMPUTED_VALUE"""),"Night Summit bar")</f>
        <v>Night Summit bar</v>
      </c>
      <c r="B637" s="10" t="str">
        <f>IFERROR(__xludf.DUMMYFUNCTION("""COMPUTED_VALUE"""),"The great thing about the underworld is that they know how to party. At the beginning of the 20th century, Cais do Sodré was the meeting point of sailors around the world. When there, they'd party the night away with bohemians, intellectuals, spies, crimi"&amp;"nals, noblemen, and even some of the easily tempted clergy. It was a party area, attracting all sorts.  What better place for our Night Summit gathering?")</f>
        <v>The great thing about the underworld is that they know how to party. At the beginning of the 20th century, Cais do Sodré was the meeting point of sailors around the world. When there, they'd party the night away with bohemians, intellectuals, spies, criminals, noblemen, and even some of the easily tempted clergy. It was a party area, attracting all sorts.  What better place for our Night Summit gathering?</v>
      </c>
      <c r="C637" s="10" t="str">
        <f>IFERROR(__xludf.DUMMYFUNCTION("""COMPUTED_VALUE"""),"Night Summit Bar - Day 2")</f>
        <v>Night Summit Bar - Day 2</v>
      </c>
      <c r="D637" s="10" t="str">
        <f>IFERROR(__xludf.DUMMYFUNCTION("""COMPUTED_VALUE"""),"")</f>
        <v/>
      </c>
      <c r="E637" s="10" t="str">
        <f>IFERROR(__xludf.DUMMYFUNCTION("""COMPUTED_VALUE"""),"")</f>
        <v/>
      </c>
      <c r="F637" s="10" t="str">
        <f>IFERROR(__xludf.DUMMYFUNCTION("""COMPUTED_VALUE"""),"2019/11/05 20:00:00")</f>
        <v>2019/11/05 20:00:00</v>
      </c>
      <c r="G637" s="10" t="str">
        <f>IFERROR(__xludf.DUMMYFUNCTION("""COMPUTED_VALUE"""),"2019/11/06 00:00:00")</f>
        <v>2019/11/06 00:00:00</v>
      </c>
      <c r="H637" s="10" t="str">
        <f>IFERROR(__xludf.DUMMYFUNCTION("""COMPUTED_VALUE"""),"7e8ed368-fa78-470a-a4a3-7d77f689d9c9")</f>
        <v>7e8ed368-fa78-470a-a4a3-7d77f689d9c9</v>
      </c>
      <c r="I637" s="10" t="str">
        <f>IFERROR(__xludf.DUMMYFUNCTION("""COMPUTED_VALUE"""),"7e8ed368-fa78-470a-a4a3-7d77f689d9c9")</f>
        <v>7e8ed368-fa78-470a-a4a3-7d77f689d9c9</v>
      </c>
    </row>
    <row r="638">
      <c r="A638" s="10" t="str">
        <f>IFERROR(__xludf.DUMMYFUNCTION("""COMPUTED_VALUE"""),"Powering the future")</f>
        <v>Powering the future</v>
      </c>
      <c r="B638" s="10" t="str">
        <f>IFERROR(__xludf.DUMMYFUNCTION("""COMPUTED_VALUE"""),"Farewell fossil fuels? What does that mean for the future? Is an all-electrical world a solution, or just a stop-gap ? What about nuclear power? And what's the role of consumers, who are now part of the supply chain in a way we haven't seen before?")</f>
        <v>Farewell fossil fuels? What does that mean for the future? Is an all-electrical world a solution, or just a stop-gap ? What about nuclear power? And what's the role of consumers, who are now part of the supply chain in a way we haven't seen before?</v>
      </c>
      <c r="C638" s="10" t="str">
        <f>IFERROR(__xludf.DUMMYFUNCTION("""COMPUTED_VALUE"""),"planet:tech ")</f>
        <v>planet:tech </v>
      </c>
      <c r="D638" s="10" t="str">
        <f>IFERROR(__xludf.DUMMYFUNCTION("""COMPUTED_VALUE"""),"Emmanuel Lagarrigue, Jesse Moore and Neanda Salvaterra")</f>
        <v>Emmanuel Lagarrigue, Jesse Moore and Neanda Salvaterra</v>
      </c>
      <c r="E638" s="10" t="str">
        <f>IFERROR(__xludf.DUMMYFUNCTION("""COMPUTED_VALUE"""),"Emmanuel Lagarrigue,Jesse Moore,Neanda Salvaterra")</f>
        <v>Emmanuel Lagarrigue,Jesse Moore,Neanda Salvaterra</v>
      </c>
      <c r="F638" s="10" t="str">
        <f>IFERROR(__xludf.DUMMYFUNCTION("""COMPUTED_VALUE"""),"2019/11/05 15:10:00")</f>
        <v>2019/11/05 15:10:00</v>
      </c>
      <c r="G638" s="10" t="str">
        <f>IFERROR(__xludf.DUMMYFUNCTION("""COMPUTED_VALUE"""),"2019/11/05 15:35:00")</f>
        <v>2019/11/05 15:35:00</v>
      </c>
      <c r="H638" s="10" t="str">
        <f>IFERROR(__xludf.DUMMYFUNCTION("""COMPUTED_VALUE"""),"7bed3d77-091c-4607-b591-9468e382e3fa")</f>
        <v>7bed3d77-091c-4607-b591-9468e382e3fa</v>
      </c>
      <c r="I638" s="10" t="str">
        <f>IFERROR(__xludf.DUMMYFUNCTION("""COMPUTED_VALUE"""),"7bed3d77-091c-4607-b591-9468e382e3fa")</f>
        <v>7bed3d77-091c-4607-b591-9468e382e3fa</v>
      </c>
    </row>
    <row r="639">
      <c r="A639" s="10" t="str">
        <f>IFERROR(__xludf.DUMMYFUNCTION("""COMPUTED_VALUE"""),"Edge computing done by your network, hosted by Cisco")</f>
        <v>Edge computing done by your network, hosted by Cisco</v>
      </c>
      <c r="B639" s="10" t="str">
        <f>IFERROR(__xludf.DUMMYFUNCTION("""COMPUTED_VALUE"""),"Switches, routers and access points are getting more powerful, making them a great fit for edge computing scenarios. Learn how various companies across several industries are already using their network components for edge computing, including connected m"&amp;"achines in IoT, data analytics or security. Find out how these companies are creating, deploying and managing their containerised applications, unlocking business possibilities, and how this can be done fully automatically with zero-touch provisioning.")</f>
        <v>Switches, routers and access points are getting more powerful, making them a great fit for edge computing scenarios. Learn how various companies across several industries are already using their network components for edge computing, including connected machines in IoT, data analytics or security. Find out how these companies are creating, deploying and managing their containerised applications, unlocking business possibilities, and how this can be done fully automatically with zero-touch provisioning.</v>
      </c>
      <c r="C639" s="10" t="str">
        <f>IFERROR(__xludf.DUMMYFUNCTION("""COMPUTED_VALUE"""),"Workshop 2")</f>
        <v>Workshop 2</v>
      </c>
      <c r="D639" s="10" t="str">
        <f>IFERROR(__xludf.DUMMYFUNCTION("""COMPUTED_VALUE"""),"")</f>
        <v/>
      </c>
      <c r="E639" s="10" t="str">
        <f>IFERROR(__xludf.DUMMYFUNCTION("""COMPUTED_VALUE"""),"")</f>
        <v/>
      </c>
      <c r="F639" s="10" t="str">
        <f>IFERROR(__xludf.DUMMYFUNCTION("""COMPUTED_VALUE"""),"2019/11/06 13:00:00")</f>
        <v>2019/11/06 13:00:00</v>
      </c>
      <c r="G639" s="10" t="str">
        <f>IFERROR(__xludf.DUMMYFUNCTION("""COMPUTED_VALUE"""),"2019/11/06 13:45:00")</f>
        <v>2019/11/06 13:45:00</v>
      </c>
      <c r="H639" s="10" t="str">
        <f>IFERROR(__xludf.DUMMYFUNCTION("""COMPUTED_VALUE"""),"88acabdf-bb6c-45be-ba5d-e29798d17323")</f>
        <v>88acabdf-bb6c-45be-ba5d-e29798d17323</v>
      </c>
      <c r="I639" s="10" t="str">
        <f>IFERROR(__xludf.DUMMYFUNCTION("""COMPUTED_VALUE"""),"88acabdf-bb6c-45be-ba5d-e29798d17323")</f>
        <v>88acabdf-bb6c-45be-ba5d-e29798d17323</v>
      </c>
    </row>
    <row r="640">
      <c r="A640" s="10" t="str">
        <f>IFERROR(__xludf.DUMMYFUNCTION("""COMPUTED_VALUE"""),"Lunch break")</f>
        <v>Lunch break</v>
      </c>
      <c r="B640" s="10" t="str">
        <f>IFERROR(__xludf.DUMMYFUNCTION("""COMPUTED_VALUE"""),"")</f>
        <v/>
      </c>
      <c r="C640" s="10" t="str">
        <f>IFERROR(__xludf.DUMMYFUNCTION("""COMPUTED_VALUE"""),"Venture stage")</f>
        <v>Venture stage</v>
      </c>
      <c r="D640" s="10" t="str">
        <f>IFERROR(__xludf.DUMMYFUNCTION("""COMPUTED_VALUE"""),"")</f>
        <v/>
      </c>
      <c r="E640" s="10" t="str">
        <f>IFERROR(__xludf.DUMMYFUNCTION("""COMPUTED_VALUE"""),"")</f>
        <v/>
      </c>
      <c r="F640" s="10" t="str">
        <f>IFERROR(__xludf.DUMMYFUNCTION("""COMPUTED_VALUE"""),"2019/11/07 12:45:00")</f>
        <v>2019/11/07 12:45:00</v>
      </c>
      <c r="G640" s="10" t="str">
        <f>IFERROR(__xludf.DUMMYFUNCTION("""COMPUTED_VALUE"""),"2019/11/07 13:30:00")</f>
        <v>2019/11/07 13:30:00</v>
      </c>
      <c r="H640" s="10" t="str">
        <f>IFERROR(__xludf.DUMMYFUNCTION("""COMPUTED_VALUE"""),"e215e264-7354-4c78-9036-b030db795297")</f>
        <v>e215e264-7354-4c78-9036-b030db795297</v>
      </c>
      <c r="I640" s="10" t="str">
        <f>IFERROR(__xludf.DUMMYFUNCTION("""COMPUTED_VALUE"""),"e215e264-7354-4c78-9036-b030db795297")</f>
        <v>e215e264-7354-4c78-9036-b030db795297</v>
      </c>
    </row>
    <row r="641">
      <c r="A641" s="10" t="str">
        <f>IFERROR(__xludf.DUMMYFUNCTION("""COMPUTED_VALUE"""),"Looking back to go forward: 50 years of the internet")</f>
        <v>Looking back to go forward: 50 years of the internet</v>
      </c>
      <c r="B641" s="10" t="str">
        <f>IFERROR(__xludf.DUMMYFUNCTION("""COMPUTED_VALUE"""),"The world has transformed irrevocably since the internet was invented in 1969. Understanding those changes should help us to better understand how the internet will develop over the next 50 years. Research by the Pew Research Centre will tell us about whe"&amp;"re we have come from, while one of the leaders of the future of the web, Mitchell Baker, will tell us all about where we are going.")</f>
        <v>The world has transformed irrevocably since the internet was invented in 1969. Understanding those changes should help us to better understand how the internet will develop over the next 50 years. Research by the Pew Research Centre will tell us about where we have come from, while one of the leaders of the future of the web, Mitchell Baker, will tell us all about where we are going.</v>
      </c>
      <c r="C641" s="10" t="str">
        <f>IFERROR(__xludf.DUMMYFUNCTION("""COMPUTED_VALUE"""),"Future Societies")</f>
        <v>Future Societies</v>
      </c>
      <c r="D641" s="10" t="str">
        <f>IFERROR(__xludf.DUMMYFUNCTION("""COMPUTED_VALUE"""),"Lee Rainie, Mitchell Baker and Mark Scott")</f>
        <v>Lee Rainie, Mitchell Baker and Mark Scott</v>
      </c>
      <c r="E641" s="10" t="str">
        <f>IFERROR(__xludf.DUMMYFUNCTION("""COMPUTED_VALUE"""),"Lee Rainie,Mitchell Baker,Mark Scott")</f>
        <v>Lee Rainie,Mitchell Baker,Mark Scott</v>
      </c>
      <c r="F641" s="10" t="str">
        <f>IFERROR(__xludf.DUMMYFUNCTION("""COMPUTED_VALUE"""),"2019/11/05 11:30:00")</f>
        <v>2019/11/05 11:30:00</v>
      </c>
      <c r="G641" s="10" t="str">
        <f>IFERROR(__xludf.DUMMYFUNCTION("""COMPUTED_VALUE"""),"2019/11/05 11:50:00")</f>
        <v>2019/11/05 11:50:00</v>
      </c>
      <c r="H641" s="10" t="str">
        <f>IFERROR(__xludf.DUMMYFUNCTION("""COMPUTED_VALUE"""),"e8c5df7f-2c89-4bf5-b1ac-e15cb188926e")</f>
        <v>e8c5df7f-2c89-4bf5-b1ac-e15cb188926e</v>
      </c>
      <c r="I641" s="10" t="str">
        <f>IFERROR(__xludf.DUMMYFUNCTION("""COMPUTED_VALUE"""),"e8c5df7f-2c89-4bf5-b1ac-e15cb188926e")</f>
        <v>e8c5df7f-2c89-4bf5-b1ac-e15cb188926e</v>
      </c>
    </row>
    <row r="642">
      <c r="A642" s="10" t="str">
        <f>IFERROR(__xludf.DUMMYFUNCTION("""COMPUTED_VALUE"""),"Lunch break")</f>
        <v>Lunch break</v>
      </c>
      <c r="B642" s="10" t="str">
        <f>IFERROR(__xludf.DUMMYFUNCTION("""COMPUTED_VALUE"""),"")</f>
        <v/>
      </c>
      <c r="C642" s="10" t="str">
        <f>IFERROR(__xludf.DUMMYFUNCTION("""COMPUTED_VALUE"""),"HealthConf")</f>
        <v>HealthConf</v>
      </c>
      <c r="D642" s="10" t="str">
        <f>IFERROR(__xludf.DUMMYFUNCTION("""COMPUTED_VALUE"""),"")</f>
        <v/>
      </c>
      <c r="E642" s="10" t="str">
        <f>IFERROR(__xludf.DUMMYFUNCTION("""COMPUTED_VALUE"""),"")</f>
        <v/>
      </c>
      <c r="F642" s="10" t="str">
        <f>IFERROR(__xludf.DUMMYFUNCTION("""COMPUTED_VALUE"""),"2019/11/07 12:25:00")</f>
        <v>2019/11/07 12:25:00</v>
      </c>
      <c r="G642" s="10" t="str">
        <f>IFERROR(__xludf.DUMMYFUNCTION("""COMPUTED_VALUE"""),"2019/11/07 13:10:00")</f>
        <v>2019/11/07 13:10:00</v>
      </c>
      <c r="H642" s="10" t="str">
        <f>IFERROR(__xludf.DUMMYFUNCTION("""COMPUTED_VALUE"""),"fa71558e-8005-4c69-9d8c-0a55da301552")</f>
        <v>fa71558e-8005-4c69-9d8c-0a55da301552</v>
      </c>
      <c r="I642" s="10" t="str">
        <f>IFERROR(__xludf.DUMMYFUNCTION("""COMPUTED_VALUE"""),"fa71558e-8005-4c69-9d8c-0a55da301552")</f>
        <v>fa71558e-8005-4c69-9d8c-0a55da301552</v>
      </c>
    </row>
    <row r="643">
      <c r="A643" s="10" t="str">
        <f>IFERROR(__xludf.DUMMYFUNCTION("""COMPUTED_VALUE"""),"One year out: Will Trump be re-elected?")</f>
        <v>One year out: Will Trump be re-elected?</v>
      </c>
      <c r="B643" s="10" t="str">
        <f>IFERROR(__xludf.DUMMYFUNCTION("""COMPUTED_VALUE"""),"This day next year the United States will decide on their next president. Dubbed by many as the election which will define a generation, this panel will explore what data, gut and trends are telling us, and who we are likely to see enter the Oval Office f"&amp;"or the next four years. ")</f>
        <v>This day next year the United States will decide on their next president. Dubbed by many as the election which will define a generation, this panel will explore what data, gut and trends are telling us, and who we are likely to see enter the Oval Office for the next four years. </v>
      </c>
      <c r="C643" s="10" t="str">
        <f>IFERROR(__xludf.DUMMYFUNCTION("""COMPUTED_VALUE"""),"Centre Stage")</f>
        <v>Centre Stage</v>
      </c>
      <c r="D643" s="10" t="str">
        <f>IFERROR(__xludf.DUMMYFUNCTION("""COMPUTED_VALUE"""),"Joe Pounder, Neal Katyal, Brittany Kaiser and Tim Alberta")</f>
        <v>Joe Pounder, Neal Katyal, Brittany Kaiser and Tim Alberta</v>
      </c>
      <c r="E643" s="10" t="str">
        <f>IFERROR(__xludf.DUMMYFUNCTION("""COMPUTED_VALUE"""),"Joe Pounder,Neal Katyal,Brittany Kaiser,Tim Alberta")</f>
        <v>Joe Pounder,Neal Katyal,Brittany Kaiser,Tim Alberta</v>
      </c>
      <c r="F643" s="10" t="str">
        <f>IFERROR(__xludf.DUMMYFUNCTION("""COMPUTED_VALUE"""),"2019/11/05 12:15:00")</f>
        <v>2019/11/05 12:15:00</v>
      </c>
      <c r="G643" s="10" t="str">
        <f>IFERROR(__xludf.DUMMYFUNCTION("""COMPUTED_VALUE"""),"2019/11/05 12:35:00")</f>
        <v>2019/11/05 12:35:00</v>
      </c>
      <c r="H643" s="10" t="str">
        <f>IFERROR(__xludf.DUMMYFUNCTION("""COMPUTED_VALUE"""),"09d75071-c2d2-4ef4-a484-453ac13f9bb7")</f>
        <v>09d75071-c2d2-4ef4-a484-453ac13f9bb7</v>
      </c>
      <c r="I643" s="10" t="str">
        <f>IFERROR(__xludf.DUMMYFUNCTION("""COMPUTED_VALUE"""),"09d75071-c2d2-4ef4-a484-453ac13f9bb7")</f>
        <v>09d75071-c2d2-4ef4-a484-453ac13f9bb7</v>
      </c>
    </row>
    <row r="644">
      <c r="A644" s="10" t="str">
        <f>IFERROR(__xludf.DUMMYFUNCTION("""COMPUTED_VALUE"""),"The making (and marketing) of Mastercard")</f>
        <v>The making (and marketing) of Mastercard</v>
      </c>
      <c r="B644" s="10" t="str">
        <f>IFERROR(__xludf.DUMMYFUNCTION("""COMPUTED_VALUE"""),"For iconic brands, surely marketing can take a backseat? Raja, the CMO of Mastercard, disagrees. Join him as he shares the secrets of successful marketing in a notoriously disengaged industry. ")</f>
        <v>For iconic brands, surely marketing can take a backseat? Raja, the CMO of Mastercard, disagrees. Join him as he shares the secrets of successful marketing in a notoriously disengaged industry. </v>
      </c>
      <c r="C644" s="10" t="str">
        <f>IFERROR(__xludf.DUMMYFUNCTION("""COMPUTED_VALUE"""),"MoneyConf")</f>
        <v>MoneyConf</v>
      </c>
      <c r="D644" s="10" t="str">
        <f>IFERROR(__xludf.DUMMYFUNCTION("""COMPUTED_VALUE"""),"Raja Rajamannar and Katie Deighton")</f>
        <v>Raja Rajamannar and Katie Deighton</v>
      </c>
      <c r="E644" s="10" t="str">
        <f>IFERROR(__xludf.DUMMYFUNCTION("""COMPUTED_VALUE"""),"Raja Rajamannar,Katie Deighton")</f>
        <v>Raja Rajamannar,Katie Deighton</v>
      </c>
      <c r="F644" s="10" t="str">
        <f>IFERROR(__xludf.DUMMYFUNCTION("""COMPUTED_VALUE"""),"2019/11/06 15:25:00")</f>
        <v>2019/11/06 15:25:00</v>
      </c>
      <c r="G644" s="10" t="str">
        <f>IFERROR(__xludf.DUMMYFUNCTION("""COMPUTED_VALUE"""),"2019/11/06 15:50:00")</f>
        <v>2019/11/06 15:50:00</v>
      </c>
      <c r="H644" s="10" t="str">
        <f>IFERROR(__xludf.DUMMYFUNCTION("""COMPUTED_VALUE"""),"d7e81483-6b37-4234-8d71-24fe33b4653a")</f>
        <v>d7e81483-6b37-4234-8d71-24fe33b4653a</v>
      </c>
      <c r="I644" s="10" t="str">
        <f>IFERROR(__xludf.DUMMYFUNCTION("""COMPUTED_VALUE"""),"d7e81483-6b37-4234-8d71-24fe33b4653a")</f>
        <v>d7e81483-6b37-4234-8d71-24fe33b4653a</v>
      </c>
    </row>
    <row r="645">
      <c r="A645" s="10" t="str">
        <f>IFERROR(__xludf.DUMMYFUNCTION("""COMPUTED_VALUE"""),"Innovating at scale ")</f>
        <v>Innovating at scale </v>
      </c>
      <c r="B645" s="10" t="str">
        <f>IFERROR(__xludf.DUMMYFUNCTION("""COMPUTED_VALUE"""),"As one of the biggest travel e-commerce sites in the world and a global workforce of over 50% women, Booking.com has innovated in their product and also their workplace diversity policy. Their chairwoman will discuss innovating at scale. ")</f>
        <v>As one of the biggest travel e-commerce sites in the world and a global workforce of over 50% women, Booking.com has innovated in their product and also their workplace diversity policy. Their chairwoman will discuss innovating at scale. </v>
      </c>
      <c r="C645" s="10" t="str">
        <f>IFERROR(__xludf.DUMMYFUNCTION("""COMPUTED_VALUE"""),"Startup University")</f>
        <v>Startup University</v>
      </c>
      <c r="D645" s="10" t="str">
        <f>IFERROR(__xludf.DUMMYFUNCTION("""COMPUTED_VALUE"""),"Gillian Tans and Elizabeth Schulze")</f>
        <v>Gillian Tans and Elizabeth Schulze</v>
      </c>
      <c r="E645" s="10" t="str">
        <f>IFERROR(__xludf.DUMMYFUNCTION("""COMPUTED_VALUE"""),"Gillian Tans,Elizabeth Schulze")</f>
        <v>Gillian Tans,Elizabeth Schulze</v>
      </c>
      <c r="F645" s="10" t="str">
        <f>IFERROR(__xludf.DUMMYFUNCTION("""COMPUTED_VALUE"""),"2019/11/05 12:40:00")</f>
        <v>2019/11/05 12:40:00</v>
      </c>
      <c r="G645" s="10" t="str">
        <f>IFERROR(__xludf.DUMMYFUNCTION("""COMPUTED_VALUE"""),"2019/11/05 13:00:00")</f>
        <v>2019/11/05 13:00:00</v>
      </c>
      <c r="H645" s="10" t="str">
        <f>IFERROR(__xludf.DUMMYFUNCTION("""COMPUTED_VALUE"""),"682be20c-3601-4e01-af1a-1e88e61aab04")</f>
        <v>682be20c-3601-4e01-af1a-1e88e61aab04</v>
      </c>
      <c r="I645" s="10" t="str">
        <f>IFERROR(__xludf.DUMMYFUNCTION("""COMPUTED_VALUE"""),"682be20c-3601-4e01-af1a-1e88e61aab04")</f>
        <v>682be20c-3601-4e01-af1a-1e88e61aab04</v>
      </c>
    </row>
    <row r="646">
      <c r="A646" s="10" t="str">
        <f>IFERROR(__xludf.DUMMYFUNCTION("""COMPUTED_VALUE"""),"PITCH group round 12")</f>
        <v>PITCH group round 12</v>
      </c>
      <c r="B646" s="10" t="str">
        <f>IFERROR(__xludf.DUMMYFUNCTION("""COMPUTED_VALUE"""),"")</f>
        <v/>
      </c>
      <c r="C646" s="10" t="str">
        <f>IFERROR(__xludf.DUMMYFUNCTION("""COMPUTED_VALUE"""),"")</f>
        <v/>
      </c>
      <c r="D646" s="10" t="str">
        <f>IFERROR(__xludf.DUMMYFUNCTION("""COMPUTED_VALUE"""),"Fatima Zaidi,  Oliver Clasen,  Brendan Yell,  Tom Michael,  Maja Markowitz,  Tracy Isacke,  Rupert Barksfield,  Seth Ward,  Sam Abrika,  Katy Lindemann,  Laurent Marfisi,  Ken Miyake,  Simonetta d'Ottaviano and  Mario Arabov
")</f>
        <v>Fatima Zaidi,  Oliver Clasen,  Brendan Yell,  Tom Michael,  Maja Markowitz,  Tracy Isacke,  Rupert Barksfield,  Seth Ward,  Sam Abrika,  Katy Lindemann,  Laurent Marfisi,  Ken Miyake,  Simonetta d'Ottaviano and  Mario Arabov
</v>
      </c>
      <c r="E646" s="10" t="str">
        <f>IFERROR(__xludf.DUMMYFUNCTION("""COMPUTED_VALUE"""),"Fatima Zaidi, Oliver Clasen, Brendan Yell, Tom Michael, Maja Markowitz, Tracy Isacke, Rupert Barksfield, Seth Ward, Sam Abrika, Katy Lindemann, Laurent Marfisi, Ken Miyake, Simonetta d'Ottaviano, Mario Arabov
")</f>
        <v>Fatima Zaidi, Oliver Clasen, Brendan Yell, Tom Michael, Maja Markowitz, Tracy Isacke, Rupert Barksfield, Seth Ward, Sam Abrika, Katy Lindemann, Laurent Marfisi, Ken Miyake, Simonetta d'Ottaviano, Mario Arabov
</v>
      </c>
      <c r="F646" s="10" t="str">
        <f>IFERROR(__xludf.DUMMYFUNCTION("""COMPUTED_VALUE"""),"")</f>
        <v/>
      </c>
      <c r="G646" s="10" t="str">
        <f>IFERROR(__xludf.DUMMYFUNCTION("""COMPUTED_VALUE"""),"")</f>
        <v/>
      </c>
      <c r="H646" s="10" t="str">
        <f>IFERROR(__xludf.DUMMYFUNCTION("""COMPUTED_VALUE"""),"750403f0-111c-5652-b735-fba32607ffec")</f>
        <v>750403f0-111c-5652-b735-fba32607ffec</v>
      </c>
      <c r="I646" s="10" t="str">
        <f>IFERROR(__xludf.DUMMYFUNCTION("""COMPUTED_VALUE"""),"750403f0-111c-5652-b735-fba32607ffec")</f>
        <v>750403f0-111c-5652-b735-fba32607ffec</v>
      </c>
    </row>
    <row r="647">
      <c r="A647" s="10" t="str">
        <f>IFERROR(__xludf.DUMMYFUNCTION("""COMPUTED_VALUE"""),"Bus and Tram Station Calvário")</f>
        <v>Bus and Tram Station Calvário</v>
      </c>
      <c r="B647" s="10" t="str">
        <f>IFERROR(__xludf.DUMMYFUNCTION("""COMPUTED_VALUE"""),"")</f>
        <v/>
      </c>
      <c r="C647" s="10" t="str">
        <f>IFERROR(__xludf.DUMMYFUNCTION("""COMPUTED_VALUE"""),"Bus and Tram Station Calvário")</f>
        <v>Bus and Tram Station Calvário</v>
      </c>
      <c r="D647" s="10" t="str">
        <f>IFERROR(__xludf.DUMMYFUNCTION("""COMPUTED_VALUE"""),"")</f>
        <v/>
      </c>
      <c r="E647" s="10" t="str">
        <f>IFERROR(__xludf.DUMMYFUNCTION("""COMPUTED_VALUE"""),"")</f>
        <v/>
      </c>
      <c r="F647" s="10" t="str">
        <f>IFERROR(__xludf.DUMMYFUNCTION("""COMPUTED_VALUE"""),"2019/11/06 20:01:00")</f>
        <v>2019/11/06 20:01:00</v>
      </c>
      <c r="G647" s="10" t="str">
        <f>IFERROR(__xludf.DUMMYFUNCTION("""COMPUTED_VALUE"""),"2019/11/07 02:00:00")</f>
        <v>2019/11/07 02:00:00</v>
      </c>
      <c r="H647" s="10" t="str">
        <f>IFERROR(__xludf.DUMMYFUNCTION("""COMPUTED_VALUE"""),"fab23770-7955-4ad5-9589-b40c5f486e95")</f>
        <v>fab23770-7955-4ad5-9589-b40c5f486e95</v>
      </c>
      <c r="I647" s="10" t="str">
        <f>IFERROR(__xludf.DUMMYFUNCTION("""COMPUTED_VALUE"""),"fab23770-7955-4ad5-9589-b40c5f486e95")</f>
        <v>fab23770-7955-4ad5-9589-b40c5f486e95</v>
      </c>
    </row>
    <row r="648">
      <c r="A648" s="10" t="str">
        <f>IFERROR(__xludf.DUMMYFUNCTION("""COMPUTED_VALUE"""),"Bidroom: Master disruption and growth with a subscription business model")</f>
        <v>Bidroom: Master disruption and growth with a subscription business model</v>
      </c>
      <c r="B648" s="10" t="str">
        <f>IFERROR(__xludf.DUMMYFUNCTION("""COMPUTED_VALUE"""),"The co-founder of Bidroom, Michael discusses key growth factors in how their disruptive, membership-based business model changed one of the world's largest industries.")</f>
        <v>The co-founder of Bidroom, Michael discusses key growth factors in how their disruptive, membership-based business model changed one of the world's largest industries.</v>
      </c>
      <c r="C648" s="10" t="str">
        <f>IFERROR(__xludf.DUMMYFUNCTION("""COMPUTED_VALUE"""),"Growth Summit")</f>
        <v>Growth Summit</v>
      </c>
      <c r="D648" s="10" t="str">
        <f>IFERROR(__xludf.DUMMYFUNCTION("""COMPUTED_VALUE"""),"Michael Ros")</f>
        <v>Michael Ros</v>
      </c>
      <c r="E648" s="10" t="str">
        <f>IFERROR(__xludf.DUMMYFUNCTION("""COMPUTED_VALUE"""),"Michael Ros")</f>
        <v>Michael Ros</v>
      </c>
      <c r="F648" s="10" t="str">
        <f>IFERROR(__xludf.DUMMYFUNCTION("""COMPUTED_VALUE"""),"2019/11/05 15:15:00")</f>
        <v>2019/11/05 15:15:00</v>
      </c>
      <c r="G648" s="10" t="str">
        <f>IFERROR(__xludf.DUMMYFUNCTION("""COMPUTED_VALUE"""),"2019/11/05 15:26:00")</f>
        <v>2019/11/05 15:26:00</v>
      </c>
      <c r="H648" s="10" t="str">
        <f>IFERROR(__xludf.DUMMYFUNCTION("""COMPUTED_VALUE"""),"161c0732-4898-4b62-b38c-0132395b35c6")</f>
        <v>161c0732-4898-4b62-b38c-0132395b35c6</v>
      </c>
      <c r="I648" s="10" t="str">
        <f>IFERROR(__xludf.DUMMYFUNCTION("""COMPUTED_VALUE"""),"161c0732-4898-4b62-b38c-0132395b35c6")</f>
        <v>161c0732-4898-4b62-b38c-0132395b35c6</v>
      </c>
    </row>
    <row r="649">
      <c r="A649" s="10" t="str">
        <f>IFERROR(__xludf.DUMMYFUNCTION("""COMPUTED_VALUE"""),"The challenges of innovating in a big bank – how to operate like a fintech?")</f>
        <v>The challenges of innovating in a big bank – how to operate like a fintech?</v>
      </c>
      <c r="B649" s="10" t="str">
        <f>IFERROR(__xludf.DUMMYFUNCTION("""COMPUTED_VALUE"""),"A new generation of customers is in demand for alternative financial products that can add value to their daily lives. How can an incumbent cope with the new paradigm? The case of moey!, the first 100% mobile banking solution in Portugal and Meniga, a wor"&amp;"ld leader in developing fintech solutions for banking.
 ")</f>
        <v>A new generation of customers is in demand for alternative financial products that can add value to their daily lives. How can an incumbent cope with the new paradigm? The case of moey!, the first 100% mobile banking solution in Portugal and Meniga, a world leader in developing fintech solutions for banking.
 </v>
      </c>
      <c r="C649" s="10" t="str">
        <f>IFERROR(__xludf.DUMMYFUNCTION("""COMPUTED_VALUE"""),"Corporate Innovation Summit")</f>
        <v>Corporate Innovation Summit</v>
      </c>
      <c r="D649" s="10" t="str">
        <f>IFERROR(__xludf.DUMMYFUNCTION("""COMPUTED_VALUE"""),"Ricardo Madeira, Jakub Piotrowski and Rosália Amorim")</f>
        <v>Ricardo Madeira, Jakub Piotrowski and Rosália Amorim</v>
      </c>
      <c r="E649" s="10" t="str">
        <f>IFERROR(__xludf.DUMMYFUNCTION("""COMPUTED_VALUE"""),"Ricardo Madeira,Jakub Piotrowski,Rosália Amorim")</f>
        <v>Ricardo Madeira,Jakub Piotrowski,Rosália Amorim</v>
      </c>
      <c r="F649" s="10" t="str">
        <f>IFERROR(__xludf.DUMMYFUNCTION("""COMPUTED_VALUE"""),"2019/11/06 11:25:00")</f>
        <v>2019/11/06 11:25:00</v>
      </c>
      <c r="G649" s="10" t="str">
        <f>IFERROR(__xludf.DUMMYFUNCTION("""COMPUTED_VALUE"""),"2019/11/06 11:45:00")</f>
        <v>2019/11/06 11:45:00</v>
      </c>
      <c r="H649" s="10" t="str">
        <f>IFERROR(__xludf.DUMMYFUNCTION("""COMPUTED_VALUE"""),"258b9338-ff99-45af-b822-895469ea3277")</f>
        <v>258b9338-ff99-45af-b822-895469ea3277</v>
      </c>
      <c r="I649" s="10" t="str">
        <f>IFERROR(__xludf.DUMMYFUNCTION("""COMPUTED_VALUE"""),"258b9338-ff99-45af-b822-895469ea3277")</f>
        <v>258b9338-ff99-45af-b822-895469ea3277</v>
      </c>
    </row>
    <row r="650">
      <c r="A650" s="10" t="str">
        <f>IFERROR(__xludf.DUMMYFUNCTION("""COMPUTED_VALUE"""),"Are you ready for 5G?")</f>
        <v>Are you ready for 5G?</v>
      </c>
      <c r="B650" s="10" t="str">
        <f>IFERROR(__xludf.DUMMYFUNCTION("""COMPUTED_VALUE"""),"Despite the hype, a lot of businesses and consumers still aren’t ready for just how revolutionary 5G is. Join this talk to hear about the Eight Currencies of 5G, and to see a complete picture of how it will open up new possibilities for your company, cons"&amp;"umers, and society for years to come. This Fourth Industrial Revolution is an amazing opportunity, and we dare not let it pass.")</f>
        <v>Despite the hype, a lot of businesses and consumers still aren’t ready for just how revolutionary 5G is. Join this talk to hear about the Eight Currencies of 5G, and to see a complete picture of how it will open up new possibilities for your company, consumers, and society for years to come. This Fourth Industrial Revolution is an amazing opportunity, and we dare not let it pass.</v>
      </c>
      <c r="C650" s="10" t="str">
        <f>IFERROR(__xludf.DUMMYFUNCTION("""COMPUTED_VALUE"""),"Centre Stage")</f>
        <v>Centre Stage</v>
      </c>
      <c r="D650" s="10" t="str">
        <f>IFERROR(__xludf.DUMMYFUNCTION("""COMPUTED_VALUE"""),"Ronan Dunne")</f>
        <v>Ronan Dunne</v>
      </c>
      <c r="E650" s="10" t="str">
        <f>IFERROR(__xludf.DUMMYFUNCTION("""COMPUTED_VALUE"""),"Ronan Dunne")</f>
        <v>Ronan Dunne</v>
      </c>
      <c r="F650" s="10" t="str">
        <f>IFERROR(__xludf.DUMMYFUNCTION("""COMPUTED_VALUE"""),"2019/11/05 10:00:00")</f>
        <v>2019/11/05 10:00:00</v>
      </c>
      <c r="G650" s="10" t="str">
        <f>IFERROR(__xludf.DUMMYFUNCTION("""COMPUTED_VALUE"""),"2019/11/05 10:25:00")</f>
        <v>2019/11/05 10:25:00</v>
      </c>
      <c r="H650" s="10" t="str">
        <f>IFERROR(__xludf.DUMMYFUNCTION("""COMPUTED_VALUE"""),"bf25eb67-8b8e-428d-9bd1-345f15be223c")</f>
        <v>bf25eb67-8b8e-428d-9bd1-345f15be223c</v>
      </c>
      <c r="I650" s="10" t="str">
        <f>IFERROR(__xludf.DUMMYFUNCTION("""COMPUTED_VALUE"""),"bf25eb67-8b8e-428d-9bd1-345f15be223c")</f>
        <v>bf25eb67-8b8e-428d-9bd1-345f15be223c</v>
      </c>
    </row>
    <row r="651">
      <c r="A651" s="10" t="str">
        <f>IFERROR(__xludf.DUMMYFUNCTION("""COMPUTED_VALUE"""),"Opening remarks")</f>
        <v>Opening remarks</v>
      </c>
      <c r="B651" s="10" t="str">
        <f>IFERROR(__xludf.DUMMYFUNCTION("""COMPUTED_VALUE"""),"")</f>
        <v/>
      </c>
      <c r="C651" s="10" t="str">
        <f>IFERROR(__xludf.DUMMYFUNCTION("""COMPUTED_VALUE"""),"PandaConf")</f>
        <v>PandaConf</v>
      </c>
      <c r="D651" s="10" t="str">
        <f>IFERROR(__xludf.DUMMYFUNCTION("""COMPUTED_VALUE"""),"Yamilette Cano")</f>
        <v>Yamilette Cano</v>
      </c>
      <c r="E651" s="10" t="str">
        <f>IFERROR(__xludf.DUMMYFUNCTION("""COMPUTED_VALUE"""),"Yamilette Cano")</f>
        <v>Yamilette Cano</v>
      </c>
      <c r="F651" s="10" t="str">
        <f>IFERROR(__xludf.DUMMYFUNCTION("""COMPUTED_VALUE"""),"2019/11/06 10:45:00")</f>
        <v>2019/11/06 10:45:00</v>
      </c>
      <c r="G651" s="10" t="str">
        <f>IFERROR(__xludf.DUMMYFUNCTION("""COMPUTED_VALUE"""),"2019/11/06 10:50:00")</f>
        <v>2019/11/06 10:50:00</v>
      </c>
      <c r="H651" s="10" t="str">
        <f>IFERROR(__xludf.DUMMYFUNCTION("""COMPUTED_VALUE"""),"fc0020ff-046f-4c92-a2c8-82205616d052")</f>
        <v>fc0020ff-046f-4c92-a2c8-82205616d052</v>
      </c>
      <c r="I651" s="10" t="str">
        <f>IFERROR(__xludf.DUMMYFUNCTION("""COMPUTED_VALUE"""),"fc0020ff-046f-4c92-a2c8-82205616d052")</f>
        <v>fc0020ff-046f-4c92-a2c8-82205616d052</v>
      </c>
    </row>
    <row r="652">
      <c r="A652" s="10" t="str">
        <f>IFERROR(__xludf.DUMMYFUNCTION("""COMPUTED_VALUE"""),"The state of global seed")</f>
        <v>The state of global seed</v>
      </c>
      <c r="B652" s="10" t="str">
        <f>IFERROR(__xludf.DUMMYFUNCTION("""COMPUTED_VALUE"""),"The shift towards later-stage investments has created a challenging landscape for early-stage startups seeking funding. As the pool of seed investors shrinks, what are those who are left searching for in companies? ")</f>
        <v>The shift towards later-stage investments has created a challenging landscape for early-stage startups seeking funding. As the pool of seed investors shrinks, what are those who are left searching for in companies? </v>
      </c>
      <c r="C652" s="10" t="str">
        <f>IFERROR(__xludf.DUMMYFUNCTION("""COMPUTED_VALUE"""),"Venture stage")</f>
        <v>Venture stage</v>
      </c>
      <c r="D652" s="10" t="str">
        <f>IFERROR(__xludf.DUMMYFUNCTION("""COMPUTED_VALUE"""),"Reshma Sohoni, Gillian Munson, Zach Coelius, Alexandre Barbosa and Nizar Tarhuni")</f>
        <v>Reshma Sohoni, Gillian Munson, Zach Coelius, Alexandre Barbosa and Nizar Tarhuni</v>
      </c>
      <c r="E652" s="10" t="str">
        <f>IFERROR(__xludf.DUMMYFUNCTION("""COMPUTED_VALUE"""),"Reshma Sohoni,Gillian Munson,Zach Coelius,Alexandre Barbosa,Nizar Tarhuni")</f>
        <v>Reshma Sohoni,Gillian Munson,Zach Coelius,Alexandre Barbosa,Nizar Tarhuni</v>
      </c>
      <c r="F652" s="10" t="str">
        <f>IFERROR(__xludf.DUMMYFUNCTION("""COMPUTED_VALUE"""),"2019/11/05 13:45:00")</f>
        <v>2019/11/05 13:45:00</v>
      </c>
      <c r="G652" s="10" t="str">
        <f>IFERROR(__xludf.DUMMYFUNCTION("""COMPUTED_VALUE"""),"2019/11/05 14:05:00")</f>
        <v>2019/11/05 14:05:00</v>
      </c>
      <c r="H652" s="10" t="str">
        <f>IFERROR(__xludf.DUMMYFUNCTION("""COMPUTED_VALUE"""),"75e89197-77fc-46c8-a26e-e6fddc2a1b3c")</f>
        <v>75e89197-77fc-46c8-a26e-e6fddc2a1b3c</v>
      </c>
      <c r="I652" s="10" t="str">
        <f>IFERROR(__xludf.DUMMYFUNCTION("""COMPUTED_VALUE"""),"75e89197-77fc-46c8-a26e-e6fddc2a1b3c")</f>
        <v>75e89197-77fc-46c8-a26e-e6fddc2a1b3c</v>
      </c>
    </row>
    <row r="653">
      <c r="A653" s="10" t="str">
        <f>IFERROR(__xludf.DUMMYFUNCTION("""COMPUTED_VALUE"""),"Data secure passive biometrics")</f>
        <v>Data secure passive biometrics</v>
      </c>
      <c r="B653" s="10" t="str">
        <f>IFERROR(__xludf.DUMMYFUNCTION("""COMPUTED_VALUE"""),"Should the internet of the 21st century be a global village of people wearing masks and trolling? Aleksander's talk is about providing a platform that enables visibility without compromising when it comes to data and identity security.")</f>
        <v>Should the internet of the 21st century be a global village of people wearing masks and trolling? Aleksander's talk is about providing a platform that enables visibility without compromising when it comes to data and identity security.</v>
      </c>
      <c r="C653" s="10" t="str">
        <f>IFERROR(__xludf.DUMMYFUNCTION("""COMPUTED_VALUE"""),"Growth Summit")</f>
        <v>Growth Summit</v>
      </c>
      <c r="D653" s="10" t="str">
        <f>IFERROR(__xludf.DUMMYFUNCTION("""COMPUTED_VALUE"""),"Aleksander Kijek")</f>
        <v>Aleksander Kijek</v>
      </c>
      <c r="E653" s="10" t="str">
        <f>IFERROR(__xludf.DUMMYFUNCTION("""COMPUTED_VALUE"""),"Aleksander Kijek")</f>
        <v>Aleksander Kijek</v>
      </c>
      <c r="F653" s="10" t="str">
        <f>IFERROR(__xludf.DUMMYFUNCTION("""COMPUTED_VALUE"""),"2019/11/07 10:54:00")</f>
        <v>2019/11/07 10:54:00</v>
      </c>
      <c r="G653" s="10" t="str">
        <f>IFERROR(__xludf.DUMMYFUNCTION("""COMPUTED_VALUE"""),"2019/11/07 10:56:00")</f>
        <v>2019/11/07 10:56:00</v>
      </c>
      <c r="H653" s="10" t="str">
        <f>IFERROR(__xludf.DUMMYFUNCTION("""COMPUTED_VALUE"""),"3bc1f9b7-22a8-4953-bf70-84359246d05a")</f>
        <v>3bc1f9b7-22a8-4953-bf70-84359246d05a</v>
      </c>
      <c r="I653" s="10" t="str">
        <f>IFERROR(__xludf.DUMMYFUNCTION("""COMPUTED_VALUE"""),"3bc1f9b7-22a8-4953-bf70-84359246d05a")</f>
        <v>3bc1f9b7-22a8-4953-bf70-84359246d05a</v>
      </c>
    </row>
    <row r="654">
      <c r="A654" s="10" t="str">
        <f>IFERROR(__xludf.DUMMYFUNCTION("""COMPUTED_VALUE"""),"Fintech v big tech: Competitive consumer experience")</f>
        <v>Fintech v big tech: Competitive consumer experience</v>
      </c>
      <c r="B654" s="10" t="str">
        <f>IFERROR(__xludf.DUMMYFUNCTION("""COMPUTED_VALUE"""),"It seems like tech giants can't get enough of fintech. As players like Facebook and Uber begin their long-anticipated move into the market, what can standalone fintechs and banks do to maintain consumer loyalty? ")</f>
        <v>It seems like tech giants can't get enough of fintech. As players like Facebook and Uber begin their long-anticipated move into the market, what can standalone fintechs and banks do to maintain consumer loyalty? </v>
      </c>
      <c r="C654" s="10" t="str">
        <f>IFERROR(__xludf.DUMMYFUNCTION("""COMPUTED_VALUE"""),"MoneyConf")</f>
        <v>MoneyConf</v>
      </c>
      <c r="D654" s="10" t="str">
        <f>IFERROR(__xludf.DUMMYFUNCTION("""COMPUTED_VALUE"""),"Jaspar Weir, Matthew Crummack, Madalena Cascais Tomé and Jordan French")</f>
        <v>Jaspar Weir, Matthew Crummack, Madalena Cascais Tomé and Jordan French</v>
      </c>
      <c r="E654" s="10" t="str">
        <f>IFERROR(__xludf.DUMMYFUNCTION("""COMPUTED_VALUE"""),"Jaspar Weir,Matthew Crummack,Madalena Cascais Tomé,Jordan French")</f>
        <v>Jaspar Weir,Matthew Crummack,Madalena Cascais Tomé,Jordan French</v>
      </c>
      <c r="F654" s="10" t="str">
        <f>IFERROR(__xludf.DUMMYFUNCTION("""COMPUTED_VALUE"""),"2019/11/06 15:00:00")</f>
        <v>2019/11/06 15:00:00</v>
      </c>
      <c r="G654" s="10" t="str">
        <f>IFERROR(__xludf.DUMMYFUNCTION("""COMPUTED_VALUE"""),"2019/11/06 15:25:00")</f>
        <v>2019/11/06 15:25:00</v>
      </c>
      <c r="H654" s="10" t="str">
        <f>IFERROR(__xludf.DUMMYFUNCTION("""COMPUTED_VALUE"""),"1a73884b-5946-481c-aa1b-62dd927d535d")</f>
        <v>1a73884b-5946-481c-aa1b-62dd927d535d</v>
      </c>
      <c r="I654" s="10" t="str">
        <f>IFERROR(__xludf.DUMMYFUNCTION("""COMPUTED_VALUE"""),"1a73884b-5946-481c-aa1b-62dd927d535d")</f>
        <v>1a73884b-5946-481c-aa1b-62dd927d535d</v>
      </c>
    </row>
    <row r="655">
      <c r="A655" s="10" t="str">
        <f>IFERROR(__xludf.DUMMYFUNCTION("""COMPUTED_VALUE"""),"Music Innovation Prize 2019")</f>
        <v>Music Innovation Prize 2019</v>
      </c>
      <c r="B655" s="10" t="str">
        <f>IFERROR(__xludf.DUMMYFUNCTION("""COMPUTED_VALUE"""),"This year at Web Summit, we’re introducing a new competition on our MusicNotes stage. Five cutting-edge music startups will showcase their company live onstage in front of a panel of industry heavyweights, influential investors, and big-name artists. The "&amp;"winner will be awarded the first-ever Music Innovation Prize.")</f>
        <v>This year at Web Summit, we’re introducing a new competition on our MusicNotes stage. Five cutting-edge music startups will showcase their company live onstage in front of a panel of industry heavyweights, influential investors, and big-name artists. The winner will be awarded the first-ever Music Innovation Prize.</v>
      </c>
      <c r="C655" s="10" t="str">
        <f>IFERROR(__xludf.DUMMYFUNCTION("""COMPUTED_VALUE"""),"MusicNotes")</f>
        <v>MusicNotes</v>
      </c>
      <c r="D655" s="10" t="str">
        <f>IFERROR(__xludf.DUMMYFUNCTION("""COMPUTED_VALUE"""),"Graham Tull, George Wright, Phil Briot, Karén Chiftalaryan and Nuno Fonseca")</f>
        <v>Graham Tull, George Wright, Phil Briot, Karén Chiftalaryan and Nuno Fonseca</v>
      </c>
      <c r="E655" s="10" t="str">
        <f>IFERROR(__xludf.DUMMYFUNCTION("""COMPUTED_VALUE"""),"Graham Tull,George Wright,Phil Briot,Karén Chiftalaryan,Nuno Fonseca")</f>
        <v>Graham Tull,George Wright,Phil Briot,Karén Chiftalaryan,Nuno Fonseca</v>
      </c>
      <c r="F655" s="10" t="str">
        <f>IFERROR(__xludf.DUMMYFUNCTION("""COMPUTED_VALUE"""),"2019/11/07 12:35:00")</f>
        <v>2019/11/07 12:35:00</v>
      </c>
      <c r="G655" s="10" t="str">
        <f>IFERROR(__xludf.DUMMYFUNCTION("""COMPUTED_VALUE"""),"2019/11/07 13:05:00")</f>
        <v>2019/11/07 13:05:00</v>
      </c>
      <c r="H655" s="10" t="str">
        <f>IFERROR(__xludf.DUMMYFUNCTION("""COMPUTED_VALUE"""),"6de38082-d758-49eb-a19b-652a8f340afc")</f>
        <v>6de38082-d758-49eb-a19b-652a8f340afc</v>
      </c>
      <c r="I655" s="10" t="str">
        <f>IFERROR(__xludf.DUMMYFUNCTION("""COMPUTED_VALUE"""),"6de38082-d758-49eb-a19b-652a8f340afc")</f>
        <v>6de38082-d758-49eb-a19b-652a8f340afc</v>
      </c>
    </row>
    <row r="656">
      <c r="A656" s="10" t="str">
        <f>IFERROR(__xludf.DUMMYFUNCTION("""COMPUTED_VALUE"""),"In conversation with Margrethe Vestager")</f>
        <v>In conversation with Margrethe Vestager</v>
      </c>
      <c r="B656" s="10" t="str">
        <f>IFERROR(__xludf.DUMMYFUNCTION("""COMPUTED_VALUE"""),"Hear from the gatekeeper for the future of technology who has taken on Apple, Amazon and Google, and won, and is only getting started.")</f>
        <v>Hear from the gatekeeper for the future of technology who has taken on Apple, Amazon and Google, and won, and is only getting started.</v>
      </c>
      <c r="C656" s="10" t="str">
        <f>IFERROR(__xludf.DUMMYFUNCTION("""COMPUTED_VALUE"""),"Centre Stage")</f>
        <v>Centre Stage</v>
      </c>
      <c r="D656" s="10" t="str">
        <f>IFERROR(__xludf.DUMMYFUNCTION("""COMPUTED_VALUE"""),"Margrethe Vestager and Laurie Segall")</f>
        <v>Margrethe Vestager and Laurie Segall</v>
      </c>
      <c r="E656" s="10" t="str">
        <f>IFERROR(__xludf.DUMMYFUNCTION("""COMPUTED_VALUE"""),"Margrethe Vestager,Laurie Segall")</f>
        <v>Margrethe Vestager,Laurie Segall</v>
      </c>
      <c r="F656" s="10" t="str">
        <f>IFERROR(__xludf.DUMMYFUNCTION("""COMPUTED_VALUE"""),"2019/11/07 16:30:00")</f>
        <v>2019/11/07 16:30:00</v>
      </c>
      <c r="G656" s="10" t="str">
        <f>IFERROR(__xludf.DUMMYFUNCTION("""COMPUTED_VALUE"""),"2019/11/07 16:55:00")</f>
        <v>2019/11/07 16:55:00</v>
      </c>
      <c r="H656" s="10" t="str">
        <f>IFERROR(__xludf.DUMMYFUNCTION("""COMPUTED_VALUE"""),"e1941c66-7586-42a7-bf1f-b8d777f7a040")</f>
        <v>e1941c66-7586-42a7-bf1f-b8d777f7a040</v>
      </c>
      <c r="I656" s="10" t="str">
        <f>IFERROR(__xludf.DUMMYFUNCTION("""COMPUTED_VALUE"""),"e1941c66-7586-42a7-bf1f-b8d777f7a040")</f>
        <v>e1941c66-7586-42a7-bf1f-b8d777f7a040</v>
      </c>
    </row>
    <row r="657">
      <c r="A657" s="10" t="str">
        <f>IFERROR(__xludf.DUMMYFUNCTION("""COMPUTED_VALUE"""),"Revolutionising stock: Fintech's role in the market")</f>
        <v>Revolutionising stock: Fintech's role in the market</v>
      </c>
      <c r="B657" s="10" t="str">
        <f>IFERROR(__xludf.DUMMYFUNCTION("""COMPUTED_VALUE"""),"What do sneakers and debit cards have in common? Both have provided these two founders an opportunity to adapt the stock market to match their latest consumer needs. The founders of StockX and Revolut will be onstage discussing how they have reshaped the "&amp;"unpredictable world of stocks to suit their business. ")</f>
        <v>What do sneakers and debit cards have in common? Both have provided these two founders an opportunity to adapt the stock market to match their latest consumer needs. The founders of StockX and Revolut will be onstage discussing how they have reshaped the unpredictable world of stocks to suit their business. </v>
      </c>
      <c r="C657" s="10" t="str">
        <f>IFERROR(__xludf.DUMMYFUNCTION("""COMPUTED_VALUE"""),"MoneyConf")</f>
        <v>MoneyConf</v>
      </c>
      <c r="D657" s="10" t="str">
        <f>IFERROR(__xludf.DUMMYFUNCTION("""COMPUTED_VALUE"""),"Nikolay Storonsky, Josh Luber and Elizabeth Schulze")</f>
        <v>Nikolay Storonsky, Josh Luber and Elizabeth Schulze</v>
      </c>
      <c r="E657" s="10" t="str">
        <f>IFERROR(__xludf.DUMMYFUNCTION("""COMPUTED_VALUE"""),"Nikolay Storonsky,Josh Luber,Elizabeth Schulze")</f>
        <v>Nikolay Storonsky,Josh Luber,Elizabeth Schulze</v>
      </c>
      <c r="F657" s="10" t="str">
        <f>IFERROR(__xludf.DUMMYFUNCTION("""COMPUTED_VALUE"""),"2019/11/07 15:55:00")</f>
        <v>2019/11/07 15:55:00</v>
      </c>
      <c r="G657" s="10" t="str">
        <f>IFERROR(__xludf.DUMMYFUNCTION("""COMPUTED_VALUE"""),"2019/11/07 16:20:00")</f>
        <v>2019/11/07 16:20:00</v>
      </c>
      <c r="H657" s="10" t="str">
        <f>IFERROR(__xludf.DUMMYFUNCTION("""COMPUTED_VALUE"""),"d3afabf6-2c15-4fae-98f4-8e13e3edb940")</f>
        <v>d3afabf6-2c15-4fae-98f4-8e13e3edb940</v>
      </c>
      <c r="I657" s="10" t="str">
        <f>IFERROR(__xludf.DUMMYFUNCTION("""COMPUTED_VALUE"""),"d3afabf6-2c15-4fae-98f4-8e13e3edb940")</f>
        <v>d3afabf6-2c15-4fae-98f4-8e13e3edb940</v>
      </c>
    </row>
    <row r="658">
      <c r="A658" s="10" t="str">
        <f>IFERROR(__xludf.DUMMYFUNCTION("""COMPUTED_VALUE"""),"Time Out: A tasty transformation")</f>
        <v>Time Out: A tasty transformation</v>
      </c>
      <c r="B658" s="10" t="str">
        <f>IFERROR(__xludf.DUMMYFUNCTION("""COMPUTED_VALUE"""),"How Time Out went from 1968 London magazine to opening food and cultural markets around the world.
")</f>
        <v>How Time Out went from 1968 London magazine to opening food and cultural markets around the world.
</v>
      </c>
      <c r="C658" s="10" t="str">
        <f>IFERROR(__xludf.DUMMYFUNCTION("""COMPUTED_VALUE"""),"Corporate Innovation Summit")</f>
        <v>Corporate Innovation Summit</v>
      </c>
      <c r="D658" s="10" t="str">
        <f>IFERROR(__xludf.DUMMYFUNCTION("""COMPUTED_VALUE"""),"Julio Bruno")</f>
        <v>Julio Bruno</v>
      </c>
      <c r="E658" s="10" t="str">
        <f>IFERROR(__xludf.DUMMYFUNCTION("""COMPUTED_VALUE"""),"Julio Bruno")</f>
        <v>Julio Bruno</v>
      </c>
      <c r="F658" s="10" t="str">
        <f>IFERROR(__xludf.DUMMYFUNCTION("""COMPUTED_VALUE"""),"2019/11/07 12:20:00")</f>
        <v>2019/11/07 12:20:00</v>
      </c>
      <c r="G658" s="10" t="str">
        <f>IFERROR(__xludf.DUMMYFUNCTION("""COMPUTED_VALUE"""),"2019/11/07 12:35:00")</f>
        <v>2019/11/07 12:35:00</v>
      </c>
      <c r="H658" s="10" t="str">
        <f>IFERROR(__xludf.DUMMYFUNCTION("""COMPUTED_VALUE"""),"db64c6fe-ffe5-4c73-9c46-4261eb510ebd")</f>
        <v>db64c6fe-ffe5-4c73-9c46-4261eb510ebd</v>
      </c>
      <c r="I658" s="10" t="str">
        <f>IFERROR(__xludf.DUMMYFUNCTION("""COMPUTED_VALUE"""),"db64c6fe-ffe5-4c73-9c46-4261eb510ebd")</f>
        <v>db64c6fe-ffe5-4c73-9c46-4261eb510ebd</v>
      </c>
    </row>
    <row r="659">
      <c r="A659" s="10" t="str">
        <f>IFERROR(__xludf.DUMMYFUNCTION("""COMPUTED_VALUE"""),"Lunch break")</f>
        <v>Lunch break</v>
      </c>
      <c r="B659" s="10" t="str">
        <f>IFERROR(__xludf.DUMMYFUNCTION("""COMPUTED_VALUE"""),"")</f>
        <v/>
      </c>
      <c r="C659" s="10" t="str">
        <f>IFERROR(__xludf.DUMMYFUNCTION("""COMPUTED_VALUE"""),"ContentMakers")</f>
        <v>ContentMakers</v>
      </c>
      <c r="D659" s="10" t="str">
        <f>IFERROR(__xludf.DUMMYFUNCTION("""COMPUTED_VALUE"""),"")</f>
        <v/>
      </c>
      <c r="E659" s="10" t="str">
        <f>IFERROR(__xludf.DUMMYFUNCTION("""COMPUTED_VALUE"""),"")</f>
        <v/>
      </c>
      <c r="F659" s="10" t="str">
        <f>IFERROR(__xludf.DUMMYFUNCTION("""COMPUTED_VALUE"""),"2019/11/06 13:30:00")</f>
        <v>2019/11/06 13:30:00</v>
      </c>
      <c r="G659" s="10" t="str">
        <f>IFERROR(__xludf.DUMMYFUNCTION("""COMPUTED_VALUE"""),"2019/11/06 14:00:00")</f>
        <v>2019/11/06 14:00:00</v>
      </c>
      <c r="H659" s="10" t="str">
        <f>IFERROR(__xludf.DUMMYFUNCTION("""COMPUTED_VALUE"""),"7ca496e4-68f1-4fa1-a6be-ed4fa978ebb8")</f>
        <v>7ca496e4-68f1-4fa1-a6be-ed4fa978ebb8</v>
      </c>
      <c r="I659" s="10" t="str">
        <f>IFERROR(__xludf.DUMMYFUNCTION("""COMPUTED_VALUE"""),"7ca496e4-68f1-4fa1-a6be-ed4fa978ebb8")</f>
        <v>7ca496e4-68f1-4fa1-a6be-ed4fa978ebb8</v>
      </c>
    </row>
    <row r="660">
      <c r="A660" s="10" t="str">
        <f>IFERROR(__xludf.DUMMYFUNCTION("""COMPUTED_VALUE"""),"Explore your digital futures, hosted by Shell")</f>
        <v>Explore your digital futures, hosted by Shell</v>
      </c>
      <c r="B660" s="10"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660" s="10" t="str">
        <f>IFERROR(__xludf.DUMMYFUNCTION("""COMPUTED_VALUE"""),"Workshop 3")</f>
        <v>Workshop 3</v>
      </c>
      <c r="D660" s="10" t="str">
        <f>IFERROR(__xludf.DUMMYFUNCTION("""COMPUTED_VALUE"""),"Adam Eales")</f>
        <v>Adam Eales</v>
      </c>
      <c r="E660" s="10" t="str">
        <f>IFERROR(__xludf.DUMMYFUNCTION("""COMPUTED_VALUE"""),"Adam Eales")</f>
        <v>Adam Eales</v>
      </c>
      <c r="F660" s="10" t="str">
        <f>IFERROR(__xludf.DUMMYFUNCTION("""COMPUTED_VALUE"""),"2019/11/07 13:00:00")</f>
        <v>2019/11/07 13:00:00</v>
      </c>
      <c r="G660" s="10" t="str">
        <f>IFERROR(__xludf.DUMMYFUNCTION("""COMPUTED_VALUE"""),"2019/11/07 13:45:00")</f>
        <v>2019/11/07 13:45:00</v>
      </c>
      <c r="H660" s="10" t="str">
        <f>IFERROR(__xludf.DUMMYFUNCTION("""COMPUTED_VALUE"""),"0fbb934a-5019-4313-9bf7-02a0c8d19809")</f>
        <v>0fbb934a-5019-4313-9bf7-02a0c8d19809</v>
      </c>
      <c r="I660" s="10" t="str">
        <f>IFERROR(__xludf.DUMMYFUNCTION("""COMPUTED_VALUE"""),"0fbb934a-5019-4313-9bf7-02a0c8d19809")</f>
        <v>0fbb934a-5019-4313-9bf7-02a0c8d19809</v>
      </c>
    </row>
    <row r="661">
      <c r="A661" s="10" t="str">
        <f>IFERROR(__xludf.DUMMYFUNCTION("""COMPUTED_VALUE"""),"Everybody loves a challenger (bank)")</f>
        <v>Everybody loves a challenger (bank)</v>
      </c>
      <c r="B661" s="10" t="str">
        <f>IFERROR(__xludf.DUMMYFUNCTION("""COMPUTED_VALUE"""),"Silicon Valley darling Brex have become the reference point for successful credit card startups. Join their founder in conversation about the changing banking landscape, future challenges in fintech and which startups he thinks will rise to the occasion. ")</f>
        <v>Silicon Valley darling Brex have become the reference point for successful credit card startups. Join their founder in conversation about the changing banking landscape, future challenges in fintech and which startups he thinks will rise to the occasion. </v>
      </c>
      <c r="C661" s="10" t="str">
        <f>IFERROR(__xludf.DUMMYFUNCTION("""COMPUTED_VALUE"""),"MoneyConf")</f>
        <v>MoneyConf</v>
      </c>
      <c r="D661" s="10" t="str">
        <f>IFERROR(__xludf.DUMMYFUNCTION("""COMPUTED_VALUE"""),"Henrique Dubugras and Peter Thal Larsen")</f>
        <v>Henrique Dubugras and Peter Thal Larsen</v>
      </c>
      <c r="E661" s="10" t="str">
        <f>IFERROR(__xludf.DUMMYFUNCTION("""COMPUTED_VALUE"""),"Henrique Dubugras,Peter Thal Larsen")</f>
        <v>Henrique Dubugras,Peter Thal Larsen</v>
      </c>
      <c r="F661" s="10" t="str">
        <f>IFERROR(__xludf.DUMMYFUNCTION("""COMPUTED_VALUE"""),"2019/11/07 12:35:00")</f>
        <v>2019/11/07 12:35:00</v>
      </c>
      <c r="G661" s="10" t="str">
        <f>IFERROR(__xludf.DUMMYFUNCTION("""COMPUTED_VALUE"""),"2019/11/07 13:00:00")</f>
        <v>2019/11/07 13:00:00</v>
      </c>
      <c r="H661" s="10" t="str">
        <f>IFERROR(__xludf.DUMMYFUNCTION("""COMPUTED_VALUE"""),"5cc24bbc-64bd-4416-ad2b-88907b9a23da")</f>
        <v>5cc24bbc-64bd-4416-ad2b-88907b9a23da</v>
      </c>
      <c r="I661" s="10" t="str">
        <f>IFERROR(__xludf.DUMMYFUNCTION("""COMPUTED_VALUE"""),"5cc24bbc-64bd-4416-ad2b-88907b9a23da")</f>
        <v>5cc24bbc-64bd-4416-ad2b-88907b9a23da</v>
      </c>
    </row>
    <row r="662">
      <c r="A662" s="10" t="str">
        <f>IFERROR(__xludf.DUMMYFUNCTION("""COMPUTED_VALUE"""),"Leadership amid disruption: CX at scale ")</f>
        <v>Leadership amid disruption: CX at scale </v>
      </c>
      <c r="B662" s="10" t="str">
        <f>IFERROR(__xludf.DUMMYFUNCTION("""COMPUTED_VALUE"""),"Leading has never been more complicated. Two globally loved brand leaders discuss about perfecting customer experience on and off screen amid rapid global changes and uncertainty.")</f>
        <v>Leading has never been more complicated. Two globally loved brand leaders discuss about perfecting customer experience on and off screen amid rapid global changes and uncertainty.</v>
      </c>
      <c r="C662" s="10" t="str">
        <f>IFERROR(__xludf.DUMMYFUNCTION("""COMPUTED_VALUE"""),"Startup University")</f>
        <v>Startup University</v>
      </c>
      <c r="D662" s="10" t="str">
        <f>IFERROR(__xludf.DUMMYFUNCTION("""COMPUTED_VALUE"""),"Domingos Oliveira and Fernando Machado")</f>
        <v>Domingos Oliveira and Fernando Machado</v>
      </c>
      <c r="E662" s="10" t="str">
        <f>IFERROR(__xludf.DUMMYFUNCTION("""COMPUTED_VALUE"""),"Domingos Oliveira,Fernando Machado")</f>
        <v>Domingos Oliveira,Fernando Machado</v>
      </c>
      <c r="F662" s="10" t="str">
        <f>IFERROR(__xludf.DUMMYFUNCTION("""COMPUTED_VALUE"""),"2019/11/06 16:20:00")</f>
        <v>2019/11/06 16:20:00</v>
      </c>
      <c r="G662" s="10" t="str">
        <f>IFERROR(__xludf.DUMMYFUNCTION("""COMPUTED_VALUE"""),"2019/11/06 16:40:00")</f>
        <v>2019/11/06 16:40:00</v>
      </c>
      <c r="H662" s="10" t="str">
        <f>IFERROR(__xludf.DUMMYFUNCTION("""COMPUTED_VALUE"""),"571d1335-f8c4-41e2-90b5-1f22084665d3")</f>
        <v>571d1335-f8c4-41e2-90b5-1f22084665d3</v>
      </c>
      <c r="I662" s="10" t="str">
        <f>IFERROR(__xludf.DUMMYFUNCTION("""COMPUTED_VALUE"""),"571d1335-f8c4-41e2-90b5-1f22084665d3")</f>
        <v>571d1335-f8c4-41e2-90b5-1f22084665d3</v>
      </c>
    </row>
    <row r="663">
      <c r="A663" s="10" t="str">
        <f>IFERROR(__xludf.DUMMYFUNCTION("""COMPUTED_VALUE"""),"Uber's road ahead")</f>
        <v>Uber's road ahead</v>
      </c>
      <c r="B663" s="10" t="str">
        <f>IFERROR(__xludf.DUMMYFUNCTION("""COMPUTED_VALUE"""),"Uber's Chief Product Officer, Manik shares insights from his four years at the company and previews his vision for the global platform as an operating system for city life.")</f>
        <v>Uber's Chief Product Officer, Manik shares insights from his four years at the company and previews his vision for the global platform as an operating system for city life.</v>
      </c>
      <c r="C663" s="10" t="str">
        <f>IFERROR(__xludf.DUMMYFUNCTION("""COMPUTED_VALUE"""),"Centre Stage")</f>
        <v>Centre Stage</v>
      </c>
      <c r="D663" s="10" t="str">
        <f>IFERROR(__xludf.DUMMYFUNCTION("""COMPUTED_VALUE"""),"Manik Gupta and Tim Bradshaw")</f>
        <v>Manik Gupta and Tim Bradshaw</v>
      </c>
      <c r="E663" s="10" t="str">
        <f>IFERROR(__xludf.DUMMYFUNCTION("""COMPUTED_VALUE"""),"Manik Gupta,Tim Bradshaw")</f>
        <v>Manik Gupta,Tim Bradshaw</v>
      </c>
      <c r="F663" s="10" t="str">
        <f>IFERROR(__xludf.DUMMYFUNCTION("""COMPUTED_VALUE"""),"2019/11/05 14:00:00")</f>
        <v>2019/11/05 14:00:00</v>
      </c>
      <c r="G663" s="10" t="str">
        <f>IFERROR(__xludf.DUMMYFUNCTION("""COMPUTED_VALUE"""),"2019/11/05 14:25:00")</f>
        <v>2019/11/05 14:25:00</v>
      </c>
      <c r="H663" s="10" t="str">
        <f>IFERROR(__xludf.DUMMYFUNCTION("""COMPUTED_VALUE"""),"adbbdef3-dc7f-4a24-b16e-8606dd0b892d")</f>
        <v>adbbdef3-dc7f-4a24-b16e-8606dd0b892d</v>
      </c>
      <c r="I663" s="10" t="str">
        <f>IFERROR(__xludf.DUMMYFUNCTION("""COMPUTED_VALUE"""),"adbbdef3-dc7f-4a24-b16e-8606dd0b892d")</f>
        <v>adbbdef3-dc7f-4a24-b16e-8606dd0b892d</v>
      </c>
    </row>
    <row r="664">
      <c r="A664" s="10" t="str">
        <f>IFERROR(__xludf.DUMMYFUNCTION("""COMPUTED_VALUE"""),"All about that BaaS ")</f>
        <v>All about that BaaS </v>
      </c>
      <c r="B664" s="10" t="str">
        <f>IFERROR(__xludf.DUMMYFUNCTION("""COMPUTED_VALUE"""),"From tech-savvy fintechs to legacy institutions, everyone is jumping on the BaaS hype train. Open banking is proving to be the best way to ensure transparency in a fraught market - but just how are these solutions being adapted, and what will it mean for "&amp;"the consumer?")</f>
        <v>From tech-savvy fintechs to legacy institutions, everyone is jumping on the BaaS hype train. Open banking is proving to be the best way to ensure transparency in a fraught market - but just how are these solutions being adapted, and what will it mean for the consumer?</v>
      </c>
      <c r="C664" s="10" t="str">
        <f>IFERROR(__xludf.DUMMYFUNCTION("""COMPUTED_VALUE"""),"MoneyConf")</f>
        <v>MoneyConf</v>
      </c>
      <c r="D664" s="10" t="str">
        <f>IFERROR(__xludf.DUMMYFUNCTION("""COMPUTED_VALUE"""),"Tom Villante, Roland Folz and Felix Holtermann")</f>
        <v>Tom Villante, Roland Folz and Felix Holtermann</v>
      </c>
      <c r="E664" s="10" t="str">
        <f>IFERROR(__xludf.DUMMYFUNCTION("""COMPUTED_VALUE"""),"Tom Villante,Roland Folz,Felix Holtermann")</f>
        <v>Tom Villante,Roland Folz,Felix Holtermann</v>
      </c>
      <c r="F664" s="10" t="str">
        <f>IFERROR(__xludf.DUMMYFUNCTION("""COMPUTED_VALUE"""),"2019/11/06 14:40:00")</f>
        <v>2019/11/06 14:40:00</v>
      </c>
      <c r="G664" s="10" t="str">
        <f>IFERROR(__xludf.DUMMYFUNCTION("""COMPUTED_VALUE"""),"2019/11/06 15:00:00")</f>
        <v>2019/11/06 15:00:00</v>
      </c>
      <c r="H664" s="10" t="str">
        <f>IFERROR(__xludf.DUMMYFUNCTION("""COMPUTED_VALUE"""),"bdeab019-11a2-4f2f-b847-766c8fa05fc2")</f>
        <v>bdeab019-11a2-4f2f-b847-766c8fa05fc2</v>
      </c>
      <c r="I664" s="10" t="str">
        <f>IFERROR(__xludf.DUMMYFUNCTION("""COMPUTED_VALUE"""),"bdeab019-11a2-4f2f-b847-766c8fa05fc2")</f>
        <v>bdeab019-11a2-4f2f-b847-766c8fa05fc2</v>
      </c>
    </row>
    <row r="665">
      <c r="A665" s="10" t="str">
        <f>IFERROR(__xludf.DUMMYFUNCTION("""COMPUTED_VALUE"""),"From the ballot box to blockchain")</f>
        <v>From the ballot box to blockchain</v>
      </c>
      <c r="B665" s="10" t="str">
        <f>IFERROR(__xludf.DUMMYFUNCTION("""COMPUTED_VALUE"""),"Free and fair elections are crucial for a functioning democracy. The use of technology to make voting easier for all isn't without risk - voting machines and election websites can be hacked and votes manipulated. This panel will explore how technology can"&amp;" be used to improve democracy and to protect against the pitfalls.")</f>
        <v>Free and fair elections are crucial for a functioning democracy. The use of technology to make voting easier for all isn't without risk - voting machines and election websites can be hacked and votes manipulated. This panel will explore how technology can be used to improve democracy and to protect against the pitfalls.</v>
      </c>
      <c r="C665" s="10" t="str">
        <f>IFERROR(__xludf.DUMMYFUNCTION("""COMPUTED_VALUE"""),"Future Societies")</f>
        <v>Future Societies</v>
      </c>
      <c r="D665" s="10" t="str">
        <f>IFERROR(__xludf.DUMMYFUNCTION("""COMPUTED_VALUE"""),"Sheila Nix, Andre Mcgregor, Silvia Caparros and Donie O'Sullivan")</f>
        <v>Sheila Nix, Andre Mcgregor, Silvia Caparros and Donie O'Sullivan</v>
      </c>
      <c r="E665" s="10" t="str">
        <f>IFERROR(__xludf.DUMMYFUNCTION("""COMPUTED_VALUE"""),"Sheila Nix,Andre Mcgregor,Silvia Caparros,Donie O'Sullivan")</f>
        <v>Sheila Nix,Andre Mcgregor,Silvia Caparros,Donie O'Sullivan</v>
      </c>
      <c r="F665" s="10" t="str">
        <f>IFERROR(__xludf.DUMMYFUNCTION("""COMPUTED_VALUE"""),"2019/11/07 13:00:00")</f>
        <v>2019/11/07 13:00:00</v>
      </c>
      <c r="G665" s="10" t="str">
        <f>IFERROR(__xludf.DUMMYFUNCTION("""COMPUTED_VALUE"""),"2019/11/07 13:20:00")</f>
        <v>2019/11/07 13:20:00</v>
      </c>
      <c r="H665" s="10" t="str">
        <f>IFERROR(__xludf.DUMMYFUNCTION("""COMPUTED_VALUE"""),"35695412-e8d7-48cb-8a32-c0d6a556eb36")</f>
        <v>35695412-e8d7-48cb-8a32-c0d6a556eb36</v>
      </c>
      <c r="I665" s="10" t="str">
        <f>IFERROR(__xludf.DUMMYFUNCTION("""COMPUTED_VALUE"""),"35695412-e8d7-48cb-8a32-c0d6a556eb36")</f>
        <v>35695412-e8d7-48cb-8a32-c0d6a556eb36</v>
      </c>
    </row>
    <row r="666">
      <c r="A666" s="10" t="str">
        <f>IFERROR(__xludf.DUMMYFUNCTION("""COMPUTED_VALUE"""),"Grow your startup with the best of Google")</f>
        <v>Grow your startup with the best of Google</v>
      </c>
      <c r="B666" s="10"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
")</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
</v>
      </c>
      <c r="C666" s="10" t="str">
        <f>IFERROR(__xludf.DUMMYFUNCTION("""COMPUTED_VALUE"""),"Google, E110, FIL 1")</f>
        <v>Google, E110, FIL 1</v>
      </c>
      <c r="D666" s="10" t="str">
        <f>IFERROR(__xludf.DUMMYFUNCTION("""COMPUTED_VALUE"""),"")</f>
        <v/>
      </c>
      <c r="E666" s="10" t="str">
        <f>IFERROR(__xludf.DUMMYFUNCTION("""COMPUTED_VALUE"""),"")</f>
        <v/>
      </c>
      <c r="F666" s="10" t="str">
        <f>IFERROR(__xludf.DUMMYFUNCTION("""COMPUTED_VALUE"""),"2019/11/07 10:00:00")</f>
        <v>2019/11/07 10:00:00</v>
      </c>
      <c r="G666" s="10" t="str">
        <f>IFERROR(__xludf.DUMMYFUNCTION("""COMPUTED_VALUE"""),"2019/11/07 14:00:00")</f>
        <v>2019/11/07 14:00:00</v>
      </c>
      <c r="H666" s="10" t="str">
        <f>IFERROR(__xludf.DUMMYFUNCTION("""COMPUTED_VALUE"""),"4b7cd60c-d43b-4411-b395-461a489f7223")</f>
        <v>4b7cd60c-d43b-4411-b395-461a489f7223</v>
      </c>
      <c r="I666" s="10" t="str">
        <f>IFERROR(__xludf.DUMMYFUNCTION("""COMPUTED_VALUE"""),"4b7cd60c-d43b-4411-b395-461a489f7223")</f>
        <v>4b7cd60c-d43b-4411-b395-461a489f7223</v>
      </c>
    </row>
    <row r="667">
      <c r="A667" s="10" t="str">
        <f>IFERROR(__xludf.DUMMYFUNCTION("""COMPUTED_VALUE"""),"Opening remarks")</f>
        <v>Opening remarks</v>
      </c>
      <c r="B667" s="10" t="str">
        <f>IFERROR(__xludf.DUMMYFUNCTION("""COMPUTED_VALUE"""),"Welcome back to Corporate Innovation Summit. We hope you enjoyed your lunch. ")</f>
        <v>Welcome back to Corporate Innovation Summit. We hope you enjoyed your lunch. </v>
      </c>
      <c r="C667" s="10" t="str">
        <f>IFERROR(__xludf.DUMMYFUNCTION("""COMPUTED_VALUE"""),"Corporate Innovation Summit")</f>
        <v>Corporate Innovation Summit</v>
      </c>
      <c r="D667" s="10" t="str">
        <f>IFERROR(__xludf.DUMMYFUNCTION("""COMPUTED_VALUE"""),"Kristin Luck")</f>
        <v>Kristin Luck</v>
      </c>
      <c r="E667" s="10" t="str">
        <f>IFERROR(__xludf.DUMMYFUNCTION("""COMPUTED_VALUE"""),"Kristin Luck")</f>
        <v>Kristin Luck</v>
      </c>
      <c r="F667" s="10" t="str">
        <f>IFERROR(__xludf.DUMMYFUNCTION("""COMPUTED_VALUE"""),"2019/11/05 13:05:00")</f>
        <v>2019/11/05 13:05:00</v>
      </c>
      <c r="G667" s="10" t="str">
        <f>IFERROR(__xludf.DUMMYFUNCTION("""COMPUTED_VALUE"""),"2019/11/05 13:20:00")</f>
        <v>2019/11/05 13:20:00</v>
      </c>
      <c r="H667" s="10" t="str">
        <f>IFERROR(__xludf.DUMMYFUNCTION("""COMPUTED_VALUE"""),"9118afdf-2b77-483f-a104-93a2716e18af")</f>
        <v>9118afdf-2b77-483f-a104-93a2716e18af</v>
      </c>
      <c r="I667" s="10" t="str">
        <f>IFERROR(__xludf.DUMMYFUNCTION("""COMPUTED_VALUE"""),"9118afdf-2b77-483f-a104-93a2716e18af")</f>
        <v>9118afdf-2b77-483f-a104-93a2716e18af</v>
      </c>
    </row>
    <row r="668">
      <c r="A668" s="10" t="str">
        <f>IFERROR(__xludf.DUMMYFUNCTION("""COMPUTED_VALUE"""),"Engineering a successful pivot")</f>
        <v>Engineering a successful pivot</v>
      </c>
      <c r="B668" s="10" t="str">
        <f>IFERROR(__xludf.DUMMYFUNCTION("""COMPUTED_VALUE"""),"TouchBistro founder and CEO, Alex discusses the winning skills of building an agile company that can pivot strategy and business model to meet market demand and capture greater market share.
")</f>
        <v>TouchBistro founder and CEO, Alex discusses the winning skills of building an agile company that can pivot strategy and business model to meet market demand and capture greater market share.
</v>
      </c>
      <c r="C668" s="10" t="str">
        <f>IFERROR(__xludf.DUMMYFUNCTION("""COMPUTED_VALUE"""),"Growth Summit")</f>
        <v>Growth Summit</v>
      </c>
      <c r="D668" s="10" t="str">
        <f>IFERROR(__xludf.DUMMYFUNCTION("""COMPUTED_VALUE"""),"Alex Barrotti")</f>
        <v>Alex Barrotti</v>
      </c>
      <c r="E668" s="10" t="str">
        <f>IFERROR(__xludf.DUMMYFUNCTION("""COMPUTED_VALUE"""),"Alex Barrotti")</f>
        <v>Alex Barrotti</v>
      </c>
      <c r="F668" s="10" t="str">
        <f>IFERROR(__xludf.DUMMYFUNCTION("""COMPUTED_VALUE"""),"2019/11/05 15:04:00")</f>
        <v>2019/11/05 15:04:00</v>
      </c>
      <c r="G668" s="10" t="str">
        <f>IFERROR(__xludf.DUMMYFUNCTION("""COMPUTED_VALUE"""),"2019/11/05 15:15:00")</f>
        <v>2019/11/05 15:15:00</v>
      </c>
      <c r="H668" s="10" t="str">
        <f>IFERROR(__xludf.DUMMYFUNCTION("""COMPUTED_VALUE"""),"5157fa8e-dc38-4fb3-bc2d-618db51819e4")</f>
        <v>5157fa8e-dc38-4fb3-bc2d-618db51819e4</v>
      </c>
      <c r="I668" s="10" t="str">
        <f>IFERROR(__xludf.DUMMYFUNCTION("""COMPUTED_VALUE"""),"5157fa8e-dc38-4fb3-bc2d-618db51819e4")</f>
        <v>5157fa8e-dc38-4fb3-bc2d-618db51819e4</v>
      </c>
    </row>
    <row r="669">
      <c r="A669" s="10" t="str">
        <f>IFERROR(__xludf.DUMMYFUNCTION("""COMPUTED_VALUE"""),"From idea to maturity: Building a startup into a globally trusted partner")</f>
        <v>From idea to maturity: Building a startup into a globally trusted partner</v>
      </c>
      <c r="B669" s="10" t="str">
        <f>IFERROR(__xludf.DUMMYFUNCTION("""COMPUTED_VALUE"""),"Co-founder and CEO of GuardKnox, Moshe describes the journey of growing and nurturing an automotive company in a country that doesn’t manufacture a single car, through the process of winning the trust of global companies as customers and as investors. Sta"&amp;"rted in the Israeli air force and continued through founding a company with unique DNA, GuardKnox shows how the skies are not the limit and that it is possible to compete as David in a Goliath’s market.")</f>
        <v>Co-founder and CEO of GuardKnox, Moshe describes the journey of growing and nurturing an automotive company in a country that doesn’t manufacture a single car, through the process of winning the trust of global companies as customers and as investors. Started in the Israeli air force and continued through founding a company with unique DNA, GuardKnox shows how the skies are not the limit and that it is possible to compete as David in a Goliath’s market.</v>
      </c>
      <c r="C669" s="10" t="str">
        <f>IFERROR(__xludf.DUMMYFUNCTION("""COMPUTED_VALUE"""),"Growth Summit")</f>
        <v>Growth Summit</v>
      </c>
      <c r="D669" s="10" t="str">
        <f>IFERROR(__xludf.DUMMYFUNCTION("""COMPUTED_VALUE"""),"Moshe Shlisel")</f>
        <v>Moshe Shlisel</v>
      </c>
      <c r="E669" s="10" t="str">
        <f>IFERROR(__xludf.DUMMYFUNCTION("""COMPUTED_VALUE"""),"Moshe Shlisel")</f>
        <v>Moshe Shlisel</v>
      </c>
      <c r="F669" s="10" t="str">
        <f>IFERROR(__xludf.DUMMYFUNCTION("""COMPUTED_VALUE"""),"2019/11/06 12:30:00")</f>
        <v>2019/11/06 12:30:00</v>
      </c>
      <c r="G669" s="10" t="str">
        <f>IFERROR(__xludf.DUMMYFUNCTION("""COMPUTED_VALUE"""),"2019/11/06 12:41:00")</f>
        <v>2019/11/06 12:41:00</v>
      </c>
      <c r="H669" s="10" t="str">
        <f>IFERROR(__xludf.DUMMYFUNCTION("""COMPUTED_VALUE"""),"69675970-591a-4383-b86d-95c1b39912e8")</f>
        <v>69675970-591a-4383-b86d-95c1b39912e8</v>
      </c>
      <c r="I669" s="10" t="str">
        <f>IFERROR(__xludf.DUMMYFUNCTION("""COMPUTED_VALUE"""),"69675970-591a-4383-b86d-95c1b39912e8")</f>
        <v>69675970-591a-4383-b86d-95c1b39912e8</v>
      </c>
    </row>
    <row r="670">
      <c r="A670" s="10" t="str">
        <f>IFERROR(__xludf.DUMMYFUNCTION("""COMPUTED_VALUE"""),"Featured venue: Old house")</f>
        <v>Featured venue: Old house</v>
      </c>
      <c r="B670" s="10" t="str">
        <f>IFERROR(__xludf.DUMMYFUNCTION("""COMPUTED_VALUE"""),"This authentic Szechuan powerhouse will transport you straight to China with its incredible flavours and dishes. Although slightly tamed for local tastes, this elegant venue is the perfect place to enjoy a bit of spice. Fun fact? This upscale Chinese chai"&amp;"n restaurant chose Parque das Nações for its first foray outside the motherland. 
Night Summit deals: 
2 for 1 beers")</f>
        <v>This authentic Szechuan powerhouse will transport you straight to China with its incredible flavours and dishes. Although slightly tamed for local tastes, this elegant venue is the perfect place to enjoy a bit of spice. Fun fact? This upscale Chinese chain restaurant chose Parque das Nações for its first foray outside the motherland. 
Night Summit deals: 
2 for 1 beers</v>
      </c>
      <c r="C670" s="10" t="str">
        <f>IFERROR(__xludf.DUMMYFUNCTION("""COMPUTED_VALUE"""),"Old house")</f>
        <v>Old house</v>
      </c>
      <c r="D670" s="10" t="str">
        <f>IFERROR(__xludf.DUMMYFUNCTION("""COMPUTED_VALUE"""),"")</f>
        <v/>
      </c>
      <c r="E670" s="10" t="str">
        <f>IFERROR(__xludf.DUMMYFUNCTION("""COMPUTED_VALUE"""),"")</f>
        <v/>
      </c>
      <c r="F670" s="10" t="str">
        <f>IFERROR(__xludf.DUMMYFUNCTION("""COMPUTED_VALUE"""),"2019/11/04 20:00:00")</f>
        <v>2019/11/04 20:00:00</v>
      </c>
      <c r="G670" s="10" t="str">
        <f>IFERROR(__xludf.DUMMYFUNCTION("""COMPUTED_VALUE"""),"2019/11/04 23:00:00")</f>
        <v>2019/11/04 23:00:00</v>
      </c>
      <c r="H670" s="10" t="str">
        <f>IFERROR(__xludf.DUMMYFUNCTION("""COMPUTED_VALUE"""),"18e4df2d-c069-4342-9516-72606fd110f1")</f>
        <v>18e4df2d-c069-4342-9516-72606fd110f1</v>
      </c>
      <c r="I670" s="10" t="str">
        <f>IFERROR(__xludf.DUMMYFUNCTION("""COMPUTED_VALUE"""),"18e4df2d-c069-4342-9516-72606fd110f1")</f>
        <v>18e4df2d-c069-4342-9516-72606fd110f1</v>
      </c>
    </row>
    <row r="671">
      <c r="A671" s="10" t="str">
        <f>IFERROR(__xludf.DUMMYFUNCTION("""COMPUTED_VALUE"""),"Opening remarks")</f>
        <v>Opening remarks</v>
      </c>
      <c r="B671" s="10" t="str">
        <f>IFERROR(__xludf.DUMMYFUNCTION("""COMPUTED_VALUE"""),"")</f>
        <v/>
      </c>
      <c r="C671" s="10" t="str">
        <f>IFERROR(__xludf.DUMMYFUNCTION("""COMPUTED_VALUE"""),"Centre Stage")</f>
        <v>Centre Stage</v>
      </c>
      <c r="D671" s="10" t="str">
        <f>IFERROR(__xludf.DUMMYFUNCTION("""COMPUTED_VALUE"""),"Paddy Cosgrave")</f>
        <v>Paddy Cosgrave</v>
      </c>
      <c r="E671" s="10" t="str">
        <f>IFERROR(__xludf.DUMMYFUNCTION("""COMPUTED_VALUE"""),"Paddy Cosgrave")</f>
        <v>Paddy Cosgrave</v>
      </c>
      <c r="F671" s="10" t="str">
        <f>IFERROR(__xludf.DUMMYFUNCTION("""COMPUTED_VALUE"""),"2019/11/06 10:15:00")</f>
        <v>2019/11/06 10:15:00</v>
      </c>
      <c r="G671" s="10" t="str">
        <f>IFERROR(__xludf.DUMMYFUNCTION("""COMPUTED_VALUE"""),"2019/11/06 10:30:00")</f>
        <v>2019/11/06 10:30:00</v>
      </c>
      <c r="H671" s="10" t="str">
        <f>IFERROR(__xludf.DUMMYFUNCTION("""COMPUTED_VALUE"""),"0e73253c-63d1-4a96-811d-3e941a802080")</f>
        <v>0e73253c-63d1-4a96-811d-3e941a802080</v>
      </c>
      <c r="I671" s="10" t="str">
        <f>IFERROR(__xludf.DUMMYFUNCTION("""COMPUTED_VALUE"""),"0e73253c-63d1-4a96-811d-3e941a802080")</f>
        <v>0e73253c-63d1-4a96-811d-3e941a802080</v>
      </c>
    </row>
    <row r="672">
      <c r="A672" s="10" t="str">
        <f>IFERROR(__xludf.DUMMYFUNCTION("""COMPUTED_VALUE"""),"Looking at mobility's new viability")</f>
        <v>Looking at mobility's new viability</v>
      </c>
      <c r="B672" s="10" t="str">
        <f>IFERROR(__xludf.DUMMYFUNCTION("""COMPUTED_VALUE"""),"What is next for worldwide mobility? Let's take a look, with one of the fastest-growing players in the game.")</f>
        <v>What is next for worldwide mobility? Let's take a look, with one of the fastest-growing players in the game.</v>
      </c>
      <c r="C672" s="10" t="str">
        <f>IFERROR(__xludf.DUMMYFUNCTION("""COMPUTED_VALUE"""),"Auto/Tech &amp; TalkRobot")</f>
        <v>Auto/Tech &amp; TalkRobot</v>
      </c>
      <c r="D672" s="10" t="str">
        <f>IFERROR(__xludf.DUMMYFUNCTION("""COMPUTED_VALUE"""),"Yan Li and Leisha Santorelli")</f>
        <v>Yan Li and Leisha Santorelli</v>
      </c>
      <c r="E672" s="10" t="str">
        <f>IFERROR(__xludf.DUMMYFUNCTION("""COMPUTED_VALUE"""),"Yan Li,Leisha Santorelli")</f>
        <v>Yan Li,Leisha Santorelli</v>
      </c>
      <c r="F672" s="10" t="str">
        <f>IFERROR(__xludf.DUMMYFUNCTION("""COMPUTED_VALUE"""),"2019/11/05 11:00:00")</f>
        <v>2019/11/05 11:00:00</v>
      </c>
      <c r="G672" s="10" t="str">
        <f>IFERROR(__xludf.DUMMYFUNCTION("""COMPUTED_VALUE"""),"2019/11/05 11:20:00")</f>
        <v>2019/11/05 11:20:00</v>
      </c>
      <c r="H672" s="10" t="str">
        <f>IFERROR(__xludf.DUMMYFUNCTION("""COMPUTED_VALUE"""),"be71a662-b8b7-460f-8bd2-abd1415f3e5c")</f>
        <v>be71a662-b8b7-460f-8bd2-abd1415f3e5c</v>
      </c>
      <c r="I672" s="10" t="str">
        <f>IFERROR(__xludf.DUMMYFUNCTION("""COMPUTED_VALUE"""),"be71a662-b8b7-460f-8bd2-abd1415f3e5c")</f>
        <v>be71a662-b8b7-460f-8bd2-abd1415f3e5c</v>
      </c>
    </row>
    <row r="673">
      <c r="A673" s="10" t="str">
        <f>IFERROR(__xludf.DUMMYFUNCTION("""COMPUTED_VALUE"""),"Learn to win")</f>
        <v>Learn to win</v>
      </c>
      <c r="B673" s="10" t="str">
        <f>IFERROR(__xludf.DUMMYFUNCTION("""COMPUTED_VALUE"""),"DJI presents a ground-breaking educational robot that helps to understand science, programming and more through captivating gameplay modes and intelligent features.")</f>
        <v>DJI presents a ground-breaking educational robot that helps to understand science, programming and more through captivating gameplay modes and intelligent features.</v>
      </c>
      <c r="C673" s="10" t="str">
        <f>IFERROR(__xludf.DUMMYFUNCTION("""COMPUTED_VALUE"""),"Auto/Tech &amp; TalkRobot")</f>
        <v>Auto/Tech &amp; TalkRobot</v>
      </c>
      <c r="D673" s="10" t="str">
        <f>IFERROR(__xludf.DUMMYFUNCTION("""COMPUTED_VALUE"""),"Martin Brandenburg")</f>
        <v>Martin Brandenburg</v>
      </c>
      <c r="E673" s="10" t="str">
        <f>IFERROR(__xludf.DUMMYFUNCTION("""COMPUTED_VALUE"""),"Martin Brandenburg")</f>
        <v>Martin Brandenburg</v>
      </c>
      <c r="F673" s="10" t="str">
        <f>IFERROR(__xludf.DUMMYFUNCTION("""COMPUTED_VALUE"""),"2019/11/07 15:50:00")</f>
        <v>2019/11/07 15:50:00</v>
      </c>
      <c r="G673" s="10" t="str">
        <f>IFERROR(__xludf.DUMMYFUNCTION("""COMPUTED_VALUE"""),"2019/11/07 16:10:00")</f>
        <v>2019/11/07 16:10:00</v>
      </c>
      <c r="H673" s="10" t="str">
        <f>IFERROR(__xludf.DUMMYFUNCTION("""COMPUTED_VALUE"""),"47c37516-18b2-413f-a57b-54950f924c2c")</f>
        <v>47c37516-18b2-413f-a57b-54950f924c2c</v>
      </c>
      <c r="I673" s="10" t="str">
        <f>IFERROR(__xludf.DUMMYFUNCTION("""COMPUTED_VALUE"""),"47c37516-18b2-413f-a57b-54950f924c2c")</f>
        <v>47c37516-18b2-413f-a57b-54950f924c2c</v>
      </c>
    </row>
    <row r="674">
      <c r="A674" s="10" t="str">
        <f>IFERROR(__xludf.DUMMYFUNCTION("""COMPUTED_VALUE"""),"New smartphones on the market for Christmas 2019: Collection B")</f>
        <v>New smartphones on the market for Christmas 2019: Collection B</v>
      </c>
      <c r="B674" s="10" t="str">
        <f>IFERROR(__xludf.DUMMYFUNCTION("""COMPUTED_VALUE"""),"Meet the next generation of smartphones to fall in love with, or not?  A second collection of new releases onto the market will be put through their paces by our panel of expert reviewers.")</f>
        <v>Meet the next generation of smartphones to fall in love with, or not?  A second collection of new releases onto the market will be put through their paces by our panel of expert reviewers.</v>
      </c>
      <c r="C674" s="10" t="str">
        <f>IFERROR(__xludf.DUMMYFUNCTION("""COMPUTED_VALUE"""),"UnBoxed")</f>
        <v>UnBoxed</v>
      </c>
      <c r="D674" s="10" t="str">
        <f>IFERROR(__xludf.DUMMYFUNCTION("""COMPUTED_VALUE"""),"Dominic Preston, Kris Carlon, Jacklyn Dallas and Jess Kelly")</f>
        <v>Dominic Preston, Kris Carlon, Jacklyn Dallas and Jess Kelly</v>
      </c>
      <c r="E674" s="10" t="str">
        <f>IFERROR(__xludf.DUMMYFUNCTION("""COMPUTED_VALUE"""),"Dominic Preston,Kris Carlon,Jacklyn Dallas,Jess Kelly")</f>
        <v>Dominic Preston,Kris Carlon,Jacklyn Dallas,Jess Kelly</v>
      </c>
      <c r="F674" s="10" t="str">
        <f>IFERROR(__xludf.DUMMYFUNCTION("""COMPUTED_VALUE"""),"2019/11/05 15:25:00")</f>
        <v>2019/11/05 15:25:00</v>
      </c>
      <c r="G674" s="10" t="str">
        <f>IFERROR(__xludf.DUMMYFUNCTION("""COMPUTED_VALUE"""),"2019/11/05 16:00:00")</f>
        <v>2019/11/05 16:00:00</v>
      </c>
      <c r="H674" s="10" t="str">
        <f>IFERROR(__xludf.DUMMYFUNCTION("""COMPUTED_VALUE"""),"d2c5f1a6-8983-4e30-a2a5-13b24f1603ea")</f>
        <v>d2c5f1a6-8983-4e30-a2a5-13b24f1603ea</v>
      </c>
      <c r="I674" s="10" t="str">
        <f>IFERROR(__xludf.DUMMYFUNCTION("""COMPUTED_VALUE"""),"d2c5f1a6-8983-4e30-a2a5-13b24f1603ea")</f>
        <v>d2c5f1a6-8983-4e30-a2a5-13b24f1603ea</v>
      </c>
    </row>
    <row r="675">
      <c r="A675" s="10" t="str">
        <f>IFERROR(__xludf.DUMMYFUNCTION("""COMPUTED_VALUE"""),"It's rarely sunny in CEO land")</f>
        <v>It's rarely sunny in CEO land</v>
      </c>
      <c r="B675" s="10" t="str">
        <f>IFERROR(__xludf.DUMMYFUNCTION("""COMPUTED_VALUE"""),"The 5 key learnings on the road to becoming a CEO")</f>
        <v>The 5 key learnings on the road to becoming a CEO</v>
      </c>
      <c r="C675" s="10" t="str">
        <f>IFERROR(__xludf.DUMMYFUNCTION("""COMPUTED_VALUE"""),"Growth Summit")</f>
        <v>Growth Summit</v>
      </c>
      <c r="D675" s="10" t="str">
        <f>IFERROR(__xludf.DUMMYFUNCTION("""COMPUTED_VALUE"""),"Amit Rai")</f>
        <v>Amit Rai</v>
      </c>
      <c r="E675" s="10" t="str">
        <f>IFERROR(__xludf.DUMMYFUNCTION("""COMPUTED_VALUE"""),"Amit Rai")</f>
        <v>Amit Rai</v>
      </c>
      <c r="F675" s="10" t="str">
        <f>IFERROR(__xludf.DUMMYFUNCTION("""COMPUTED_VALUE"""),"2019/11/07 10:42:00")</f>
        <v>2019/11/07 10:42:00</v>
      </c>
      <c r="G675" s="10" t="str">
        <f>IFERROR(__xludf.DUMMYFUNCTION("""COMPUTED_VALUE"""),"2019/11/07 10:46:00")</f>
        <v>2019/11/07 10:46:00</v>
      </c>
      <c r="H675" s="10" t="str">
        <f>IFERROR(__xludf.DUMMYFUNCTION("""COMPUTED_VALUE"""),"c875d00e-4728-4829-ab8d-5b8028022bbd")</f>
        <v>c875d00e-4728-4829-ab8d-5b8028022bbd</v>
      </c>
      <c r="I675" s="10" t="str">
        <f>IFERROR(__xludf.DUMMYFUNCTION("""COMPUTED_VALUE"""),"c875d00e-4728-4829-ab8d-5b8028022bbd")</f>
        <v>c875d00e-4728-4829-ab8d-5b8028022bbd</v>
      </c>
    </row>
    <row r="676">
      <c r="A676" s="10" t="str">
        <f>IFERROR(__xludf.DUMMYFUNCTION("""COMPUTED_VALUE"""),"Borders, Brexit and the future of finance")</f>
        <v>Borders, Brexit and the future of finance</v>
      </c>
      <c r="B676" s="10" t="str">
        <f>IFERROR(__xludf.DUMMYFUNCTION("""COMPUTED_VALUE"""),"How will Brexit impact financial markets?  Come and listen to two key players in the game debate and discuss the impact of Brexit on borderless transactions, the tenuous future of new fintechs in London and how this will affect the global economy. ")</f>
        <v>How will Brexit impact financial markets?  Come and listen to two key players in the game debate and discuss the impact of Brexit on borderless transactions, the tenuous future of new fintechs in London and how this will affect the global economy. </v>
      </c>
      <c r="C676" s="10" t="str">
        <f>IFERROR(__xludf.DUMMYFUNCTION("""COMPUTED_VALUE"""),"MoneyConf")</f>
        <v>MoneyConf</v>
      </c>
      <c r="D676" s="10" t="str">
        <f>IFERROR(__xludf.DUMMYFUNCTION("""COMPUTED_VALUE"""),"Eva Kaili, Christoph Rieche and Philip Crowther")</f>
        <v>Eva Kaili, Christoph Rieche and Philip Crowther</v>
      </c>
      <c r="E676" s="10" t="str">
        <f>IFERROR(__xludf.DUMMYFUNCTION("""COMPUTED_VALUE"""),"Eva Kaili,Christoph Rieche,Philip Crowther")</f>
        <v>Eva Kaili,Christoph Rieche,Philip Crowther</v>
      </c>
      <c r="F676" s="10" t="str">
        <f>IFERROR(__xludf.DUMMYFUNCTION("""COMPUTED_VALUE"""),"2019/11/07 15:35:00")</f>
        <v>2019/11/07 15:35:00</v>
      </c>
      <c r="G676" s="10" t="str">
        <f>IFERROR(__xludf.DUMMYFUNCTION("""COMPUTED_VALUE"""),"2019/11/07 15:55:00")</f>
        <v>2019/11/07 15:55:00</v>
      </c>
      <c r="H676" s="10" t="str">
        <f>IFERROR(__xludf.DUMMYFUNCTION("""COMPUTED_VALUE"""),"5abc9ca6-c6a9-4cf6-8fef-336e20b9cd35")</f>
        <v>5abc9ca6-c6a9-4cf6-8fef-336e20b9cd35</v>
      </c>
      <c r="I676" s="10" t="str">
        <f>IFERROR(__xludf.DUMMYFUNCTION("""COMPUTED_VALUE"""),"5abc9ca6-c6a9-4cf6-8fef-336e20b9cd35")</f>
        <v>5abc9ca6-c6a9-4cf6-8fef-336e20b9cd35</v>
      </c>
    </row>
    <row r="677">
      <c r="A677" s="10" t="str">
        <f>IFERROR(__xludf.DUMMYFUNCTION("""COMPUTED_VALUE"""),"Featured venue: Kioske da Expo")</f>
        <v>Featured venue: Kioske da Expo</v>
      </c>
      <c r="B677" s="10" t="str">
        <f>IFERROR(__xludf.DUMMYFUNCTION("""COMPUTED_VALUE"""),"Kiosk da Expo's bar has it all. Great drinks and delicious food - what more could you ask for? Delicious brunch, burgers, chicken and cheese toasties, tuna and pineapple toasties, and their special hotdogs. Why are they special? There's only one way to fi"&amp;"nd out. 
Night Summit deals: 
20% discount on all drinks")</f>
        <v>Kiosk da Expo's bar has it all. Great drinks and delicious food - what more could you ask for? Delicious brunch, burgers, chicken and cheese toasties, tuna and pineapple toasties, and their special hotdogs. Why are they special? There's only one way to find out. 
Night Summit deals: 
20% discount on all drinks</v>
      </c>
      <c r="C677" s="10" t="str">
        <f>IFERROR(__xludf.DUMMYFUNCTION("""COMPUTED_VALUE"""),"Kioske da Expo")</f>
        <v>Kioske da Expo</v>
      </c>
      <c r="D677" s="10" t="str">
        <f>IFERROR(__xludf.DUMMYFUNCTION("""COMPUTED_VALUE"""),"")</f>
        <v/>
      </c>
      <c r="E677" s="10" t="str">
        <f>IFERROR(__xludf.DUMMYFUNCTION("""COMPUTED_VALUE"""),"")</f>
        <v/>
      </c>
      <c r="F677" s="10" t="str">
        <f>IFERROR(__xludf.DUMMYFUNCTION("""COMPUTED_VALUE"""),"2019/11/04 20:00:00")</f>
        <v>2019/11/04 20:00:00</v>
      </c>
      <c r="G677" s="10" t="str">
        <f>IFERROR(__xludf.DUMMYFUNCTION("""COMPUTED_VALUE"""),"2019/11/04 23:00:00")</f>
        <v>2019/11/04 23:00:00</v>
      </c>
      <c r="H677" s="10" t="str">
        <f>IFERROR(__xludf.DUMMYFUNCTION("""COMPUTED_VALUE"""),"b81c0b8f-a4a9-42d9-b747-8936baa80b37")</f>
        <v>b81c0b8f-a4a9-42d9-b747-8936baa80b37</v>
      </c>
      <c r="I677" s="10" t="str">
        <f>IFERROR(__xludf.DUMMYFUNCTION("""COMPUTED_VALUE"""),"b81c0b8f-a4a9-42d9-b747-8936baa80b37")</f>
        <v>b81c0b8f-a4a9-42d9-b747-8936baa80b37</v>
      </c>
    </row>
    <row r="678">
      <c r="A678" s="10" t="str">
        <f>IFERROR(__xludf.DUMMYFUNCTION("""COMPUTED_VALUE"""),"Night Summit: Meet &amp; greet on the waterfront")</f>
        <v>Night Summit: Meet &amp; greet on the waterfront</v>
      </c>
      <c r="B678" s="10" t="str">
        <f>IFERROR(__xludf.DUMMYFUNCTION("""COMPUTED_VALUE"""),"More than 70,000 people come to Web Summit - that's a lot of meet and greets.
What better place to start than Lisbon's buzzing waterfront, surrounded by some of the city's finest bars, restaurant, and architecture. 
Spend your first night at Web Sum"&amp;"mit getting to know your fellow attendees with a breathtaking backdrop. ")</f>
        <v>More than 70,000 people come to Web Summit - that's a lot of meet and greets.
What better place to start than Lisbon's buzzing waterfront, surrounded by some of the city's finest bars, restaurant, and architecture. 
Spend your first night at Web Summit getting to know your fellow attendees with a breathtaking backdrop. </v>
      </c>
      <c r="C678" s="10" t="str">
        <f>IFERROR(__xludf.DUMMYFUNCTION("""COMPUTED_VALUE"""),"Waterfront")</f>
        <v>Waterfront</v>
      </c>
      <c r="D678" s="10" t="str">
        <f>IFERROR(__xludf.DUMMYFUNCTION("""COMPUTED_VALUE"""),"")</f>
        <v/>
      </c>
      <c r="E678" s="10" t="str">
        <f>IFERROR(__xludf.DUMMYFUNCTION("""COMPUTED_VALUE"""),"")</f>
        <v/>
      </c>
      <c r="F678" s="10" t="str">
        <f>IFERROR(__xludf.DUMMYFUNCTION("""COMPUTED_VALUE"""),"2019/11/04 19:59:00")</f>
        <v>2019/11/04 19:59:00</v>
      </c>
      <c r="G678" s="10" t="str">
        <f>IFERROR(__xludf.DUMMYFUNCTION("""COMPUTED_VALUE"""),"2019/11/04 23:00:00")</f>
        <v>2019/11/04 23:00:00</v>
      </c>
      <c r="H678" s="10" t="str">
        <f>IFERROR(__xludf.DUMMYFUNCTION("""COMPUTED_VALUE"""),"453e24ce-e16b-4793-8d17-7b2ce2c1f764")</f>
        <v>453e24ce-e16b-4793-8d17-7b2ce2c1f764</v>
      </c>
      <c r="I678" s="10" t="str">
        <f>IFERROR(__xludf.DUMMYFUNCTION("""COMPUTED_VALUE"""),"453e24ce-e16b-4793-8d17-7b2ce2c1f764")</f>
        <v>453e24ce-e16b-4793-8d17-7b2ce2c1f764</v>
      </c>
    </row>
    <row r="679">
      <c r="A679" s="10" t="str">
        <f>IFERROR(__xludf.DUMMYFUNCTION("""COMPUTED_VALUE"""),"5G+X: Creating a new era?")</f>
        <v>5G+X: Creating a new era?</v>
      </c>
      <c r="B679" s="10" t="str">
        <f>IFERROR(__xludf.DUMMYFUNCTION("""COMPUTED_VALUE"""),"Huawei President Guo Ping outlines his vision for the Chinese tech giants future.")</f>
        <v>Huawei President Guo Ping outlines his vision for the Chinese tech giants future.</v>
      </c>
      <c r="C679" s="10" t="str">
        <f>IFERROR(__xludf.DUMMYFUNCTION("""COMPUTED_VALUE"""),"Centre Stage")</f>
        <v>Centre Stage</v>
      </c>
      <c r="D679" s="10" t="str">
        <f>IFERROR(__xludf.DUMMYFUNCTION("""COMPUTED_VALUE"""),"Guo Ping")</f>
        <v>Guo Ping</v>
      </c>
      <c r="E679" s="10" t="str">
        <f>IFERROR(__xludf.DUMMYFUNCTION("""COMPUTED_VALUE"""),"Guo Ping")</f>
        <v>Guo Ping</v>
      </c>
      <c r="F679" s="10" t="str">
        <f>IFERROR(__xludf.DUMMYFUNCTION("""COMPUTED_VALUE"""),"2019/11/04 19:03:00")</f>
        <v>2019/11/04 19:03:00</v>
      </c>
      <c r="G679" s="10" t="str">
        <f>IFERROR(__xludf.DUMMYFUNCTION("""COMPUTED_VALUE"""),"2019/11/04 19:18:00")</f>
        <v>2019/11/04 19:18:00</v>
      </c>
      <c r="H679" s="10" t="str">
        <f>IFERROR(__xludf.DUMMYFUNCTION("""COMPUTED_VALUE"""),"62e2e333-7dd6-45e3-9fda-60e06af8d01b")</f>
        <v>62e2e333-7dd6-45e3-9fda-60e06af8d01b</v>
      </c>
      <c r="I679" s="10" t="str">
        <f>IFERROR(__xludf.DUMMYFUNCTION("""COMPUTED_VALUE"""),"62e2e333-7dd6-45e3-9fda-60e06af8d01b")</f>
        <v>62e2e333-7dd6-45e3-9fda-60e06af8d01b</v>
      </c>
    </row>
    <row r="680">
      <c r="A680" s="10" t="str">
        <f>IFERROR(__xludf.DUMMYFUNCTION("""COMPUTED_VALUE"""),"What's next for the open web?")</f>
        <v>What's next for the open web?</v>
      </c>
      <c r="B680" s="10" t="str">
        <f>IFERROR(__xludf.DUMMYFUNCTION("""COMPUTED_VALUE"""),"The dream of an open web, where all are free to participate, is one that many still hope to achieve. However, it's a dream that is struggling to become a reality. This session will discuss how and whether we can achieve a truly open web.")</f>
        <v>The dream of an open web, where all are free to participate, is one that many still hope to achieve. However, it's a dream that is struggling to become a reality. This session will discuss how and whether we can achieve a truly open web.</v>
      </c>
      <c r="C680" s="10" t="str">
        <f>IFERROR(__xludf.DUMMYFUNCTION("""COMPUTED_VALUE"""),"Future Societies")</f>
        <v>Future Societies</v>
      </c>
      <c r="D680" s="10" t="str">
        <f>IFERROR(__xludf.DUMMYFUNCTION("""COMPUTED_VALUE"""),"Rafael Laguna, Katharina Borchert and Donie O'Sullivan")</f>
        <v>Rafael Laguna, Katharina Borchert and Donie O'Sullivan</v>
      </c>
      <c r="E680" s="10" t="str">
        <f>IFERROR(__xludf.DUMMYFUNCTION("""COMPUTED_VALUE"""),"Rafael Laguna,Katharina Borchert,Donie O'Sullivan")</f>
        <v>Rafael Laguna,Katharina Borchert,Donie O'Sullivan</v>
      </c>
      <c r="F680" s="10" t="str">
        <f>IFERROR(__xludf.DUMMYFUNCTION("""COMPUTED_VALUE"""),"2019/11/06 15:15:00")</f>
        <v>2019/11/06 15:15:00</v>
      </c>
      <c r="G680" s="10" t="str">
        <f>IFERROR(__xludf.DUMMYFUNCTION("""COMPUTED_VALUE"""),"2019/11/06 15:35:00")</f>
        <v>2019/11/06 15:35:00</v>
      </c>
      <c r="H680" s="10" t="str">
        <f>IFERROR(__xludf.DUMMYFUNCTION("""COMPUTED_VALUE"""),"8f7f2451-fb86-4d31-89d6-9b600a8d5941")</f>
        <v>8f7f2451-fb86-4d31-89d6-9b600a8d5941</v>
      </c>
      <c r="I680" s="10" t="str">
        <f>IFERROR(__xludf.DUMMYFUNCTION("""COMPUTED_VALUE"""),"8f7f2451-fb86-4d31-89d6-9b600a8d5941")</f>
        <v>8f7f2451-fb86-4d31-89d6-9b600a8d5941</v>
      </c>
    </row>
    <row r="681">
      <c r="A681" s="10" t="str">
        <f>IFERROR(__xludf.DUMMYFUNCTION("""COMPUTED_VALUE"""),"Let's talk about tax, baby")</f>
        <v>Let's talk about tax, baby</v>
      </c>
      <c r="B681" s="10" t="str">
        <f>IFERROR(__xludf.DUMMYFUNCTION("""COMPUTED_VALUE"""),"Supposedly only two things are certain - death and taxes. This session brings some of the world's leading experts on taxation together to discuss the changes in international taxation, their implications, their flaws, and their strengths. ")</f>
        <v>Supposedly only two things are certain - death and taxes. This session brings some of the world's leading experts on taxation together to discuss the changes in international taxation, their implications, their flaws, and their strengths. </v>
      </c>
      <c r="C681" s="10" t="str">
        <f>IFERROR(__xludf.DUMMYFUNCTION("""COMPUTED_VALUE"""),"Future Societies")</f>
        <v>Future Societies</v>
      </c>
      <c r="D681" s="10" t="str">
        <f>IFERROR(__xludf.DUMMYFUNCTION("""COMPUTED_VALUE"""),"Niels Johannesen and Alex Deane")</f>
        <v>Niels Johannesen and Alex Deane</v>
      </c>
      <c r="E681" s="10" t="str">
        <f>IFERROR(__xludf.DUMMYFUNCTION("""COMPUTED_VALUE"""),"Niels Johannesen,Alex Deane")</f>
        <v>Niels Johannesen,Alex Deane</v>
      </c>
      <c r="F681" s="10" t="str">
        <f>IFERROR(__xludf.DUMMYFUNCTION("""COMPUTED_VALUE"""),"2019/11/06 14:55:00")</f>
        <v>2019/11/06 14:55:00</v>
      </c>
      <c r="G681" s="10" t="str">
        <f>IFERROR(__xludf.DUMMYFUNCTION("""COMPUTED_VALUE"""),"2019/11/06 15:15:00")</f>
        <v>2019/11/06 15:15:00</v>
      </c>
      <c r="H681" s="10" t="str">
        <f>IFERROR(__xludf.DUMMYFUNCTION("""COMPUTED_VALUE"""),"8e73389d-c94e-40ce-8734-9db98d6c116f")</f>
        <v>8e73389d-c94e-40ce-8734-9db98d6c116f</v>
      </c>
      <c r="I681" s="10" t="str">
        <f>IFERROR(__xludf.DUMMYFUNCTION("""COMPUTED_VALUE"""),"8e73389d-c94e-40ce-8734-9db98d6c116f")</f>
        <v>8e73389d-c94e-40ce-8734-9db98d6c116f</v>
      </c>
    </row>
    <row r="682">
      <c r="A682" s="10" t="str">
        <f>IFERROR(__xludf.DUMMYFUNCTION("""COMPUTED_VALUE"""),"How to build the ideal financial service")</f>
        <v>How to build the ideal financial service</v>
      </c>
      <c r="B682" s="10" t="str">
        <f>IFERROR(__xludf.DUMMYFUNCTION("""COMPUTED_VALUE"""),"Lupina Iturriaga, CEO of consumer banking platform Fintonic, discusses the benefits of sacrificing revenue to offer customers the best rates for them. As a result, the company has seen a 74% increase in active users in the last year.")</f>
        <v>Lupina Iturriaga, CEO of consumer banking platform Fintonic, discusses the benefits of sacrificing revenue to offer customers the best rates for them. As a result, the company has seen a 74% increase in active users in the last year.</v>
      </c>
      <c r="C682" s="10" t="str">
        <f>IFERROR(__xludf.DUMMYFUNCTION("""COMPUTED_VALUE"""),"Growth Summit")</f>
        <v>Growth Summit</v>
      </c>
      <c r="D682" s="10" t="str">
        <f>IFERROR(__xludf.DUMMYFUNCTION("""COMPUTED_VALUE"""),"Lupina Iturriaga")</f>
        <v>Lupina Iturriaga</v>
      </c>
      <c r="E682" s="10" t="str">
        <f>IFERROR(__xludf.DUMMYFUNCTION("""COMPUTED_VALUE"""),"Lupina Iturriaga")</f>
        <v>Lupina Iturriaga</v>
      </c>
      <c r="F682" s="10" t="str">
        <f>IFERROR(__xludf.DUMMYFUNCTION("""COMPUTED_VALUE"""),"2019/11/06 15:59:00")</f>
        <v>2019/11/06 15:59:00</v>
      </c>
      <c r="G682" s="10" t="str">
        <f>IFERROR(__xludf.DUMMYFUNCTION("""COMPUTED_VALUE"""),"2019/11/06 16:10:00")</f>
        <v>2019/11/06 16:10:00</v>
      </c>
      <c r="H682" s="10" t="str">
        <f>IFERROR(__xludf.DUMMYFUNCTION("""COMPUTED_VALUE"""),"d1d9d030-69c0-49a2-b352-bbfaee7547ca")</f>
        <v>d1d9d030-69c0-49a2-b352-bbfaee7547ca</v>
      </c>
      <c r="I682" s="10" t="str">
        <f>IFERROR(__xludf.DUMMYFUNCTION("""COMPUTED_VALUE"""),"d1d9d030-69c0-49a2-b352-bbfaee7547ca")</f>
        <v>d1d9d030-69c0-49a2-b352-bbfaee7547ca</v>
      </c>
    </row>
    <row r="683">
      <c r="A683" s="10" t="str">
        <f>IFERROR(__xludf.DUMMYFUNCTION("""COMPUTED_VALUE"""),"The post-digital era is upon us")</f>
        <v>The post-digital era is upon us</v>
      </c>
      <c r="B683" s="10" t="str">
        <f>IFERROR(__xludf.DUMMYFUNCTION("""COMPUTED_VALUE"""),"For more than a decade, Accenture has released our groundbreaking annual Technology Vision report, highlighting the tech trends that will have the greatest impact on large enterprises in the next three to five years. At Web Summit, Yves Bernaert will pres"&amp;"ent the Accenture Technology Vision 2019: The Post-Digital Era is Upon Us, through Extended Reality.")</f>
        <v>For more than a decade, Accenture has released our groundbreaking annual Technology Vision report, highlighting the tech trends that will have the greatest impact on large enterprises in the next three to five years. At Web Summit, Yves Bernaert will present the Accenture Technology Vision 2019: The Post-Digital Era is Upon Us, through Extended Reality.</v>
      </c>
      <c r="C683" s="10" t="str">
        <f>IFERROR(__xludf.DUMMYFUNCTION("""COMPUTED_VALUE"""),"Auto/Tech &amp; TalkRobot")</f>
        <v>Auto/Tech &amp; TalkRobot</v>
      </c>
      <c r="D683" s="10" t="str">
        <f>IFERROR(__xludf.DUMMYFUNCTION("""COMPUTED_VALUE"""),"Yves Bernaert")</f>
        <v>Yves Bernaert</v>
      </c>
      <c r="E683" s="10" t="str">
        <f>IFERROR(__xludf.DUMMYFUNCTION("""COMPUTED_VALUE"""),"Yves Bernaert")</f>
        <v>Yves Bernaert</v>
      </c>
      <c r="F683" s="10" t="str">
        <f>IFERROR(__xludf.DUMMYFUNCTION("""COMPUTED_VALUE"""),"2019/11/07 14:00:00")</f>
        <v>2019/11/07 14:00:00</v>
      </c>
      <c r="G683" s="10" t="str">
        <f>IFERROR(__xludf.DUMMYFUNCTION("""COMPUTED_VALUE"""),"2019/11/07 14:15:00")</f>
        <v>2019/11/07 14:15:00</v>
      </c>
      <c r="H683" s="10" t="str">
        <f>IFERROR(__xludf.DUMMYFUNCTION("""COMPUTED_VALUE"""),"1d46df38-c3dc-4da4-9ff8-6abc2f27e67f")</f>
        <v>1d46df38-c3dc-4da4-9ff8-6abc2f27e67f</v>
      </c>
      <c r="I683" s="10" t="str">
        <f>IFERROR(__xludf.DUMMYFUNCTION("""COMPUTED_VALUE"""),"1d46df38-c3dc-4da4-9ff8-6abc2f27e67f")</f>
        <v>1d46df38-c3dc-4da4-9ff8-6abc2f27e67f</v>
      </c>
    </row>
    <row r="684">
      <c r="A684" s="10" t="str">
        <f>IFERROR(__xludf.DUMMYFUNCTION("""COMPUTED_VALUE"""),"Capitalising on market opportunities in the payments industry")</f>
        <v>Capitalising on market opportunities in the payments industry</v>
      </c>
      <c r="B684" s="10" t="str">
        <f>IFERROR(__xludf.DUMMYFUNCTION("""COMPUTED_VALUE"""),"Co-founder of ShieldPay, Tom outlines how growing companies can react to client demand as well as the changing landscape of the market effectively.")</f>
        <v>Co-founder of ShieldPay, Tom outlines how growing companies can react to client demand as well as the changing landscape of the market effectively.</v>
      </c>
      <c r="C684" s="10" t="str">
        <f>IFERROR(__xludf.DUMMYFUNCTION("""COMPUTED_VALUE"""),"Growth Summit")</f>
        <v>Growth Summit</v>
      </c>
      <c r="D684" s="10" t="str">
        <f>IFERROR(__xludf.DUMMYFUNCTION("""COMPUTED_VALUE"""),"Tom Squire")</f>
        <v>Tom Squire</v>
      </c>
      <c r="E684" s="10" t="str">
        <f>IFERROR(__xludf.DUMMYFUNCTION("""COMPUTED_VALUE"""),"Tom Squire")</f>
        <v>Tom Squire</v>
      </c>
      <c r="F684" s="10" t="str">
        <f>IFERROR(__xludf.DUMMYFUNCTION("""COMPUTED_VALUE"""),"2019/11/05 11:10:00")</f>
        <v>2019/11/05 11:10:00</v>
      </c>
      <c r="G684" s="10" t="str">
        <f>IFERROR(__xludf.DUMMYFUNCTION("""COMPUTED_VALUE"""),"2019/11/05 11:14:00")</f>
        <v>2019/11/05 11:14:00</v>
      </c>
      <c r="H684" s="10" t="str">
        <f>IFERROR(__xludf.DUMMYFUNCTION("""COMPUTED_VALUE"""),"157cf538-1885-4fe4-878b-99e8b457a656")</f>
        <v>157cf538-1885-4fe4-878b-99e8b457a656</v>
      </c>
      <c r="I684" s="10" t="str">
        <f>IFERROR(__xludf.DUMMYFUNCTION("""COMPUTED_VALUE"""),"157cf538-1885-4fe4-878b-99e8b457a656")</f>
        <v>157cf538-1885-4fe4-878b-99e8b457a656</v>
      </c>
    </row>
    <row r="685">
      <c r="A685" s="10" t="str">
        <f>IFERROR(__xludf.DUMMYFUNCTION("""COMPUTED_VALUE"""),"Injecting tech into drug discovery")</f>
        <v>Injecting tech into drug discovery</v>
      </c>
      <c r="B685" s="10" t="str">
        <f>IFERROR(__xludf.DUMMYFUNCTION("""COMPUTED_VALUE"""),"It’s time to reinvent the way the pharmaceutical industry creates drugs — and AI is key. Andrew Hopkins of Exscientia takes us into the next century of drug discovery. 
")</f>
        <v>It’s time to reinvent the way the pharmaceutical industry creates drugs — and AI is key. Andrew Hopkins of Exscientia takes us into the next century of drug discovery. 
</v>
      </c>
      <c r="C685" s="10" t="str">
        <f>IFERROR(__xludf.DUMMYFUNCTION("""COMPUTED_VALUE"""),"DeepTech")</f>
        <v>DeepTech</v>
      </c>
      <c r="D685" s="10" t="str">
        <f>IFERROR(__xludf.DUMMYFUNCTION("""COMPUTED_VALUE"""),"Andrew Hopkins and Alex Deane")</f>
        <v>Andrew Hopkins and Alex Deane</v>
      </c>
      <c r="E685" s="10" t="str">
        <f>IFERROR(__xludf.DUMMYFUNCTION("""COMPUTED_VALUE"""),"Andrew Hopkins,Alex Deane")</f>
        <v>Andrew Hopkins,Alex Deane</v>
      </c>
      <c r="F685" s="10" t="str">
        <f>IFERROR(__xludf.DUMMYFUNCTION("""COMPUTED_VALUE"""),"2019/11/06 11:35:00")</f>
        <v>2019/11/06 11:35:00</v>
      </c>
      <c r="G685" s="10" t="str">
        <f>IFERROR(__xludf.DUMMYFUNCTION("""COMPUTED_VALUE"""),"2019/11/06 11:50:00")</f>
        <v>2019/11/06 11:50:00</v>
      </c>
      <c r="H685" s="10" t="str">
        <f>IFERROR(__xludf.DUMMYFUNCTION("""COMPUTED_VALUE"""),"5e52d7c0-1a51-42b8-8270-ebb4e54b46c9")</f>
        <v>5e52d7c0-1a51-42b8-8270-ebb4e54b46c9</v>
      </c>
      <c r="I685" s="10" t="str">
        <f>IFERROR(__xludf.DUMMYFUNCTION("""COMPUTED_VALUE"""),"5e52d7c0-1a51-42b8-8270-ebb4e54b46c9")</f>
        <v>5e52d7c0-1a51-42b8-8270-ebb4e54b46c9</v>
      </c>
    </row>
    <row r="686">
      <c r="A686" s="10" t="str">
        <f>IFERROR(__xludf.DUMMYFUNCTION("""COMPUTED_VALUE"""),"The future of digital identity in the era of digital transformation")</f>
        <v>The future of digital identity in the era of digital transformation</v>
      </c>
      <c r="B686" s="10" t="str">
        <f>IFERROR(__xludf.DUMMYFUNCTION("""COMPUTED_VALUE"""),"Digital transformation spurs the evolution of identity management systems, where we're seeing control gradually moving away from a central authority and towards the user. On this evolutionary path, the latest trend is an emerging model called Decentralise"&amp;"d (or self-sovereign) ID (DID). This session presents a proof of concept of an emerging identity management model based on the distributed ledger and self-sovereign principles, which enables enterprises to securely manage this ecosystem. ")</f>
        <v>Digital transformation spurs the evolution of identity management systems, where we're seeing control gradually moving away from a central authority and towards the user. On this evolutionary path, the latest trend is an emerging model called Decentralised (or self-sovereign) ID (DID). This session presents a proof of concept of an emerging identity management model based on the distributed ledger and self-sovereign principles, which enables enterprises to securely manage this ecosystem. </v>
      </c>
      <c r="C686" s="10" t="str">
        <f>IFERROR(__xludf.DUMMYFUNCTION("""COMPUTED_VALUE"""),"SaaS Monster")</f>
        <v>SaaS Monster</v>
      </c>
      <c r="D686" s="10" t="str">
        <f>IFERROR(__xludf.DUMMYFUNCTION("""COMPUTED_VALUE"""),"Dr. Zulfikar Ramzan")</f>
        <v>Dr. Zulfikar Ramzan</v>
      </c>
      <c r="E686" s="10" t="str">
        <f>IFERROR(__xludf.DUMMYFUNCTION("""COMPUTED_VALUE"""),"Dr. Zulfikar Ramzan")</f>
        <v>Dr. Zulfikar Ramzan</v>
      </c>
      <c r="F686" s="10" t="str">
        <f>IFERROR(__xludf.DUMMYFUNCTION("""COMPUTED_VALUE"""),"2019/11/06 12:05:00")</f>
        <v>2019/11/06 12:05:00</v>
      </c>
      <c r="G686" s="10" t="str">
        <f>IFERROR(__xludf.DUMMYFUNCTION("""COMPUTED_VALUE"""),"2019/11/06 12:25:00")</f>
        <v>2019/11/06 12:25:00</v>
      </c>
      <c r="H686" s="10" t="str">
        <f>IFERROR(__xludf.DUMMYFUNCTION("""COMPUTED_VALUE"""),"93e6e57c-3328-4880-9964-5435c1a5a20e")</f>
        <v>93e6e57c-3328-4880-9964-5435c1a5a20e</v>
      </c>
      <c r="I686" s="10" t="str">
        <f>IFERROR(__xludf.DUMMYFUNCTION("""COMPUTED_VALUE"""),"93e6e57c-3328-4880-9964-5435c1a5a20e")</f>
        <v>93e6e57c-3328-4880-9964-5435c1a5a20e</v>
      </c>
    </row>
    <row r="687">
      <c r="A687" s="10" t="str">
        <f>IFERROR(__xludf.DUMMYFUNCTION("""COMPUTED_VALUE"""),"Driving digital transformation through experience")</f>
        <v>Driving digital transformation through experience</v>
      </c>
      <c r="B687" s="10" t="str">
        <f>IFERROR(__xludf.DUMMYFUNCTION("""COMPUTED_VALUE"""),"Pfizer and Code and Theory will discuss how the 170 year old pharmaceutical giant is differentiating itself and driving an enterprise-wide digital transformation through experience design. ")</f>
        <v>Pfizer and Code and Theory will discuss how the 170 year old pharmaceutical giant is differentiating itself and driving an enterprise-wide digital transformation through experience design. </v>
      </c>
      <c r="C687" s="10" t="str">
        <f>IFERROR(__xludf.DUMMYFUNCTION("""COMPUTED_VALUE"""),"Corporate Innovation Summit")</f>
        <v>Corporate Innovation Summit</v>
      </c>
      <c r="D687" s="10" t="str">
        <f>IFERROR(__xludf.DUMMYFUNCTION("""COMPUTED_VALUE"""),"Lidia Fonseca, Michael Treff and Paul Michelman")</f>
        <v>Lidia Fonseca, Michael Treff and Paul Michelman</v>
      </c>
      <c r="E687" s="10" t="str">
        <f>IFERROR(__xludf.DUMMYFUNCTION("""COMPUTED_VALUE"""),"Lidia Fonseca,Michael Treff,Paul Michelman")</f>
        <v>Lidia Fonseca,Michael Treff,Paul Michelman</v>
      </c>
      <c r="F687" s="10" t="str">
        <f>IFERROR(__xludf.DUMMYFUNCTION("""COMPUTED_VALUE"""),"2019/11/05 14:20:00")</f>
        <v>2019/11/05 14:20:00</v>
      </c>
      <c r="G687" s="10" t="str">
        <f>IFERROR(__xludf.DUMMYFUNCTION("""COMPUTED_VALUE"""),"2019/11/05 14:40:00")</f>
        <v>2019/11/05 14:40:00</v>
      </c>
      <c r="H687" s="10" t="str">
        <f>IFERROR(__xludf.DUMMYFUNCTION("""COMPUTED_VALUE"""),"fed1c503-24ef-49af-9d61-26944768d304")</f>
        <v>fed1c503-24ef-49af-9d61-26944768d304</v>
      </c>
      <c r="I687" s="10" t="str">
        <f>IFERROR(__xludf.DUMMYFUNCTION("""COMPUTED_VALUE"""),"fed1c503-24ef-49af-9d61-26944768d304")</f>
        <v>fed1c503-24ef-49af-9d61-26944768d304</v>
      </c>
    </row>
    <row r="688">
      <c r="A688" s="10" t="str">
        <f>IFERROR(__xludf.DUMMYFUNCTION("""COMPUTED_VALUE"""),"CX growth hacking (part 2), hosted by ZETA")</f>
        <v>CX growth hacking (part 2), hosted by ZETA</v>
      </c>
      <c r="B688" s="10"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688" s="10" t="str">
        <f>IFERROR(__xludf.DUMMYFUNCTION("""COMPUTED_VALUE"""),"Workshop 4")</f>
        <v>Workshop 4</v>
      </c>
      <c r="D688" s="10" t="str">
        <f>IFERROR(__xludf.DUMMYFUNCTION("""COMPUTED_VALUE"""),"Noriyuki Yamazaki")</f>
        <v>Noriyuki Yamazaki</v>
      </c>
      <c r="E688" s="10" t="str">
        <f>IFERROR(__xludf.DUMMYFUNCTION("""COMPUTED_VALUE"""),"Noriyuki Yamazaki")</f>
        <v>Noriyuki Yamazaki</v>
      </c>
      <c r="F688" s="10" t="str">
        <f>IFERROR(__xludf.DUMMYFUNCTION("""COMPUTED_VALUE"""),"2019/11/05 12:50:00")</f>
        <v>2019/11/05 12:50:00</v>
      </c>
      <c r="G688" s="10" t="str">
        <f>IFERROR(__xludf.DUMMYFUNCTION("""COMPUTED_VALUE"""),"2019/11/05 13:30:00")</f>
        <v>2019/11/05 13:30:00</v>
      </c>
      <c r="H688" s="10" t="str">
        <f>IFERROR(__xludf.DUMMYFUNCTION("""COMPUTED_VALUE"""),"b25cd3ac-ec41-4add-93e4-928f59c1e9ed")</f>
        <v>b25cd3ac-ec41-4add-93e4-928f59c1e9ed</v>
      </c>
      <c r="I688" s="10" t="str">
        <f>IFERROR(__xludf.DUMMYFUNCTION("""COMPUTED_VALUE"""),"b25cd3ac-ec41-4add-93e4-928f59c1e9ed")</f>
        <v>b25cd3ac-ec41-4add-93e4-928f59c1e9ed</v>
      </c>
    </row>
    <row r="689">
      <c r="A689" s="10" t="str">
        <f>IFERROR(__xludf.DUMMYFUNCTION("""COMPUTED_VALUE"""),"Listen, learn, love: How AI creates happier customers")</f>
        <v>Listen, learn, love: How AI creates happier customers</v>
      </c>
      <c r="B689" s="10" t="str">
        <f>IFERROR(__xludf.DUMMYFUNCTION("""COMPUTED_VALUE"""),"We’re at a crossroads when it comes to artificial intelligence. The business world recognizes its importance and potential, but companies are struggling to harness it – or even fully understand it. How can AI be used to make sense of the massive amount of"&amp;" unstructured customer data that all brands need to process?")</f>
        <v>We’re at a crossroads when it comes to artificial intelligence. The business world recognizes its importance and potential, but companies are struggling to harness it – or even fully understand it. How can AI be used to make sense of the massive amount of unstructured customer data that all brands need to process?</v>
      </c>
      <c r="C689" s="10" t="str">
        <f>IFERROR(__xludf.DUMMYFUNCTION("""COMPUTED_VALUE"""),"PandaConf")</f>
        <v>PandaConf</v>
      </c>
      <c r="D689" s="10" t="str">
        <f>IFERROR(__xludf.DUMMYFUNCTION("""COMPUTED_VALUE"""),"Ragy Thomas and Don Clark")</f>
        <v>Ragy Thomas and Don Clark</v>
      </c>
      <c r="E689" s="10" t="str">
        <f>IFERROR(__xludf.DUMMYFUNCTION("""COMPUTED_VALUE"""),"Ragy Thomas,Don Clark")</f>
        <v>Ragy Thomas,Don Clark</v>
      </c>
      <c r="F689" s="10" t="str">
        <f>IFERROR(__xludf.DUMMYFUNCTION("""COMPUTED_VALUE"""),"2019/11/06 15:25:00")</f>
        <v>2019/11/06 15:25:00</v>
      </c>
      <c r="G689" s="10" t="str">
        <f>IFERROR(__xludf.DUMMYFUNCTION("""COMPUTED_VALUE"""),"2019/11/06 15:45:00")</f>
        <v>2019/11/06 15:45:00</v>
      </c>
      <c r="H689" s="10" t="str">
        <f>IFERROR(__xludf.DUMMYFUNCTION("""COMPUTED_VALUE"""),"95a0e3a7-dd71-4df7-8b53-fd5feefc8ec7")</f>
        <v>95a0e3a7-dd71-4df7-8b53-fd5feefc8ec7</v>
      </c>
      <c r="I689" s="10" t="str">
        <f>IFERROR(__xludf.DUMMYFUNCTION("""COMPUTED_VALUE"""),"95a0e3a7-dd71-4df7-8b53-fd5feefc8ec7")</f>
        <v>95a0e3a7-dd71-4df7-8b53-fd5feefc8ec7</v>
      </c>
    </row>
    <row r="690">
      <c r="A690" s="10" t="str">
        <f>IFERROR(__xludf.DUMMYFUNCTION("""COMPUTED_VALUE"""),"Can anything be private anymore?")</f>
        <v>Can anything be private anymore?</v>
      </c>
      <c r="B690" s="10" t="str">
        <f>IFERROR(__xludf.DUMMYFUNCTION("""COMPUTED_VALUE"""),"It is a fact that big data has replaced big oil as the most valuable global commodity. The buying, selling, and utilisation of data has made it almost impossible to maintain a truly private existence. In this session we will hear from two leading academic"&amp;" voices studying the impact of tech on our privacy and their proposed solutions for the problem of privacy. ")</f>
        <v>It is a fact that big data has replaced big oil as the most valuable global commodity. The buying, selling, and utilisation of data has made it almost impossible to maintain a truly private existence. In this session we will hear from two leading academic voices studying the impact of tech on our privacy and their proposed solutions for the problem of privacy. </v>
      </c>
      <c r="C690" s="10" t="str">
        <f>IFERROR(__xludf.DUMMYFUNCTION("""COMPUTED_VALUE"""),"Future Societies")</f>
        <v>Future Societies</v>
      </c>
      <c r="D690" s="10" t="str">
        <f>IFERROR(__xludf.DUMMYFUNCTION("""COMPUTED_VALUE"""),"Brittany Kaiser, David Chaum and Joseph Menn")</f>
        <v>Brittany Kaiser, David Chaum and Joseph Menn</v>
      </c>
      <c r="E690" s="10" t="str">
        <f>IFERROR(__xludf.DUMMYFUNCTION("""COMPUTED_VALUE"""),"Brittany Kaiser,David Chaum,Joseph Menn")</f>
        <v>Brittany Kaiser,David Chaum,Joseph Menn</v>
      </c>
      <c r="F690" s="10" t="str">
        <f>IFERROR(__xludf.DUMMYFUNCTION("""COMPUTED_VALUE"""),"2019/11/06 10:10:00")</f>
        <v>2019/11/06 10:10:00</v>
      </c>
      <c r="G690" s="10" t="str">
        <f>IFERROR(__xludf.DUMMYFUNCTION("""COMPUTED_VALUE"""),"2019/11/06 10:30:00")</f>
        <v>2019/11/06 10:30:00</v>
      </c>
      <c r="H690" s="10" t="str">
        <f>IFERROR(__xludf.DUMMYFUNCTION("""COMPUTED_VALUE"""),"e0a8ca5d-d716-4542-b6bf-e80bd6cd1304")</f>
        <v>e0a8ca5d-d716-4542-b6bf-e80bd6cd1304</v>
      </c>
      <c r="I690" s="10" t="str">
        <f>IFERROR(__xludf.DUMMYFUNCTION("""COMPUTED_VALUE"""),"e0a8ca5d-d716-4542-b6bf-e80bd6cd1304")</f>
        <v>e0a8ca5d-d716-4542-b6bf-e80bd6cd1304</v>
      </c>
    </row>
    <row r="691">
      <c r="A691" s="10" t="str">
        <f>IFERROR(__xludf.DUMMYFUNCTION("""COMPUTED_VALUE"""),"Night Summit: Party time")</f>
        <v>Night Summit: Party time</v>
      </c>
      <c r="B691" s="10" t="str">
        <f>IFERROR(__xludf.DUMMYFUNCTION("""COMPUTED_VALUE"""),"Day two is over and you're more than ready to blow off a little steam. 
We know just the place. The LX Factory is one of Lisbon's most iconic spots and a Portuguese centre of fashion and design.
Its industrial setting and incredible atmosphere makes"&amp;" it one of the most unique places in Lisbon's nightlife. ")</f>
        <v>Day two is over and you're more than ready to blow off a little steam. 
We know just the place. The LX Factory is one of Lisbon's most iconic spots and a Portuguese centre of fashion and design.
Its industrial setting and incredible atmosphere makes it one of the most unique places in Lisbon's nightlife. </v>
      </c>
      <c r="C691" s="10" t="str">
        <f>IFERROR(__xludf.DUMMYFUNCTION("""COMPUTED_VALUE"""),"LX Factory")</f>
        <v>LX Factory</v>
      </c>
      <c r="D691" s="10" t="str">
        <f>IFERROR(__xludf.DUMMYFUNCTION("""COMPUTED_VALUE"""),"")</f>
        <v/>
      </c>
      <c r="E691" s="10" t="str">
        <f>IFERROR(__xludf.DUMMYFUNCTION("""COMPUTED_VALUE"""),"")</f>
        <v/>
      </c>
      <c r="F691" s="10" t="str">
        <f>IFERROR(__xludf.DUMMYFUNCTION("""COMPUTED_VALUE"""),"2019/11/06 19:59:00")</f>
        <v>2019/11/06 19:59:00</v>
      </c>
      <c r="G691" s="10" t="str">
        <f>IFERROR(__xludf.DUMMYFUNCTION("""COMPUTED_VALUE"""),"2019/11/07 02:00:00")</f>
        <v>2019/11/07 02:00:00</v>
      </c>
      <c r="H691" s="10" t="str">
        <f>IFERROR(__xludf.DUMMYFUNCTION("""COMPUTED_VALUE"""),"1f8bc1a3-b476-4b8a-b39c-7a0c3507c978")</f>
        <v>1f8bc1a3-b476-4b8a-b39c-7a0c3507c978</v>
      </c>
      <c r="I691" s="10" t="str">
        <f>IFERROR(__xludf.DUMMYFUNCTION("""COMPUTED_VALUE"""),"1f8bc1a3-b476-4b8a-b39c-7a0c3507c978")</f>
        <v>1f8bc1a3-b476-4b8a-b39c-7a0c3507c978</v>
      </c>
    </row>
    <row r="692">
      <c r="A692" s="10" t="str">
        <f>IFERROR(__xludf.DUMMYFUNCTION("""COMPUTED_VALUE"""),"The new marketplaces?")</f>
        <v>The new marketplaces?</v>
      </c>
      <c r="B692" s="10" t="str">
        <f>IFERROR(__xludf.DUMMYFUNCTION("""COMPUTED_VALUE"""),"It's never been easier to start an online platform and earn revenue, so how do investors spot a scalable marketplace idea? ")</f>
        <v>It's never been easier to start an online platform and earn revenue, so how do investors spot a scalable marketplace idea? </v>
      </c>
      <c r="C692" s="10" t="str">
        <f>IFERROR(__xludf.DUMMYFUNCTION("""COMPUTED_VALUE"""),"Venture stage")</f>
        <v>Venture stage</v>
      </c>
      <c r="D692" s="10" t="str">
        <f>IFERROR(__xludf.DUMMYFUNCTION("""COMPUTED_VALUE"""),"Marlon Nichols, Fabrice Grinda and Laurel Touby")</f>
        <v>Marlon Nichols, Fabrice Grinda and Laurel Touby</v>
      </c>
      <c r="E692" s="10" t="str">
        <f>IFERROR(__xludf.DUMMYFUNCTION("""COMPUTED_VALUE"""),"Marlon Nichols,Fabrice Grinda,Laurel Touby")</f>
        <v>Marlon Nichols,Fabrice Grinda,Laurel Touby</v>
      </c>
      <c r="F692" s="10" t="str">
        <f>IFERROR(__xludf.DUMMYFUNCTION("""COMPUTED_VALUE"""),"2019/11/06 14:25:00")</f>
        <v>2019/11/06 14:25:00</v>
      </c>
      <c r="G692" s="10" t="str">
        <f>IFERROR(__xludf.DUMMYFUNCTION("""COMPUTED_VALUE"""),"2019/11/06 14:45:00")</f>
        <v>2019/11/06 14:45:00</v>
      </c>
      <c r="H692" s="10" t="str">
        <f>IFERROR(__xludf.DUMMYFUNCTION("""COMPUTED_VALUE"""),"1bee5c68-1665-41fb-a423-9a0849920940")</f>
        <v>1bee5c68-1665-41fb-a423-9a0849920940</v>
      </c>
      <c r="I692" s="10" t="str">
        <f>IFERROR(__xludf.DUMMYFUNCTION("""COMPUTED_VALUE"""),"1bee5c68-1665-41fb-a423-9a0849920940")</f>
        <v>1bee5c68-1665-41fb-a423-9a0849920940</v>
      </c>
    </row>
    <row r="693">
      <c r="A693" s="10" t="str">
        <f>IFERROR(__xludf.DUMMYFUNCTION("""COMPUTED_VALUE"""),"Women's sport revolution: Inside the World Cup")</f>
        <v>Women's sport revolution: Inside the World Cup</v>
      </c>
      <c r="B693" s="10" t="str">
        <f>IFERROR(__xludf.DUMMYFUNCTION("""COMPUTED_VALUE"""),"The 2019 FIFA Women's World Cup heralded a new era for the game. World Cup winner, Meghan Klingenberg,  Jenny Wang of Re-Inc, and BBC Director of Sport, Barbara Slater, talk about how the game can grow following the record-breaking World Cup.")</f>
        <v>The 2019 FIFA Women's World Cup heralded a new era for the game. World Cup winner, Meghan Klingenberg,  Jenny Wang of Re-Inc, and BBC Director of Sport, Barbara Slater, talk about how the game can grow following the record-breaking World Cup.</v>
      </c>
      <c r="C693" s="10" t="str">
        <f>IFERROR(__xludf.DUMMYFUNCTION("""COMPUTED_VALUE"""),"SportsTrade")</f>
        <v>SportsTrade</v>
      </c>
      <c r="D693" s="10" t="str">
        <f>IFERROR(__xludf.DUMMYFUNCTION("""COMPUTED_VALUE"""),"Barbara Slater, Meghan Klingenberg, Jenny Wang, Eniola Aluko and Daniel Macaulay")</f>
        <v>Barbara Slater, Meghan Klingenberg, Jenny Wang, Eniola Aluko and Daniel Macaulay</v>
      </c>
      <c r="E693" s="10" t="str">
        <f>IFERROR(__xludf.DUMMYFUNCTION("""COMPUTED_VALUE"""),"Barbara Slater,Meghan Klingenberg,Jenny Wang,Eniola Aluko,Daniel Macaulay")</f>
        <v>Barbara Slater,Meghan Klingenberg,Jenny Wang,Eniola Aluko,Daniel Macaulay</v>
      </c>
      <c r="F693" s="10" t="str">
        <f>IFERROR(__xludf.DUMMYFUNCTION("""COMPUTED_VALUE"""),"2019/11/05 11:05:00")</f>
        <v>2019/11/05 11:05:00</v>
      </c>
      <c r="G693" s="10" t="str">
        <f>IFERROR(__xludf.DUMMYFUNCTION("""COMPUTED_VALUE"""),"2019/11/05 11:25:00")</f>
        <v>2019/11/05 11:25:00</v>
      </c>
      <c r="H693" s="10" t="str">
        <f>IFERROR(__xludf.DUMMYFUNCTION("""COMPUTED_VALUE"""),"879df1db-b60b-450c-af2a-bf48089803aa")</f>
        <v>879df1db-b60b-450c-af2a-bf48089803aa</v>
      </c>
      <c r="I693" s="10" t="str">
        <f>IFERROR(__xludf.DUMMYFUNCTION("""COMPUTED_VALUE"""),"879df1db-b60b-450c-af2a-bf48089803aa")</f>
        <v>879df1db-b60b-450c-af2a-bf48089803aa</v>
      </c>
    </row>
    <row r="694">
      <c r="A694" s="10" t="str">
        <f>IFERROR(__xludf.DUMMYFUNCTION("""COMPUTED_VALUE"""),"Investing in change: How to navigate disruption")</f>
        <v>Investing in change: How to navigate disruption</v>
      </c>
      <c r="B694" s="10" t="str">
        <f>IFERROR(__xludf.DUMMYFUNCTION("""COMPUTED_VALUE"""),"Amid the changing face of VC, these investors discuss their experiences in a market balancing cultural changes along with ever increasing scale.")</f>
        <v>Amid the changing face of VC, these investors discuss their experiences in a market balancing cultural changes along with ever increasing scale.</v>
      </c>
      <c r="C694" s="10" t="str">
        <f>IFERROR(__xludf.DUMMYFUNCTION("""COMPUTED_VALUE"""),"Venture stage")</f>
        <v>Venture stage</v>
      </c>
      <c r="D694" s="10" t="str">
        <f>IFERROR(__xludf.DUMMYFUNCTION("""COMPUTED_VALUE"""),"Allister Furey, Niccolo Manzoni and Mariana Barbosa")</f>
        <v>Allister Furey, Niccolo Manzoni and Mariana Barbosa</v>
      </c>
      <c r="E694" s="10" t="str">
        <f>IFERROR(__xludf.DUMMYFUNCTION("""COMPUTED_VALUE"""),"Allister Furey,Niccolo Manzoni,Mariana Barbosa")</f>
        <v>Allister Furey,Niccolo Manzoni,Mariana Barbosa</v>
      </c>
      <c r="F694" s="10" t="str">
        <f>IFERROR(__xludf.DUMMYFUNCTION("""COMPUTED_VALUE"""),"2019/11/07 14:25:00")</f>
        <v>2019/11/07 14:25:00</v>
      </c>
      <c r="G694" s="10" t="str">
        <f>IFERROR(__xludf.DUMMYFUNCTION("""COMPUTED_VALUE"""),"2019/11/07 14:45:00")</f>
        <v>2019/11/07 14:45:00</v>
      </c>
      <c r="H694" s="10" t="str">
        <f>IFERROR(__xludf.DUMMYFUNCTION("""COMPUTED_VALUE"""),"46f8dd09-71a9-435d-b310-e1e8b669fd41")</f>
        <v>46f8dd09-71a9-435d-b310-e1e8b669fd41</v>
      </c>
      <c r="I694" s="10" t="str">
        <f>IFERROR(__xludf.DUMMYFUNCTION("""COMPUTED_VALUE"""),"46f8dd09-71a9-435d-b310-e1e8b669fd41")</f>
        <v>46f8dd09-71a9-435d-b310-e1e8b669fd41</v>
      </c>
    </row>
    <row r="695">
      <c r="A695" s="10" t="str">
        <f>IFERROR(__xludf.DUMMYFUNCTION("""COMPUTED_VALUE"""),"Cyber-scaling safely")</f>
        <v>Cyber-scaling safely</v>
      </c>
      <c r="B695" s="10" t="str">
        <f>IFERROR(__xludf.DUMMYFUNCTION("""COMPUTED_VALUE"""),"When building an enterprise solution, data security and privacy need to be part of the core product. What are investor's red flag lists they need to see in terms of cybersecurity before investing in enterprise solutions?")</f>
        <v>When building an enterprise solution, data security and privacy need to be part of the core product. What are investor's red flag lists they need to see in terms of cybersecurity before investing in enterprise solutions?</v>
      </c>
      <c r="C695" s="10" t="str">
        <f>IFERROR(__xludf.DUMMYFUNCTION("""COMPUTED_VALUE"""),"Venture stage")</f>
        <v>Venture stage</v>
      </c>
      <c r="D695" s="10" t="str">
        <f>IFERROR(__xludf.DUMMYFUNCTION("""COMPUTED_VALUE"""),"Dennis Smith, Rocio Pillado, Rashmi Gopinath, Shardul Shah and Catherine Stupp")</f>
        <v>Dennis Smith, Rocio Pillado, Rashmi Gopinath, Shardul Shah and Catherine Stupp</v>
      </c>
      <c r="E695" s="10" t="str">
        <f>IFERROR(__xludf.DUMMYFUNCTION("""COMPUTED_VALUE"""),"Dennis Smith,Rocio Pillado,Rashmi Gopinath,Shardul Shah,Catherine Stupp")</f>
        <v>Dennis Smith,Rocio Pillado,Rashmi Gopinath,Shardul Shah,Catherine Stupp</v>
      </c>
      <c r="F695" s="10" t="str">
        <f>IFERROR(__xludf.DUMMYFUNCTION("""COMPUTED_VALUE"""),"2019/11/06 15:10:00")</f>
        <v>2019/11/06 15:10:00</v>
      </c>
      <c r="G695" s="10" t="str">
        <f>IFERROR(__xludf.DUMMYFUNCTION("""COMPUTED_VALUE"""),"2019/11/06 15:35:00")</f>
        <v>2019/11/06 15:35:00</v>
      </c>
      <c r="H695" s="10" t="str">
        <f>IFERROR(__xludf.DUMMYFUNCTION("""COMPUTED_VALUE"""),"37b4f55e-bf37-469f-a8fa-c4d711f1fc11")</f>
        <v>37b4f55e-bf37-469f-a8fa-c4d711f1fc11</v>
      </c>
      <c r="I695" s="10" t="str">
        <f>IFERROR(__xludf.DUMMYFUNCTION("""COMPUTED_VALUE"""),"37b4f55e-bf37-469f-a8fa-c4d711f1fc11")</f>
        <v>37b4f55e-bf37-469f-a8fa-c4d711f1fc11</v>
      </c>
    </row>
    <row r="696">
      <c r="A696" s="10" t="str">
        <f>IFERROR(__xludf.DUMMYFUNCTION("""COMPUTED_VALUE"""),"Opening remarks ")</f>
        <v>Opening remarks </v>
      </c>
      <c r="B696" s="10" t="str">
        <f>IFERROR(__xludf.DUMMYFUNCTION("""COMPUTED_VALUE"""),"")</f>
        <v/>
      </c>
      <c r="C696" s="10" t="str">
        <f>IFERROR(__xludf.DUMMYFUNCTION("""COMPUTED_VALUE"""),"Startup University")</f>
        <v>Startup University</v>
      </c>
      <c r="D696" s="10" t="str">
        <f>IFERROR(__xludf.DUMMYFUNCTION("""COMPUTED_VALUE"""),"David Meltzer")</f>
        <v>David Meltzer</v>
      </c>
      <c r="E696" s="10" t="str">
        <f>IFERROR(__xludf.DUMMYFUNCTION("""COMPUTED_VALUE"""),"David Meltzer")</f>
        <v>David Meltzer</v>
      </c>
      <c r="F696" s="10" t="str">
        <f>IFERROR(__xludf.DUMMYFUNCTION("""COMPUTED_VALUE"""),"2019/11/06 14:20:00")</f>
        <v>2019/11/06 14:20:00</v>
      </c>
      <c r="G696" s="10" t="str">
        <f>IFERROR(__xludf.DUMMYFUNCTION("""COMPUTED_VALUE"""),"2019/11/06 14:35:00")</f>
        <v>2019/11/06 14:35:00</v>
      </c>
      <c r="H696" s="10" t="str">
        <f>IFERROR(__xludf.DUMMYFUNCTION("""COMPUTED_VALUE"""),"303149c3-9713-4fcc-92a4-34ad95ae532a")</f>
        <v>303149c3-9713-4fcc-92a4-34ad95ae532a</v>
      </c>
      <c r="I696" s="10" t="str">
        <f>IFERROR(__xludf.DUMMYFUNCTION("""COMPUTED_VALUE"""),"303149c3-9713-4fcc-92a4-34ad95ae532a")</f>
        <v>303149c3-9713-4fcc-92a4-34ad95ae532a</v>
      </c>
    </row>
    <row r="697">
      <c r="A697" s="10" t="str">
        <f>IFERROR(__xludf.DUMMYFUNCTION("""COMPUTED_VALUE"""),"High-impact predictions: Anticipate and win with machine learning")</f>
        <v>High-impact predictions: Anticipate and win with machine learning</v>
      </c>
      <c r="B697" s="10" t="str">
        <f>IFERROR(__xludf.DUMMYFUNCTION("""COMPUTED_VALUE"""),"The co-founder of EPICA will discuss how EPICA is democratising access to ML/AI, and how predictive capabilities have become a key capacity that any company can access.")</f>
        <v>The co-founder of EPICA will discuss how EPICA is democratising access to ML/AI, and how predictive capabilities have become a key capacity that any company can access.</v>
      </c>
      <c r="C697" s="10" t="str">
        <f>IFERROR(__xludf.DUMMYFUNCTION("""COMPUTED_VALUE"""),"Growth Summit")</f>
        <v>Growth Summit</v>
      </c>
      <c r="D697" s="10" t="str">
        <f>IFERROR(__xludf.DUMMYFUNCTION("""COMPUTED_VALUE"""),"Diego Paramo")</f>
        <v>Diego Paramo</v>
      </c>
      <c r="E697" s="10" t="str">
        <f>IFERROR(__xludf.DUMMYFUNCTION("""COMPUTED_VALUE"""),"Diego Paramo")</f>
        <v>Diego Paramo</v>
      </c>
      <c r="F697" s="10" t="str">
        <f>IFERROR(__xludf.DUMMYFUNCTION("""COMPUTED_VALUE"""),"2019/11/05 11:02:00")</f>
        <v>2019/11/05 11:02:00</v>
      </c>
      <c r="G697" s="10" t="str">
        <f>IFERROR(__xludf.DUMMYFUNCTION("""COMPUTED_VALUE"""),"2019/11/05 11:06:00")</f>
        <v>2019/11/05 11:06:00</v>
      </c>
      <c r="H697" s="10" t="str">
        <f>IFERROR(__xludf.DUMMYFUNCTION("""COMPUTED_VALUE"""),"b875d1fb-f347-4dd4-add0-2745264efcef")</f>
        <v>b875d1fb-f347-4dd4-add0-2745264efcef</v>
      </c>
      <c r="I697" s="10" t="str">
        <f>IFERROR(__xludf.DUMMYFUNCTION("""COMPUTED_VALUE"""),"b875d1fb-f347-4dd4-add0-2745264efcef")</f>
        <v>b875d1fb-f347-4dd4-add0-2745264efcef</v>
      </c>
    </row>
    <row r="698">
      <c r="A698" s="10" t="str">
        <f>IFERROR(__xludf.DUMMYFUNCTION("""COMPUTED_VALUE"""),"Leading the way with tech and culture")</f>
        <v>Leading the way with tech and culture</v>
      </c>
      <c r="B698" s="10" t="str">
        <f>IFERROR(__xludf.DUMMYFUNCTION("""COMPUTED_VALUE"""),"Co-founder of Babyshop Group Linn explains how two people in their early 20s, with no kids, risked their savings and turned them into a €100m children's fashion tech business. She'll outline that growth comes with people and with people comes growth.")</f>
        <v>Co-founder of Babyshop Group Linn explains how two people in their early 20s, with no kids, risked their savings and turned them into a €100m children's fashion tech business. She'll outline that growth comes with people and with people comes growth.</v>
      </c>
      <c r="C698" s="10" t="str">
        <f>IFERROR(__xludf.DUMMYFUNCTION("""COMPUTED_VALUE"""),"Growth Summit")</f>
        <v>Growth Summit</v>
      </c>
      <c r="D698" s="10" t="str">
        <f>IFERROR(__xludf.DUMMYFUNCTION("""COMPUTED_VALUE"""),"Linn Tagesson")</f>
        <v>Linn Tagesson</v>
      </c>
      <c r="E698" s="10" t="str">
        <f>IFERROR(__xludf.DUMMYFUNCTION("""COMPUTED_VALUE"""),"Linn Tagesson")</f>
        <v>Linn Tagesson</v>
      </c>
      <c r="F698" s="10" t="str">
        <f>IFERROR(__xludf.DUMMYFUNCTION("""COMPUTED_VALUE"""),"2019/11/06 15:48:00")</f>
        <v>2019/11/06 15:48:00</v>
      </c>
      <c r="G698" s="10" t="str">
        <f>IFERROR(__xludf.DUMMYFUNCTION("""COMPUTED_VALUE"""),"2019/11/06 15:59:00")</f>
        <v>2019/11/06 15:59:00</v>
      </c>
      <c r="H698" s="10" t="str">
        <f>IFERROR(__xludf.DUMMYFUNCTION("""COMPUTED_VALUE"""),"a2c6bf02-513b-4797-8765-37ba76028819")</f>
        <v>a2c6bf02-513b-4797-8765-37ba76028819</v>
      </c>
      <c r="I698" s="10" t="str">
        <f>IFERROR(__xludf.DUMMYFUNCTION("""COMPUTED_VALUE"""),"a2c6bf02-513b-4797-8765-37ba76028819")</f>
        <v>a2c6bf02-513b-4797-8765-37ba76028819</v>
      </c>
    </row>
    <row r="699">
      <c r="A699" s="10" t="str">
        <f>IFERROR(__xludf.DUMMYFUNCTION("""COMPUTED_VALUE"""),"Building an innovative community: Imperial College London's White City Campus")</f>
        <v>Building an innovative community: Imperial College London's White City Campus</v>
      </c>
      <c r="B699" s="10" t="str">
        <f>IFERROR(__xludf.DUMMYFUNCTION("""COMPUTED_VALUE"""),"Imperial College London is bringing together scientific researchers, corporate partners, entrepreneurs and the local community to coexist and co-create on an unprecedented scale, and to turn cutting edge scientific research into real world benefits for so"&amp;"ciety. Prof. Maggie Dallman OBE will outline the vision behind Imperial’s new White City Campus, fast becoming one of London’s most exciting innovation districts with unique shared community innovation spaces.")</f>
        <v>Imperial College London is bringing together scientific researchers, corporate partners, entrepreneurs and the local community to coexist and co-create on an unprecedented scale, and to turn cutting edge scientific research into real world benefits for society. Prof. Maggie Dallman OBE will outline the vision behind Imperial’s new White City Campus, fast becoming one of London’s most exciting innovation districts with unique shared community innovation spaces.</v>
      </c>
      <c r="C699" s="10" t="str">
        <f>IFERROR(__xludf.DUMMYFUNCTION("""COMPUTED_VALUE"""),"Future Societies")</f>
        <v>Future Societies</v>
      </c>
      <c r="D699" s="10" t="str">
        <f>IFERROR(__xludf.DUMMYFUNCTION("""COMPUTED_VALUE"""),"Maggie Dallman")</f>
        <v>Maggie Dallman</v>
      </c>
      <c r="E699" s="10" t="str">
        <f>IFERROR(__xludf.DUMMYFUNCTION("""COMPUTED_VALUE"""),"Maggie Dallman")</f>
        <v>Maggie Dallman</v>
      </c>
      <c r="F699" s="10" t="str">
        <f>IFERROR(__xludf.DUMMYFUNCTION("""COMPUTED_VALUE"""),"2019/11/05 13:03:00")</f>
        <v>2019/11/05 13:03:00</v>
      </c>
      <c r="G699" s="10" t="str">
        <f>IFERROR(__xludf.DUMMYFUNCTION("""COMPUTED_VALUE"""),"2019/11/05 13:15:00")</f>
        <v>2019/11/05 13:15:00</v>
      </c>
      <c r="H699" s="10" t="str">
        <f>IFERROR(__xludf.DUMMYFUNCTION("""COMPUTED_VALUE"""),"e2ff5f2b-4b7a-41d3-94a8-b5247b28191c")</f>
        <v>e2ff5f2b-4b7a-41d3-94a8-b5247b28191c</v>
      </c>
      <c r="I699" s="10" t="str">
        <f>IFERROR(__xludf.DUMMYFUNCTION("""COMPUTED_VALUE"""),"e2ff5f2b-4b7a-41d3-94a8-b5247b28191c")</f>
        <v>e2ff5f2b-4b7a-41d3-94a8-b5247b28191c</v>
      </c>
    </row>
    <row r="700">
      <c r="A700" s="10" t="str">
        <f>IFERROR(__xludf.DUMMYFUNCTION("""COMPUTED_VALUE"""),"ATM 1")</f>
        <v>ATM 1</v>
      </c>
      <c r="B700" s="10" t="str">
        <f>IFERROR(__xludf.DUMMYFUNCTION("""COMPUTED_VALUE"""),"")</f>
        <v/>
      </c>
      <c r="C700" s="10" t="str">
        <f>IFERROR(__xludf.DUMMYFUNCTION("""COMPUTED_VALUE"""),"ATM - 1 - Nov 6")</f>
        <v>ATM - 1 - Nov 6</v>
      </c>
      <c r="D700" s="10" t="str">
        <f>IFERROR(__xludf.DUMMYFUNCTION("""COMPUTED_VALUE"""),"")</f>
        <v/>
      </c>
      <c r="E700" s="10" t="str">
        <f>IFERROR(__xludf.DUMMYFUNCTION("""COMPUTED_VALUE"""),"")</f>
        <v/>
      </c>
      <c r="F700" s="10" t="str">
        <f>IFERROR(__xludf.DUMMYFUNCTION("""COMPUTED_VALUE"""),"2019/11/06 20:01:00")</f>
        <v>2019/11/06 20:01:00</v>
      </c>
      <c r="G700" s="10" t="str">
        <f>IFERROR(__xludf.DUMMYFUNCTION("""COMPUTED_VALUE"""),"2019/11/07 02:00:00")</f>
        <v>2019/11/07 02:00:00</v>
      </c>
      <c r="H700" s="10" t="str">
        <f>IFERROR(__xludf.DUMMYFUNCTION("""COMPUTED_VALUE"""),"a4cb8e55-8178-4e8c-85f5-551e57fe68ed")</f>
        <v>a4cb8e55-8178-4e8c-85f5-551e57fe68ed</v>
      </c>
      <c r="I700" s="10" t="str">
        <f>IFERROR(__xludf.DUMMYFUNCTION("""COMPUTED_VALUE"""),"a4cb8e55-8178-4e8c-85f5-551e57fe68ed")</f>
        <v>a4cb8e55-8178-4e8c-85f5-551e57fe68ed</v>
      </c>
    </row>
    <row r="701">
      <c r="A701" s="10" t="str">
        <f>IFERROR(__xludf.DUMMYFUNCTION("""COMPUTED_VALUE"""),"Advancing women in tech: How to move our dials, together, hosted by #movethedial")</f>
        <v>Advancing women in tech: How to move our dials, together, hosted by #movethedial</v>
      </c>
      <c r="B701" s="10" t="str">
        <f>IFERROR(__xludf.DUMMYFUNCTION("""COMPUTED_VALUE"""),"""When women work together, we can accomplish amazing things” - Sheryl Sandberg.
Join us to learn how you can effectively bring others along with you as you #movethedial in your career and life.
This workshop will show you how to build your own “adv"&amp;"isory board” – a group of dynamic and diverse women who can empower each other. Learn how to engage existing connections and build impactful relationships to #movethedial for yourself and others, and get the most value out of your time together.")</f>
        <v>"When women work together, we can accomplish amazing things” - Sheryl Sandberg.
Join us to learn how you can effectively bring others along with you as you #movethedial in your career and life.
This workshop will show you how to build your own “advisory board” – a group of dynamic and diverse women who can empower each other. Learn how to engage existing connections and build impactful relationships to #movethedial for yourself and others, and get the most value out of your time together.</v>
      </c>
      <c r="C701" s="10" t="str">
        <f>IFERROR(__xludf.DUMMYFUNCTION("""COMPUTED_VALUE"""),"Workshop 1")</f>
        <v>Workshop 1</v>
      </c>
      <c r="D701" s="10" t="str">
        <f>IFERROR(__xludf.DUMMYFUNCTION("""COMPUTED_VALUE"""),"")</f>
        <v/>
      </c>
      <c r="E701" s="10" t="str">
        <f>IFERROR(__xludf.DUMMYFUNCTION("""COMPUTED_VALUE"""),"")</f>
        <v/>
      </c>
      <c r="F701" s="10" t="str">
        <f>IFERROR(__xludf.DUMMYFUNCTION("""COMPUTED_VALUE"""),"2019/11/07 15:30:00")</f>
        <v>2019/11/07 15:30:00</v>
      </c>
      <c r="G701" s="10" t="str">
        <f>IFERROR(__xludf.DUMMYFUNCTION("""COMPUTED_VALUE"""),"2019/11/07 17:00:00")</f>
        <v>2019/11/07 17:00:00</v>
      </c>
      <c r="H701" s="10" t="str">
        <f>IFERROR(__xludf.DUMMYFUNCTION("""COMPUTED_VALUE"""),"47a6ba19-13bd-4fa3-ab76-d8cc717416b1")</f>
        <v>47a6ba19-13bd-4fa3-ab76-d8cc717416b1</v>
      </c>
      <c r="I701" s="10" t="str">
        <f>IFERROR(__xludf.DUMMYFUNCTION("""COMPUTED_VALUE"""),"47a6ba19-13bd-4fa3-ab76-d8cc717416b1")</f>
        <v>47a6ba19-13bd-4fa3-ab76-d8cc717416b1</v>
      </c>
    </row>
    <row r="702">
      <c r="A702" s="10" t="str">
        <f>IFERROR(__xludf.DUMMYFUNCTION("""COMPUTED_VALUE"""),"Lunch break")</f>
        <v>Lunch break</v>
      </c>
      <c r="B702" s="10" t="str">
        <f>IFERROR(__xludf.DUMMYFUNCTION("""COMPUTED_VALUE"""),"")</f>
        <v/>
      </c>
      <c r="C702" s="10" t="str">
        <f>IFERROR(__xludf.DUMMYFUNCTION("""COMPUTED_VALUE"""),"Future Societies")</f>
        <v>Future Societies</v>
      </c>
      <c r="D702" s="10" t="str">
        <f>IFERROR(__xludf.DUMMYFUNCTION("""COMPUTED_VALUE"""),"")</f>
        <v/>
      </c>
      <c r="E702" s="10" t="str">
        <f>IFERROR(__xludf.DUMMYFUNCTION("""COMPUTED_VALUE"""),"")</f>
        <v/>
      </c>
      <c r="F702" s="10" t="str">
        <f>IFERROR(__xludf.DUMMYFUNCTION("""COMPUTED_VALUE"""),"2019/11/07 12:15:00")</f>
        <v>2019/11/07 12:15:00</v>
      </c>
      <c r="G702" s="10" t="str">
        <f>IFERROR(__xludf.DUMMYFUNCTION("""COMPUTED_VALUE"""),"2019/11/07 12:50:00")</f>
        <v>2019/11/07 12:50:00</v>
      </c>
      <c r="H702" s="10" t="str">
        <f>IFERROR(__xludf.DUMMYFUNCTION("""COMPUTED_VALUE"""),"f6a4f5ec-55db-4467-886b-472ef4efe759")</f>
        <v>f6a4f5ec-55db-4467-886b-472ef4efe759</v>
      </c>
      <c r="I702" s="10" t="str">
        <f>IFERROR(__xludf.DUMMYFUNCTION("""COMPUTED_VALUE"""),"f6a4f5ec-55db-4467-886b-472ef4efe759")</f>
        <v>f6a4f5ec-55db-4467-886b-472ef4efe759</v>
      </c>
    </row>
    <row r="703">
      <c r="A703" s="10" t="str">
        <f>IFERROR(__xludf.DUMMYFUNCTION("""COMPUTED_VALUE"""),"Opening remarks")</f>
        <v>Opening remarks</v>
      </c>
      <c r="B703" s="10" t="str">
        <f>IFERROR(__xludf.DUMMYFUNCTION("""COMPUTED_VALUE"""),"Peek behind the marketing as the year's biggest consumer electronics are reviewed by independent industry critics and consumers themselves.  The afternoon stage content will be opened by tech reporter Jess Kelly.")</f>
        <v>Peek behind the marketing as the year's biggest consumer electronics are reviewed by independent industry critics and consumers themselves.  The afternoon stage content will be opened by tech reporter Jess Kelly.</v>
      </c>
      <c r="C703" s="10" t="str">
        <f>IFERROR(__xludf.DUMMYFUNCTION("""COMPUTED_VALUE"""),"UnBoxed")</f>
        <v>UnBoxed</v>
      </c>
      <c r="D703" s="10" t="str">
        <f>IFERROR(__xludf.DUMMYFUNCTION("""COMPUTED_VALUE"""),"Jess Kelly")</f>
        <v>Jess Kelly</v>
      </c>
      <c r="E703" s="10" t="str">
        <f>IFERROR(__xludf.DUMMYFUNCTION("""COMPUTED_VALUE"""),"Jess Kelly")</f>
        <v>Jess Kelly</v>
      </c>
      <c r="F703" s="10" t="str">
        <f>IFERROR(__xludf.DUMMYFUNCTION("""COMPUTED_VALUE"""),"2019/11/05 14:15:00")</f>
        <v>2019/11/05 14:15:00</v>
      </c>
      <c r="G703" s="10" t="str">
        <f>IFERROR(__xludf.DUMMYFUNCTION("""COMPUTED_VALUE"""),"2019/11/05 14:30:00")</f>
        <v>2019/11/05 14:30:00</v>
      </c>
      <c r="H703" s="10" t="str">
        <f>IFERROR(__xludf.DUMMYFUNCTION("""COMPUTED_VALUE"""),"31ec60f4-3c46-4c68-bae1-e4d13dc6e8c6")</f>
        <v>31ec60f4-3c46-4c68-bae1-e4d13dc6e8c6</v>
      </c>
      <c r="I703" s="10" t="str">
        <f>IFERROR(__xludf.DUMMYFUNCTION("""COMPUTED_VALUE"""),"31ec60f4-3c46-4c68-bae1-e4d13dc6e8c6")</f>
        <v>31ec60f4-3c46-4c68-bae1-e4d13dc6e8c6</v>
      </c>
    </row>
    <row r="704">
      <c r="A704" s="10" t="str">
        <f>IFERROR(__xludf.DUMMYFUNCTION("""COMPUTED_VALUE"""),"Perspective from The White House")</f>
        <v>Perspective from The White House</v>
      </c>
      <c r="B704" s="10" t="str">
        <f>IFERROR(__xludf.DUMMYFUNCTION("""COMPUTED_VALUE"""),"Hear from President Trump’s top technology policy advisor and CTO of the United States, Michael Kratsios.")</f>
        <v>Hear from President Trump’s top technology policy advisor and CTO of the United States, Michael Kratsios.</v>
      </c>
      <c r="C704" s="10" t="str">
        <f>IFERROR(__xludf.DUMMYFUNCTION("""COMPUTED_VALUE"""),"Centre Stage")</f>
        <v>Centre Stage</v>
      </c>
      <c r="D704" s="10" t="str">
        <f>IFERROR(__xludf.DUMMYFUNCTION("""COMPUTED_VALUE"""),"Michael Kratsios")</f>
        <v>Michael Kratsios</v>
      </c>
      <c r="E704" s="10" t="str">
        <f>IFERROR(__xludf.DUMMYFUNCTION("""COMPUTED_VALUE"""),"Michael Kratsios")</f>
        <v>Michael Kratsios</v>
      </c>
      <c r="F704" s="10" t="str">
        <f>IFERROR(__xludf.DUMMYFUNCTION("""COMPUTED_VALUE"""),"2019/11/07 15:35:00")</f>
        <v>2019/11/07 15:35:00</v>
      </c>
      <c r="G704" s="10" t="str">
        <f>IFERROR(__xludf.DUMMYFUNCTION("""COMPUTED_VALUE"""),"2019/11/07 16:00:00")</f>
        <v>2019/11/07 16:00:00</v>
      </c>
      <c r="H704" s="10" t="str">
        <f>IFERROR(__xludf.DUMMYFUNCTION("""COMPUTED_VALUE"""),"b7b8c823-da5d-43a2-8798-71f90d2d18d3")</f>
        <v>b7b8c823-da5d-43a2-8798-71f90d2d18d3</v>
      </c>
      <c r="I704" s="10" t="str">
        <f>IFERROR(__xludf.DUMMYFUNCTION("""COMPUTED_VALUE"""),"b7b8c823-da5d-43a2-8798-71f90d2d18d3")</f>
        <v>b7b8c823-da5d-43a2-8798-71f90d2d18d3</v>
      </c>
    </row>
    <row r="705">
      <c r="A705" s="10" t="str">
        <f>IFERROR(__xludf.DUMMYFUNCTION("""COMPUTED_VALUE"""),"Design without borders: The future of globalisation and the industry")</f>
        <v>Design without borders: The future of globalisation and the industry</v>
      </c>
      <c r="B705" s="10" t="str">
        <f>IFERROR(__xludf.DUMMYFUNCTION("""COMPUTED_VALUE"""),"Like it or not, designers are tied to globalisation. They have no choice but to understand the link between the economic, social, cultural and political implications of globalisation on society, and on our professional situations. Join the discussion as o"&amp;"ur panel debate what it truly means to be part of a borderless design industry.")</f>
        <v>Like it or not, designers are tied to globalisation. They have no choice but to understand the link between the economic, social, cultural and political implications of globalisation on society, and on our professional situations. Join the discussion as our panel debate what it truly means to be part of a borderless design industry.</v>
      </c>
      <c r="C705" s="10" t="str">
        <f>IFERROR(__xludf.DUMMYFUNCTION("""COMPUTED_VALUE"""),"creatiff")</f>
        <v>creatiff</v>
      </c>
      <c r="D705" s="10" t="str">
        <f>IFERROR(__xludf.DUMMYFUNCTION("""COMPUTED_VALUE"""),"Patrick Llewellyn, Rosanne Somerson, Tim Kobe, Charlie Smith and Erika Allen")</f>
        <v>Patrick Llewellyn, Rosanne Somerson, Tim Kobe, Charlie Smith and Erika Allen</v>
      </c>
      <c r="E705" s="10" t="str">
        <f>IFERROR(__xludf.DUMMYFUNCTION("""COMPUTED_VALUE"""),"Patrick Llewellyn,Rosanne Somerson,Tim Kobe,Charlie Smith,Erika Allen")</f>
        <v>Patrick Llewellyn,Rosanne Somerson,Tim Kobe,Charlie Smith,Erika Allen</v>
      </c>
      <c r="F705" s="10" t="str">
        <f>IFERROR(__xludf.DUMMYFUNCTION("""COMPUTED_VALUE"""),"2019/11/05 15:15:00")</f>
        <v>2019/11/05 15:15:00</v>
      </c>
      <c r="G705" s="10" t="str">
        <f>IFERROR(__xludf.DUMMYFUNCTION("""COMPUTED_VALUE"""),"2019/11/05 15:40:00")</f>
        <v>2019/11/05 15:40:00</v>
      </c>
      <c r="H705" s="10" t="str">
        <f>IFERROR(__xludf.DUMMYFUNCTION("""COMPUTED_VALUE"""),"2d100e0d-79ae-4018-aea8-ce7b4f8967bf")</f>
        <v>2d100e0d-79ae-4018-aea8-ce7b4f8967bf</v>
      </c>
      <c r="I705" s="10" t="str">
        <f>IFERROR(__xludf.DUMMYFUNCTION("""COMPUTED_VALUE"""),"2d100e0d-79ae-4018-aea8-ce7b4f8967bf")</f>
        <v>2d100e0d-79ae-4018-aea8-ce7b4f8967bf</v>
      </c>
    </row>
    <row r="706">
      <c r="A706" s="10" t="str">
        <f>IFERROR(__xludf.DUMMYFUNCTION("""COMPUTED_VALUE"""),"Taxi point")</f>
        <v>Taxi point</v>
      </c>
      <c r="B706" s="10" t="str">
        <f>IFERROR(__xludf.DUMMYFUNCTION("""COMPUTED_VALUE"""),"")</f>
        <v/>
      </c>
      <c r="C706" s="10" t="str">
        <f>IFERROR(__xludf.DUMMYFUNCTION("""COMPUTED_VALUE"""),"Taxi drop off - Nov 6")</f>
        <v>Taxi drop off - Nov 6</v>
      </c>
      <c r="D706" s="10" t="str">
        <f>IFERROR(__xludf.DUMMYFUNCTION("""COMPUTED_VALUE"""),"")</f>
        <v/>
      </c>
      <c r="E706" s="10" t="str">
        <f>IFERROR(__xludf.DUMMYFUNCTION("""COMPUTED_VALUE"""),"")</f>
        <v/>
      </c>
      <c r="F706" s="10" t="str">
        <f>IFERROR(__xludf.DUMMYFUNCTION("""COMPUTED_VALUE"""),"2019/11/06 20:01:00")</f>
        <v>2019/11/06 20:01:00</v>
      </c>
      <c r="G706" s="10" t="str">
        <f>IFERROR(__xludf.DUMMYFUNCTION("""COMPUTED_VALUE"""),"2019/11/07 01:59:00")</f>
        <v>2019/11/07 01:59:00</v>
      </c>
      <c r="H706" s="10" t="str">
        <f>IFERROR(__xludf.DUMMYFUNCTION("""COMPUTED_VALUE"""),"3ffecb71-049c-417a-aee5-1ea2785787de")</f>
        <v>3ffecb71-049c-417a-aee5-1ea2785787de</v>
      </c>
      <c r="I706" s="10" t="str">
        <f>IFERROR(__xludf.DUMMYFUNCTION("""COMPUTED_VALUE"""),"3ffecb71-049c-417a-aee5-1ea2785787de")</f>
        <v>3ffecb71-049c-417a-aee5-1ea2785787de</v>
      </c>
    </row>
    <row r="707">
      <c r="A707" s="10" t="str">
        <f>IFERROR(__xludf.DUMMYFUNCTION("""COMPUTED_VALUE"""),"How space-based networks will bring internet to the world")</f>
        <v>How space-based networks will bring internet to the world</v>
      </c>
      <c r="B707" s="10" t="str">
        <f>IFERROR(__xludf.DUMMYFUNCTION("""COMPUTED_VALUE"""),"OneWeb has caught the world's attention with their mini satellites. By 2021, they will serve as a 'space-based' mobile network, enabling coverage for all rural areas around the world. Adrian Steckel, the CEO of this pioneering startup, will speak about th"&amp;"e direction they are taking and the revolutionary, ground breaking technology they are using to execute high-speed 5G connectivity.")</f>
        <v>OneWeb has caught the world's attention with their mini satellites. By 2021, they will serve as a 'space-based' mobile network, enabling coverage for all rural areas around the world. Adrian Steckel, the CEO of this pioneering startup, will speak about the direction they are taking and the revolutionary, ground breaking technology they are using to execute high-speed 5G connectivity.</v>
      </c>
      <c r="C707" s="10" t="str">
        <f>IFERROR(__xludf.DUMMYFUNCTION("""COMPUTED_VALUE"""),"SaaS Monster")</f>
        <v>SaaS Monster</v>
      </c>
      <c r="D707" s="10" t="str">
        <f>IFERROR(__xludf.DUMMYFUNCTION("""COMPUTED_VALUE"""),"Adrián Steckel and Kit Eaton")</f>
        <v>Adrián Steckel and Kit Eaton</v>
      </c>
      <c r="E707" s="10" t="str">
        <f>IFERROR(__xludf.DUMMYFUNCTION("""COMPUTED_VALUE"""),"Adrián Steckel,Kit Eaton")</f>
        <v>Adrián Steckel,Kit Eaton</v>
      </c>
      <c r="F707" s="10" t="str">
        <f>IFERROR(__xludf.DUMMYFUNCTION("""COMPUTED_VALUE"""),"2019/11/05 13:25:00")</f>
        <v>2019/11/05 13:25:00</v>
      </c>
      <c r="G707" s="10" t="str">
        <f>IFERROR(__xludf.DUMMYFUNCTION("""COMPUTED_VALUE"""),"2019/11/05 13:45:00")</f>
        <v>2019/11/05 13:45:00</v>
      </c>
      <c r="H707" s="10" t="str">
        <f>IFERROR(__xludf.DUMMYFUNCTION("""COMPUTED_VALUE"""),"e5258c6a-52bb-4c7a-aa67-b539a898d668")</f>
        <v>e5258c6a-52bb-4c7a-aa67-b539a898d668</v>
      </c>
      <c r="I707" s="10" t="str">
        <f>IFERROR(__xludf.DUMMYFUNCTION("""COMPUTED_VALUE"""),"e5258c6a-52bb-4c7a-aa67-b539a898d668")</f>
        <v>e5258c6a-52bb-4c7a-aa67-b539a898d668</v>
      </c>
    </row>
    <row r="708">
      <c r="A708" s="10" t="str">
        <f>IFERROR(__xludf.DUMMYFUNCTION("""COMPUTED_VALUE"""),"Q&amp;A Session with Mohen Leo")</f>
        <v>Q&amp;A Session with Mohen Leo</v>
      </c>
      <c r="B708" s="10" t="str">
        <f>IFERROR(__xludf.DUMMYFUNCTION("""COMPUTED_VALUE"""),"")</f>
        <v/>
      </c>
      <c r="C708" s="10" t="str">
        <f>IFERROR(__xludf.DUMMYFUNCTION("""COMPUTED_VALUE"""),"Q + A")</f>
        <v>Q + A</v>
      </c>
      <c r="D708" s="10" t="str">
        <f>IFERROR(__xludf.DUMMYFUNCTION("""COMPUTED_VALUE"""),"Mohen Leo")</f>
        <v>Mohen Leo</v>
      </c>
      <c r="E708" s="10" t="str">
        <f>IFERROR(__xludf.DUMMYFUNCTION("""COMPUTED_VALUE"""),"Mohen Leo")</f>
        <v>Mohen Leo</v>
      </c>
      <c r="F708" s="10" t="str">
        <f>IFERROR(__xludf.DUMMYFUNCTION("""COMPUTED_VALUE"""),"2019/11/06 14:00:00")</f>
        <v>2019/11/06 14:00:00</v>
      </c>
      <c r="G708" s="10" t="str">
        <f>IFERROR(__xludf.DUMMYFUNCTION("""COMPUTED_VALUE"""),"2019/11/06 14:15:00")</f>
        <v>2019/11/06 14:15:00</v>
      </c>
      <c r="H708" s="10" t="str">
        <f>IFERROR(__xludf.DUMMYFUNCTION("""COMPUTED_VALUE"""),"19686fc8-119c-4d5e-8d2c-ef310733db68")</f>
        <v>19686fc8-119c-4d5e-8d2c-ef310733db68</v>
      </c>
      <c r="I708" s="10" t="str">
        <f>IFERROR(__xludf.DUMMYFUNCTION("""COMPUTED_VALUE"""),"19686fc8-119c-4d5e-8d2c-ef310733db68")</f>
        <v>19686fc8-119c-4d5e-8d2c-ef310733db68</v>
      </c>
    </row>
    <row r="709">
      <c r="A709" s="10" t="str">
        <f>IFERROR(__xludf.DUMMYFUNCTION("""COMPUTED_VALUE"""),"Content IP and how to leverage")</f>
        <v>Content IP and how to leverage</v>
      </c>
      <c r="B709" s="10" t="str">
        <f>IFERROR(__xludf.DUMMYFUNCTION("""COMPUTED_VALUE"""),"How can content creators, platforms and broadcasters create new markets and revenue streams from leveraging their IP?")</f>
        <v>How can content creators, platforms and broadcasters create new markets and revenue streams from leveraging their IP?</v>
      </c>
      <c r="C709" s="10" t="str">
        <f>IFERROR(__xludf.DUMMYFUNCTION("""COMPUTED_VALUE"""),"ContentMakers")</f>
        <v>ContentMakers</v>
      </c>
      <c r="D709" s="10" t="str">
        <f>IFERROR(__xludf.DUMMYFUNCTION("""COMPUTED_VALUE"""),"Wim Ponnet")</f>
        <v>Wim Ponnet</v>
      </c>
      <c r="E709" s="10" t="str">
        <f>IFERROR(__xludf.DUMMYFUNCTION("""COMPUTED_VALUE"""),"Wim Ponnet")</f>
        <v>Wim Ponnet</v>
      </c>
      <c r="F709" s="10" t="str">
        <f>IFERROR(__xludf.DUMMYFUNCTION("""COMPUTED_VALUE"""),"2019/11/07 15:40:00")</f>
        <v>2019/11/07 15:40:00</v>
      </c>
      <c r="G709" s="10" t="str">
        <f>IFERROR(__xludf.DUMMYFUNCTION("""COMPUTED_VALUE"""),"2019/11/07 15:55:00")</f>
        <v>2019/11/07 15:55:00</v>
      </c>
      <c r="H709" s="10" t="str">
        <f>IFERROR(__xludf.DUMMYFUNCTION("""COMPUTED_VALUE"""),"babecf13-e60a-4772-aa3a-9ae45e5453dc")</f>
        <v>babecf13-e60a-4772-aa3a-9ae45e5453dc</v>
      </c>
      <c r="I709" s="10" t="str">
        <f>IFERROR(__xludf.DUMMYFUNCTION("""COMPUTED_VALUE"""),"babecf13-e60a-4772-aa3a-9ae45e5453dc")</f>
        <v>babecf13-e60a-4772-aa3a-9ae45e5453dc</v>
      </c>
    </row>
    <row r="710">
      <c r="A710" s="10" t="str">
        <f>IFERROR(__xludf.DUMMYFUNCTION("""COMPUTED_VALUE"""),"Helping robots to make smarter decisions")</f>
        <v>Helping robots to make smarter decisions</v>
      </c>
      <c r="B710" s="10" t="str">
        <f>IFERROR(__xludf.DUMMYFUNCTION("""COMPUTED_VALUE"""),"How can we train our robots to make the right call every time? Are they as smart as we once thought?")</f>
        <v>How can we train our robots to make the right call every time? Are they as smart as we once thought?</v>
      </c>
      <c r="C710" s="10" t="str">
        <f>IFERROR(__xludf.DUMMYFUNCTION("""COMPUTED_VALUE"""),"Auto/Tech &amp; TalkRobot")</f>
        <v>Auto/Tech &amp; TalkRobot</v>
      </c>
      <c r="D710" s="10" t="str">
        <f>IFERROR(__xludf.DUMMYFUNCTION("""COMPUTED_VALUE"""),"Dor Skuler, Patrick Sobalvarro and Eamonn Carey")</f>
        <v>Dor Skuler, Patrick Sobalvarro and Eamonn Carey</v>
      </c>
      <c r="E710" s="10" t="str">
        <f>IFERROR(__xludf.DUMMYFUNCTION("""COMPUTED_VALUE"""),"Dor Skuler,Patrick Sobalvarro,Eamonn Carey")</f>
        <v>Dor Skuler,Patrick Sobalvarro,Eamonn Carey</v>
      </c>
      <c r="F710" s="10" t="str">
        <f>IFERROR(__xludf.DUMMYFUNCTION("""COMPUTED_VALUE"""),"2019/11/07 14:00:00")</f>
        <v>2019/11/07 14:00:00</v>
      </c>
      <c r="G710" s="10" t="str">
        <f>IFERROR(__xludf.DUMMYFUNCTION("""COMPUTED_VALUE"""),"2019/11/07 14:15:00")</f>
        <v>2019/11/07 14:15:00</v>
      </c>
      <c r="H710" s="10" t="str">
        <f>IFERROR(__xludf.DUMMYFUNCTION("""COMPUTED_VALUE"""),"e8988775-c079-450b-b1e7-61849bb48a62")</f>
        <v>e8988775-c079-450b-b1e7-61849bb48a62</v>
      </c>
      <c r="I710" s="10" t="str">
        <f>IFERROR(__xludf.DUMMYFUNCTION("""COMPUTED_VALUE"""),"e8988775-c079-450b-b1e7-61849bb48a62")</f>
        <v>e8988775-c079-450b-b1e7-61849bb48a62</v>
      </c>
    </row>
    <row r="711">
      <c r="A711" s="10" t="str">
        <f>IFERROR(__xludf.DUMMYFUNCTION("""COMPUTED_VALUE"""),"Google and sustainability: The role of technology in climate action")</f>
        <v>Google and sustainability: The role of technology in climate action</v>
      </c>
      <c r="B711" s="10" t="str">
        <f>IFERROR(__xludf.DUMMYFUNCTION("""COMPUTED_VALUE"""),"")</f>
        <v/>
      </c>
      <c r="C711" s="10" t="str">
        <f>IFERROR(__xludf.DUMMYFUNCTION("""COMPUTED_VALUE"""),"")</f>
        <v/>
      </c>
      <c r="D711" s="10" t="str">
        <f>IFERROR(__xludf.DUMMYFUNCTION("""COMPUTED_VALUE"""),"Kate Brandt")</f>
        <v>Kate Brandt</v>
      </c>
      <c r="E711" s="10" t="str">
        <f>IFERROR(__xludf.DUMMYFUNCTION("""COMPUTED_VALUE"""),"Kate Brandt")</f>
        <v>Kate Brandt</v>
      </c>
      <c r="F711" s="10" t="str">
        <f>IFERROR(__xludf.DUMMYFUNCTION("""COMPUTED_VALUE"""),"")</f>
        <v/>
      </c>
      <c r="G711" s="10" t="str">
        <f>IFERROR(__xludf.DUMMYFUNCTION("""COMPUTED_VALUE"""),"")</f>
        <v/>
      </c>
      <c r="H711" s="10" t="str">
        <f>IFERROR(__xludf.DUMMYFUNCTION("""COMPUTED_VALUE"""),"a0ef7db0-2b83-55cf-9ea0-3c711f3e54d5")</f>
        <v>a0ef7db0-2b83-55cf-9ea0-3c711f3e54d5</v>
      </c>
      <c r="I711" s="10" t="str">
        <f>IFERROR(__xludf.DUMMYFUNCTION("""COMPUTED_VALUE"""),"a0ef7db0-2b83-55cf-9ea0-3c711f3e54d5")</f>
        <v>a0ef7db0-2b83-55cf-9ea0-3c711f3e54d5</v>
      </c>
    </row>
    <row r="712">
      <c r="A712" s="10" t="str">
        <f>IFERROR(__xludf.DUMMYFUNCTION("""COMPUTED_VALUE"""),"Opening remarks")</f>
        <v>Opening remarks</v>
      </c>
      <c r="B712" s="10" t="str">
        <f>IFERROR(__xludf.DUMMYFUNCTION("""COMPUTED_VALUE"""),"")</f>
        <v/>
      </c>
      <c r="C712" s="10" t="str">
        <f>IFERROR(__xludf.DUMMYFUNCTION("""COMPUTED_VALUE"""),"FullSTK")</f>
        <v>FullSTK</v>
      </c>
      <c r="D712" s="10" t="str">
        <f>IFERROR(__xludf.DUMMYFUNCTION("""COMPUTED_VALUE"""),"Bas Wouterse")</f>
        <v>Bas Wouterse</v>
      </c>
      <c r="E712" s="10" t="str">
        <f>IFERROR(__xludf.DUMMYFUNCTION("""COMPUTED_VALUE"""),"Bas Wouterse")</f>
        <v>Bas Wouterse</v>
      </c>
      <c r="F712" s="10" t="str">
        <f>IFERROR(__xludf.DUMMYFUNCTION("""COMPUTED_VALUE"""),"2019/11/07 11:00:00")</f>
        <v>2019/11/07 11:00:00</v>
      </c>
      <c r="G712" s="10" t="str">
        <f>IFERROR(__xludf.DUMMYFUNCTION("""COMPUTED_VALUE"""),"2019/11/07 11:15:00")</f>
        <v>2019/11/07 11:15:00</v>
      </c>
      <c r="H712" s="10" t="str">
        <f>IFERROR(__xludf.DUMMYFUNCTION("""COMPUTED_VALUE"""),"0139e1ca-73b2-48c4-8c1a-10e9559eac8c")</f>
        <v>0139e1ca-73b2-48c4-8c1a-10e9559eac8c</v>
      </c>
      <c r="I712" s="10" t="str">
        <f>IFERROR(__xludf.DUMMYFUNCTION("""COMPUTED_VALUE"""),"0139e1ca-73b2-48c4-8c1a-10e9559eac8c")</f>
        <v>0139e1ca-73b2-48c4-8c1a-10e9559eac8c</v>
      </c>
    </row>
    <row r="713">
      <c r="A713" s="10" t="str">
        <f>IFERROR(__xludf.DUMMYFUNCTION("""COMPUTED_VALUE"""),"Space within your reach: How micro-satellites will democratise the way we use space")</f>
        <v>Space within your reach: How micro-satellites will democratise the way we use space</v>
      </c>
      <c r="B713" s="10" t="str">
        <f>IFERROR(__xludf.DUMMYFUNCTION("""COMPUTED_VALUE"""),"CEO of Axelspace, Yuya will outline how the company’s micro-satellite technology can extract various business insights from such a huge database of our planet, benefiting a wide range of industries such as agriculture, urban planning, area marketing, and "&amp;"asset management.")</f>
        <v>CEO of Axelspace, Yuya will outline how the company’s micro-satellite technology can extract various business insights from such a huge database of our planet, benefiting a wide range of industries such as agriculture, urban planning, area marketing, and asset management.</v>
      </c>
      <c r="C713" s="10" t="str">
        <f>IFERROR(__xludf.DUMMYFUNCTION("""COMPUTED_VALUE"""),"Growth Summit")</f>
        <v>Growth Summit</v>
      </c>
      <c r="D713" s="10" t="str">
        <f>IFERROR(__xludf.DUMMYFUNCTION("""COMPUTED_VALUE"""),"Yuya Nakamura")</f>
        <v>Yuya Nakamura</v>
      </c>
      <c r="E713" s="10" t="str">
        <f>IFERROR(__xludf.DUMMYFUNCTION("""COMPUTED_VALUE"""),"Yuya Nakamura")</f>
        <v>Yuya Nakamura</v>
      </c>
      <c r="F713" s="10" t="str">
        <f>IFERROR(__xludf.DUMMYFUNCTION("""COMPUTED_VALUE"""),"2019/11/07 14:09:00")</f>
        <v>2019/11/07 14:09:00</v>
      </c>
      <c r="G713" s="10" t="str">
        <f>IFERROR(__xludf.DUMMYFUNCTION("""COMPUTED_VALUE"""),"2019/11/07 14:20:00")</f>
        <v>2019/11/07 14:20:00</v>
      </c>
      <c r="H713" s="10" t="str">
        <f>IFERROR(__xludf.DUMMYFUNCTION("""COMPUTED_VALUE"""),"a347aa86-5ab9-4875-ac16-e6900d8dd0c0")</f>
        <v>a347aa86-5ab9-4875-ac16-e6900d8dd0c0</v>
      </c>
      <c r="I713" s="10" t="str">
        <f>IFERROR(__xludf.DUMMYFUNCTION("""COMPUTED_VALUE"""),"a347aa86-5ab9-4875-ac16-e6900d8dd0c0")</f>
        <v>a347aa86-5ab9-4875-ac16-e6900d8dd0c0</v>
      </c>
    </row>
    <row r="714">
      <c r="A714" s="10" t="str">
        <f>IFERROR(__xludf.DUMMYFUNCTION("""COMPUTED_VALUE"""),"Anticipating trends in customer experience ")</f>
        <v>Anticipating trends in customer experience </v>
      </c>
      <c r="B714" s="10" t="str">
        <f>IFERROR(__xludf.DUMMYFUNCTION("""COMPUTED_VALUE"""),"How long does it take to implement a big change in customer experience for a global company? This panel welcomes leaders of multinational giants to discuss how they get to know their customers and what measures they take to make sure they're always one st"&amp;"ep ahead. ")</f>
        <v>How long does it take to implement a big change in customer experience for a global company? This panel welcomes leaders of multinational giants to discuss how they get to know their customers and what measures they take to make sure they're always one step ahead. </v>
      </c>
      <c r="C714" s="10" t="str">
        <f>IFERROR(__xludf.DUMMYFUNCTION("""COMPUTED_VALUE"""),"Corporate Innovation Summit")</f>
        <v>Corporate Innovation Summit</v>
      </c>
      <c r="D714" s="10" t="str">
        <f>IFERROR(__xludf.DUMMYFUNCTION("""COMPUTED_VALUE"""),"John Gordon, Nico Gabriel, Olaf Lorenz and Britta Muzyk-Tikovsky")</f>
        <v>John Gordon, Nico Gabriel, Olaf Lorenz and Britta Muzyk-Tikovsky</v>
      </c>
      <c r="E714" s="10" t="str">
        <f>IFERROR(__xludf.DUMMYFUNCTION("""COMPUTED_VALUE"""),"John Gordon,Nico Gabriel,Olaf Lorenz,Britta Muzyk-Tikovsky")</f>
        <v>John Gordon,Nico Gabriel,Olaf Lorenz,Britta Muzyk-Tikovsky</v>
      </c>
      <c r="F714" s="10" t="str">
        <f>IFERROR(__xludf.DUMMYFUNCTION("""COMPUTED_VALUE"""),"2019/11/07 12:00:00")</f>
        <v>2019/11/07 12:00:00</v>
      </c>
      <c r="G714" s="10" t="str">
        <f>IFERROR(__xludf.DUMMYFUNCTION("""COMPUTED_VALUE"""),"2019/11/07 12:20:00")</f>
        <v>2019/11/07 12:20:00</v>
      </c>
      <c r="H714" s="10" t="str">
        <f>IFERROR(__xludf.DUMMYFUNCTION("""COMPUTED_VALUE"""),"47f41f93-87ac-4ab1-a655-3b32624dff1b")</f>
        <v>47f41f93-87ac-4ab1-a655-3b32624dff1b</v>
      </c>
      <c r="I714" s="10" t="str">
        <f>IFERROR(__xludf.DUMMYFUNCTION("""COMPUTED_VALUE"""),"47f41f93-87ac-4ab1-a655-3b32624dff1b")</f>
        <v>47f41f93-87ac-4ab1-a655-3b32624dff1b</v>
      </c>
    </row>
    <row r="715">
      <c r="A715" s="10" t="str">
        <f>IFERROR(__xludf.DUMMYFUNCTION("""COMPUTED_VALUE"""),"The marketeer making burgers king")</f>
        <v>The marketeer making burgers king</v>
      </c>
      <c r="B715" s="10" t="str">
        <f>IFERROR(__xludf.DUMMYFUNCTION("""COMPUTED_VALUE"""),"What if marketers treated creativity as a competitive advantage? What results would brands be able to achieve? As the relationship between brands and people evolves, fuelled by rapidly changing technology, it's easy to confuse what's here to stay and what"&amp;"'s just noise. Burger King's marketing mastermind shares lessons from the campaign frontlines.")</f>
        <v>What if marketers treated creativity as a competitive advantage? What results would brands be able to achieve? As the relationship between brands and people evolves, fuelled by rapidly changing technology, it's easy to confuse what's here to stay and what's just noise. Burger King's marketing mastermind shares lessons from the campaign frontlines.</v>
      </c>
      <c r="C715" s="10" t="str">
        <f>IFERROR(__xludf.DUMMYFUNCTION("""COMPUTED_VALUE"""),"PandaConf")</f>
        <v>PandaConf</v>
      </c>
      <c r="D715" s="10" t="str">
        <f>IFERROR(__xludf.DUMMYFUNCTION("""COMPUTED_VALUE"""),"Fernando Machado")</f>
        <v>Fernando Machado</v>
      </c>
      <c r="E715" s="10" t="str">
        <f>IFERROR(__xludf.DUMMYFUNCTION("""COMPUTED_VALUE"""),"Fernando Machado")</f>
        <v>Fernando Machado</v>
      </c>
      <c r="F715" s="10" t="str">
        <f>IFERROR(__xludf.DUMMYFUNCTION("""COMPUTED_VALUE"""),"2019/11/07 11:00:00")</f>
        <v>2019/11/07 11:00:00</v>
      </c>
      <c r="G715" s="10" t="str">
        <f>IFERROR(__xludf.DUMMYFUNCTION("""COMPUTED_VALUE"""),"2019/11/07 11:25:00")</f>
        <v>2019/11/07 11:25:00</v>
      </c>
      <c r="H715" s="10" t="str">
        <f>IFERROR(__xludf.DUMMYFUNCTION("""COMPUTED_VALUE"""),"f2a418d4-8fab-4544-a203-4fdcb2822bd4")</f>
        <v>f2a418d4-8fab-4544-a203-4fdcb2822bd4</v>
      </c>
      <c r="I715" s="10" t="str">
        <f>IFERROR(__xludf.DUMMYFUNCTION("""COMPUTED_VALUE"""),"f2a418d4-8fab-4544-a203-4fdcb2822bd4")</f>
        <v>f2a418d4-8fab-4544-a203-4fdcb2822bd4</v>
      </c>
    </row>
    <row r="716">
      <c r="A716" s="10" t="str">
        <f>IFERROR(__xludf.DUMMYFUNCTION("""COMPUTED_VALUE"""),"Building products at the frontier: Bridging the gap with high and low tech solutions")</f>
        <v>Building products at the frontier: Bridging the gap with high and low tech solutions</v>
      </c>
      <c r="B716" s="10" t="str">
        <f>IFERROR(__xludf.DUMMYFUNCTION("""COMPUTED_VALUE"""),"What we've learned about building products in frontier markets in Africa, with practical strategies for organising local product and engineering teams.")</f>
        <v>What we've learned about building products in frontier markets in Africa, with practical strategies for organising local product and engineering teams.</v>
      </c>
      <c r="C716" s="10" t="str">
        <f>IFERROR(__xludf.DUMMYFUNCTION("""COMPUTED_VALUE"""),"Growth Summit")</f>
        <v>Growth Summit</v>
      </c>
      <c r="D716" s="10" t="str">
        <f>IFERROR(__xludf.DUMMYFUNCTION("""COMPUTED_VALUE"""),"Jean-Claude Homawoo")</f>
        <v>Jean-Claude Homawoo</v>
      </c>
      <c r="E716" s="10" t="str">
        <f>IFERROR(__xludf.DUMMYFUNCTION("""COMPUTED_VALUE"""),"Jean-Claude Homawoo")</f>
        <v>Jean-Claude Homawoo</v>
      </c>
      <c r="F716" s="10" t="str">
        <f>IFERROR(__xludf.DUMMYFUNCTION("""COMPUTED_VALUE"""),"2019/11/07 10:58:00")</f>
        <v>2019/11/07 10:58:00</v>
      </c>
      <c r="G716" s="10" t="str">
        <f>IFERROR(__xludf.DUMMYFUNCTION("""COMPUTED_VALUE"""),"2019/11/07 11:02:00")</f>
        <v>2019/11/07 11:02:00</v>
      </c>
      <c r="H716" s="10" t="str">
        <f>IFERROR(__xludf.DUMMYFUNCTION("""COMPUTED_VALUE"""),"e34be1ef-3b5c-4ade-93dd-02159e577b66")</f>
        <v>e34be1ef-3b5c-4ade-93dd-02159e577b66</v>
      </c>
      <c r="I716" s="10" t="str">
        <f>IFERROR(__xludf.DUMMYFUNCTION("""COMPUTED_VALUE"""),"e34be1ef-3b5c-4ade-93dd-02159e577b66")</f>
        <v>e34be1ef-3b5c-4ade-93dd-02159e577b66</v>
      </c>
    </row>
    <row r="717">
      <c r="A717" s="10" t="str">
        <f>IFERROR(__xludf.DUMMYFUNCTION("""COMPUTED_VALUE"""),"Really starting from scratch: Tackling the zero data problem")</f>
        <v>Really starting from scratch: Tackling the zero data problem</v>
      </c>
      <c r="B717" s="10" t="str">
        <f>IFERROR(__xludf.DUMMYFUNCTION("""COMPUTED_VALUE"""),"CEO of Audio Analytic, Chris, will talk about the experience of starting an AI company that had to overcome the near-impossible – mapping the world of sounds. But with no suitable dataset available, the company first had to solve the zero data problem.")</f>
        <v>CEO of Audio Analytic, Chris, will talk about the experience of starting an AI company that had to overcome the near-impossible – mapping the world of sounds. But with no suitable dataset available, the company first had to solve the zero data problem.</v>
      </c>
      <c r="C717" s="10" t="str">
        <f>IFERROR(__xludf.DUMMYFUNCTION("""COMPUTED_VALUE"""),"Growth Summit")</f>
        <v>Growth Summit</v>
      </c>
      <c r="D717" s="10" t="str">
        <f>IFERROR(__xludf.DUMMYFUNCTION("""COMPUTED_VALUE"""),"Chris Mitchell")</f>
        <v>Chris Mitchell</v>
      </c>
      <c r="E717" s="10" t="str">
        <f>IFERROR(__xludf.DUMMYFUNCTION("""COMPUTED_VALUE"""),"Chris Mitchell")</f>
        <v>Chris Mitchell</v>
      </c>
      <c r="F717" s="10" t="str">
        <f>IFERROR(__xludf.DUMMYFUNCTION("""COMPUTED_VALUE"""),"2019/11/05 12:41:00")</f>
        <v>2019/11/05 12:41:00</v>
      </c>
      <c r="G717" s="10" t="str">
        <f>IFERROR(__xludf.DUMMYFUNCTION("""COMPUTED_VALUE"""),"2019/11/05 12:52:00")</f>
        <v>2019/11/05 12:52:00</v>
      </c>
      <c r="H717" s="10" t="str">
        <f>IFERROR(__xludf.DUMMYFUNCTION("""COMPUTED_VALUE"""),"7a88b902-368a-4acb-8f93-e3781ce9ab98")</f>
        <v>7a88b902-368a-4acb-8f93-e3781ce9ab98</v>
      </c>
      <c r="I717" s="10" t="str">
        <f>IFERROR(__xludf.DUMMYFUNCTION("""COMPUTED_VALUE"""),"7a88b902-368a-4acb-8f93-e3781ce9ab98")</f>
        <v>7a88b902-368a-4acb-8f93-e3781ce9ab98</v>
      </c>
    </row>
    <row r="718">
      <c r="A718" s="10" t="str">
        <f>IFERROR(__xludf.DUMMYFUNCTION("""COMPUTED_VALUE"""),"Top new smartphones on the market for Christmas 2019: Collection A")</f>
        <v>Top new smartphones on the market for Christmas 2019: Collection A</v>
      </c>
      <c r="B718" s="10" t="str">
        <f>IFERROR(__xludf.DUMMYFUNCTION("""COMPUTED_VALUE"""),"Are you looking to upgrade your phone with the latest smartphone on the market? Keaton Keller of Youtube channel TechSmartt, Jacklyn Dallas of Youtube channel NothingButTech and Tom Honeyands, of YouTube technology channel The Tech Chap, will review our f"&amp;"irst collection of top new arrivals on the market to help you decide. ")</f>
        <v>Are you looking to upgrade your phone with the latest smartphone on the market? Keaton Keller of Youtube channel TechSmartt, Jacklyn Dallas of Youtube channel NothingButTech and Tom Honeyands, of YouTube technology channel The Tech Chap, will review our first collection of top new arrivals on the market to help you decide. </v>
      </c>
      <c r="C718" s="10" t="str">
        <f>IFERROR(__xludf.DUMMYFUNCTION("""COMPUTED_VALUE"""),"UnBoxed")</f>
        <v>UnBoxed</v>
      </c>
      <c r="D718" s="10" t="str">
        <f>IFERROR(__xludf.DUMMYFUNCTION("""COMPUTED_VALUE"""),"Keaton Keller, Tom Honeyands, Jacklyn Dallas and Lindsey Turrentine")</f>
        <v>Keaton Keller, Tom Honeyands, Jacklyn Dallas and Lindsey Turrentine</v>
      </c>
      <c r="E718" s="10" t="str">
        <f>IFERROR(__xludf.DUMMYFUNCTION("""COMPUTED_VALUE"""),"Keaton Keller,Tom Honeyands,Jacklyn Dallas,Lindsey Turrentine")</f>
        <v>Keaton Keller,Tom Honeyands,Jacklyn Dallas,Lindsey Turrentine</v>
      </c>
      <c r="F718" s="10" t="str">
        <f>IFERROR(__xludf.DUMMYFUNCTION("""COMPUTED_VALUE"""),"2019/11/05 11:45:00")</f>
        <v>2019/11/05 11:45:00</v>
      </c>
      <c r="G718" s="10" t="str">
        <f>IFERROR(__xludf.DUMMYFUNCTION("""COMPUTED_VALUE"""),"2019/11/05 12:20:00")</f>
        <v>2019/11/05 12:20:00</v>
      </c>
      <c r="H718" s="10" t="str">
        <f>IFERROR(__xludf.DUMMYFUNCTION("""COMPUTED_VALUE"""),"03ad244e-f76e-4038-bbb3-c620dacf50a7")</f>
        <v>03ad244e-f76e-4038-bbb3-c620dacf50a7</v>
      </c>
      <c r="I718" s="10" t="str">
        <f>IFERROR(__xludf.DUMMYFUNCTION("""COMPUTED_VALUE"""),"03ad244e-f76e-4038-bbb3-c620dacf50a7")</f>
        <v>03ad244e-f76e-4038-bbb3-c620dacf50a7</v>
      </c>
    </row>
    <row r="719">
      <c r="A719" s="10" t="str">
        <f>IFERROR(__xludf.DUMMYFUNCTION("""COMPUTED_VALUE"""),"Startup Showcase")</f>
        <v>Startup Showcase</v>
      </c>
      <c r="B719" s="10" t="str">
        <f>IFERROR(__xludf.DUMMYFUNCTION("""COMPUTED_VALUE"""),"On this brand new stage, expect quickfire presentations where startups will showcase their solutions to the future's biggest challenges. This hour focuses on the future of retail, covering topics like customer engagement, personalised shopping experiences"&amp;", interactive retail, and ecommerce infrastructure.
")</f>
        <v>On this brand new stage, expect quickfire presentations where startups will showcase their solutions to the future's biggest challenges. This hour focuses on the future of retail, covering topics like customer engagement, personalised shopping experiences, interactive retail, and ecommerce infrastructure.
</v>
      </c>
      <c r="C719" s="10" t="str">
        <f>IFERROR(__xludf.DUMMYFUNCTION("""COMPUTED_VALUE"""),"Startup Showcase 3")</f>
        <v>Startup Showcase 3</v>
      </c>
      <c r="D719" s="10" t="str">
        <f>IFERROR(__xludf.DUMMYFUNCTION("""COMPUTED_VALUE"""),"Lais de Oliveira, Faissal Lachhab, Koohyun kwahk, Alberto Vecchi Junior, Ilya Zaytsev, Simon Hasenauer, Mikhail Nosov, steena sunyong lee, Artyom Perevedentsev, Enzo Duit, Sarah Divan, Todor Gigilev, Zubar Miah, Rayan Godoi, Alexander Krstulovic, Dina Kar"&amp;"akash, Fabio Bolsarini, Alexander Stefanciw, fernando menezes, Mollie Huckerby, Dino Magri, Stanislav Morozov, Jin Sung Kim, Gaston Ortiz, Karol Andruszków, Simone Hendriks, Wojtek Andruszków, Rinat Nafikov, Anna Blomdell, Faissal Lachhab, Corrado Rota, A"&amp;"ndreas Willgert, Matthias Pichler, Faissal Lachhab, Maria Kostina, RENAUD BADINA, Edward Lee, Veena Giridhar Gopal, Marijn Lems, Ozde Dereli, Seungsik Shin, Igor Khripkov, Louise Webber, Nicola Scagnolari, Andrea Losso, Cesar Almiñana, Tamam Nafikova, Jua"&amp;"n Martin Seijo, Onur Candan and JULIEN LENNE")</f>
        <v>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Onur Candan and JULIEN LENNE</v>
      </c>
      <c r="E719" s="10" t="str">
        <f>IFERROR(__xludf.DUMMYFUNCTION("""COMPUTED_VALUE"""),"Lais de Oliveira,Faissal Lachhab,Koohyun kwahk,Alberto Vecchi Junior,Ilya Zaytsev,Simon Hasenauer,Mikhail Nosov,steena sunyong lee,Artyom Perevedentsev,Enzo Duit,Sarah Divan,Todor Gigilev,Zubar Miah,Rayan Godoi,Alexander Krstulovic,Dina Karakash,Fabio Bol"&amp;"sarini,Alexander Stefanciw,fernando menezes,Mollie Huckerby,Dino Magri,Stanislav Morozov,Jin Sung Kim,Gaston Ortiz,Karol Andruszków,Simone Hendriks,Wojtek Andruszków,Rinat Nafikov,Anna Blomdell,Faissal Lachhab,Corrado Rota,Andreas Willgert,Matthias Pichle"&amp;"r,Faissal Lachhab,Maria Kostina,RENAUD BADINA,Edward Lee,Veena Giridhar Gopal,Marijn Lems,Ozde Dereli,Seungsik Shin,Igor Khripkov,Louise Webber,Nicola Scagnolari,Andrea Losso,Cesar Almiñana,Tamam Nafikova,Juan Martin Seijo,Onur Candan,JULIEN LENNE")</f>
        <v>Lais de Oliveira,Faissal Lachhab,Koohyun kwahk,Alberto Vecchi Junior,Ilya Zaytsev,Simon Hasenauer,Mikhail Nosov,steena sunyong lee,Artyom Perevedentsev,Enzo Duit,Sarah Divan,Todor Gigilev,Zubar Miah,Rayan Godoi,Alexander Krstulovic,Dina Karakash,Fabio Bolsarini,Alexander Stefanciw,fernando menezes,Mollie Huckerby,Dino Magri,Stanislav Morozov,Jin Sung Kim,Gaston Ortiz,Karol Andruszków,Simone Hendriks,Wojtek Andruszków,Rinat Nafikov,Anna Blomdell,Faissal Lachhab,Corrado Rota,Andreas Willgert,Matthias Pichler,Faissal Lachhab,Maria Kostina,RENAUD BADINA,Edward Lee,Veena Giridhar Gopal,Marijn Lems,Ozde Dereli,Seungsik Shin,Igor Khripkov,Louise Webber,Nicola Scagnolari,Andrea Losso,Cesar Almiñana,Tamam Nafikova,Juan Martin Seijo,Onur Candan,JULIEN LENNE</v>
      </c>
      <c r="F719" s="10" t="str">
        <f>IFERROR(__xludf.DUMMYFUNCTION("""COMPUTED_VALUE"""),"2019/11/06 15:15:00")</f>
        <v>2019/11/06 15:15:00</v>
      </c>
      <c r="G719" s="10" t="str">
        <f>IFERROR(__xludf.DUMMYFUNCTION("""COMPUTED_VALUE"""),"2019/11/06 16:15:00")</f>
        <v>2019/11/06 16:15:00</v>
      </c>
      <c r="H719" s="10" t="str">
        <f>IFERROR(__xludf.DUMMYFUNCTION("""COMPUTED_VALUE"""),"f18877f0-130d-449c-aaac-7632ff73b584")</f>
        <v>f18877f0-130d-449c-aaac-7632ff73b584</v>
      </c>
      <c r="I719" s="10" t="str">
        <f>IFERROR(__xludf.DUMMYFUNCTION("""COMPUTED_VALUE"""),"f18877f0-130d-449c-aaac-7632ff73b584")</f>
        <v>f18877f0-130d-449c-aaac-7632ff73b584</v>
      </c>
    </row>
    <row r="720">
      <c r="A720" s="10" t="str">
        <f>IFERROR(__xludf.DUMMYFUNCTION("""COMPUTED_VALUE"""),"PITCH group round 4")</f>
        <v>PITCH group round 4</v>
      </c>
      <c r="B720" s="10" t="str">
        <f>IFERROR(__xludf.DUMMYFUNCTION("""COMPUTED_VALUE"""),"")</f>
        <v/>
      </c>
      <c r="C720" s="10" t="str">
        <f>IFERROR(__xludf.DUMMYFUNCTION("""COMPUTED_VALUE"""),"PITCH 1")</f>
        <v>PITCH 1</v>
      </c>
      <c r="D720" s="10" t="str">
        <f>IFERROR(__xludf.DUMMYFUNCTION("""COMPUTED_VALUE"""),"Rashmi Gopinath, Ramin Behzadi, Lais de Oliveira, Tanja Koch, Mário Guerreiro, Rui Barros, Alexey Kistenev, Mitchell Buhling, Sarah Merrick, Arif Abed, Karl Naim and Tanel Orro")</f>
        <v>Rashmi Gopinath, Ramin Behzadi, Lais de Oliveira, Tanja Koch, Mário Guerreiro, Rui Barros, Alexey Kistenev, Mitchell Buhling, Sarah Merrick, Arif Abed, Karl Naim and Tanel Orro</v>
      </c>
      <c r="E720" s="10" t="str">
        <f>IFERROR(__xludf.DUMMYFUNCTION("""COMPUTED_VALUE"""),"Rashmi Gopinath,Ramin Behzadi,Lais de Oliveira,Tanja Koch,Mário Guerreiro,Rui Barros,Alexey Kistenev,Mitchell Buhling,Sarah Merrick,Arif Abed,Karl Naim,Tanel Orro")</f>
        <v>Rashmi Gopinath,Ramin Behzadi,Lais de Oliveira,Tanja Koch,Mário Guerreiro,Rui Barros,Alexey Kistenev,Mitchell Buhling,Sarah Merrick,Arif Abed,Karl Naim,Tanel Orro</v>
      </c>
      <c r="F720" s="10" t="str">
        <f>IFERROR(__xludf.DUMMYFUNCTION("""COMPUTED_VALUE"""),"2019/11/05 10:15:00")</f>
        <v>2019/11/05 10:15:00</v>
      </c>
      <c r="G720" s="10" t="str">
        <f>IFERROR(__xludf.DUMMYFUNCTION("""COMPUTED_VALUE"""),"2019/11/05 11:15:00")</f>
        <v>2019/11/05 11:15:00</v>
      </c>
      <c r="H720" s="10" t="str">
        <f>IFERROR(__xludf.DUMMYFUNCTION("""COMPUTED_VALUE"""),"14548844-0060-4a5e-a32c-beedb6e77735")</f>
        <v>14548844-0060-4a5e-a32c-beedb6e77735</v>
      </c>
      <c r="I720" s="10" t="str">
        <f>IFERROR(__xludf.DUMMYFUNCTION("""COMPUTED_VALUE"""),"14548844-0060-4a5e-a32c-beedb6e77735")</f>
        <v>14548844-0060-4a5e-a32c-beedb6e77735</v>
      </c>
    </row>
    <row r="721">
      <c r="A721" s="10" t="str">
        <f>IFERROR(__xludf.DUMMYFUNCTION("""COMPUTED_VALUE"""),"PITCH group round 6")</f>
        <v>PITCH group round 6</v>
      </c>
      <c r="B721" s="10" t="str">
        <f>IFERROR(__xludf.DUMMYFUNCTION("""COMPUTED_VALUE"""),"")</f>
        <v/>
      </c>
      <c r="C721" s="10" t="str">
        <f>IFERROR(__xludf.DUMMYFUNCTION("""COMPUTED_VALUE"""),"")</f>
        <v/>
      </c>
      <c r="D721" s="10" t="str">
        <f>IFERROR(__xludf.DUMMYFUNCTION("""COMPUTED_VALUE"""),"Dennis Smith,  Miles Kirby,  Yancey Spruill,  Brendan Yell,  Paulo Pinho,  Tomasz Florczak,  Nuno Brito Jorge,  Jihye Roh,  Etienne Koo,  Hana Sutch and  Manuel Milliery
")</f>
        <v>Dennis Smith,  Miles Kirby,  Yancey Spruill,  Brendan Yell,  Paulo Pinho,  Tomasz Florczak,  Nuno Brito Jorge,  Jihye Roh,  Etienne Koo,  Hana Sutch and  Manuel Milliery
</v>
      </c>
      <c r="E721" s="10" t="str">
        <f>IFERROR(__xludf.DUMMYFUNCTION("""COMPUTED_VALUE"""),"Dennis Smith, Miles Kirby, Yancey Spruill, Brendan Yell, Paulo Pinho, Tomasz Florczak, Nuno Brito Jorge, Jihye Roh, Etienne Koo, Hana Sutch, Manuel Milliery
")</f>
        <v>Dennis Smith, Miles Kirby, Yancey Spruill, Brendan Yell, Paulo Pinho, Tomasz Florczak, Nuno Brito Jorge, Jihye Roh, Etienne Koo, Hana Sutch, Manuel Milliery
</v>
      </c>
      <c r="F721" s="10" t="str">
        <f>IFERROR(__xludf.DUMMYFUNCTION("""COMPUTED_VALUE"""),"")</f>
        <v/>
      </c>
      <c r="G721" s="10" t="str">
        <f>IFERROR(__xludf.DUMMYFUNCTION("""COMPUTED_VALUE"""),"")</f>
        <v/>
      </c>
      <c r="H721" s="10" t="str">
        <f>IFERROR(__xludf.DUMMYFUNCTION("""COMPUTED_VALUE"""),"4bdc3a1a-4b66-5e94-9403-0da41a38c3af")</f>
        <v>4bdc3a1a-4b66-5e94-9403-0da41a38c3af</v>
      </c>
      <c r="I721" s="10" t="str">
        <f>IFERROR(__xludf.DUMMYFUNCTION("""COMPUTED_VALUE"""),"4bdc3a1a-4b66-5e94-9403-0da41a38c3af")</f>
        <v>4bdc3a1a-4b66-5e94-9403-0da41a38c3af</v>
      </c>
    </row>
    <row r="722">
      <c r="A722" s="10" t="str">
        <f>IFERROR(__xludf.DUMMYFUNCTION("""COMPUTED_VALUE"""),"Health in space: The final frontier")</f>
        <v>Health in space: The final frontier</v>
      </c>
      <c r="B722" s="10" t="str">
        <f>IFERROR(__xludf.DUMMYFUNCTION("""COMPUTED_VALUE"""),"From prehistoric caves to martian colonies, how has human health and behaviour evolved, to make us the most successful species on the planet? And what will happen to human health in space?")</f>
        <v>From prehistoric caves to martian colonies, how has human health and behaviour evolved, to make us the most successful species on the planet? And what will happen to human health in space?</v>
      </c>
      <c r="C722" s="10" t="str">
        <f>IFERROR(__xludf.DUMMYFUNCTION("""COMPUTED_VALUE"""),"HealthConf")</f>
        <v>HealthConf</v>
      </c>
      <c r="D722" s="10" t="str">
        <f>IFERROR(__xludf.DUMMYFUNCTION("""COMPUTED_VALUE"""),"Scott Solomon, Marianne Brandon, Ian Robertson and Paul Nuki")</f>
        <v>Scott Solomon, Marianne Brandon, Ian Robertson and Paul Nuki</v>
      </c>
      <c r="E722" s="10" t="str">
        <f>IFERROR(__xludf.DUMMYFUNCTION("""COMPUTED_VALUE"""),"Scott Solomon,Marianne Brandon,Ian Robertson,Paul Nuki")</f>
        <v>Scott Solomon,Marianne Brandon,Ian Robertson,Paul Nuki</v>
      </c>
      <c r="F722" s="10" t="str">
        <f>IFERROR(__xludf.DUMMYFUNCTION("""COMPUTED_VALUE"""),"2019/11/07 11:20:00")</f>
        <v>2019/11/07 11:20:00</v>
      </c>
      <c r="G722" s="10" t="str">
        <f>IFERROR(__xludf.DUMMYFUNCTION("""COMPUTED_VALUE"""),"2019/11/07 11:45:00")</f>
        <v>2019/11/07 11:45:00</v>
      </c>
      <c r="H722" s="10" t="str">
        <f>IFERROR(__xludf.DUMMYFUNCTION("""COMPUTED_VALUE"""),"24a08ef0-0e20-4310-8911-e39a31e74ba7")</f>
        <v>24a08ef0-0e20-4310-8911-e39a31e74ba7</v>
      </c>
      <c r="I722" s="10" t="str">
        <f>IFERROR(__xludf.DUMMYFUNCTION("""COMPUTED_VALUE"""),"24a08ef0-0e20-4310-8911-e39a31e74ba7")</f>
        <v>24a08ef0-0e20-4310-8911-e39a31e74ba7</v>
      </c>
    </row>
    <row r="723">
      <c r="A723" s="10" t="str">
        <f>IFERROR(__xludf.DUMMYFUNCTION("""COMPUTED_VALUE"""),"Let's play: gaming in the auto industry")</f>
        <v>Let's play: gaming in the auto industry</v>
      </c>
      <c r="B723" s="10" t="str">
        <f>IFERROR(__xludf.DUMMYFUNCTION("""COMPUTED_VALUE"""),"ustwo has enjoyed success in the gaming industry with mobile hit Monument Valley and Apple Arcade exclusive Assemble With Care. What you might not know is that ustwo also has an Auto &amp; Mobility division that works with many OEMs and mobility providers on "&amp;"everything from in-car HMI to autonomous vehicle user experiences to audio-based wayfinding systems for people with vision impairment. Tim Smith, Global Auto &amp; Mobility Director at ustwo, talks about ustwo's perspective on play, its importance for learnin"&amp;"g and well-being, and how they apply that to the auto and mobility industry, showing off some of their most recent projects. ")</f>
        <v>ustwo has enjoyed success in the gaming industry with mobile hit Monument Valley and Apple Arcade exclusive Assemble With Care. What you might not know is that ustwo also has an Auto &amp; Mobility division that works with many OEMs and mobility providers on everything from in-car HMI to autonomous vehicle user experiences to audio-based wayfinding systems for people with vision impairment. Tim Smith, Global Auto &amp; Mobility Director at ustwo, talks about ustwo's perspective on play, its importance for learning and well-being, and how they apply that to the auto and mobility industry, showing off some of their most recent projects. </v>
      </c>
      <c r="C723" s="10" t="str">
        <f>IFERROR(__xludf.DUMMYFUNCTION("""COMPUTED_VALUE"""),"Auto/Tech &amp; TalkRobot")</f>
        <v>Auto/Tech &amp; TalkRobot</v>
      </c>
      <c r="D723" s="10" t="str">
        <f>IFERROR(__xludf.DUMMYFUNCTION("""COMPUTED_VALUE"""),"Tim Smith")</f>
        <v>Tim Smith</v>
      </c>
      <c r="E723" s="10" t="str">
        <f>IFERROR(__xludf.DUMMYFUNCTION("""COMPUTED_VALUE"""),"Tim Smith")</f>
        <v>Tim Smith</v>
      </c>
      <c r="F723" s="10" t="str">
        <f>IFERROR(__xludf.DUMMYFUNCTION("""COMPUTED_VALUE"""),"2019/11/05 11:20:00")</f>
        <v>2019/11/05 11:20:00</v>
      </c>
      <c r="G723" s="10" t="str">
        <f>IFERROR(__xludf.DUMMYFUNCTION("""COMPUTED_VALUE"""),"2019/11/05 11:40:00")</f>
        <v>2019/11/05 11:40:00</v>
      </c>
      <c r="H723" s="10" t="str">
        <f>IFERROR(__xludf.DUMMYFUNCTION("""COMPUTED_VALUE"""),"7e3f0b84-3f7c-4706-bad3-dc5adf4c32b7")</f>
        <v>7e3f0b84-3f7c-4706-bad3-dc5adf4c32b7</v>
      </c>
      <c r="I723" s="10" t="str">
        <f>IFERROR(__xludf.DUMMYFUNCTION("""COMPUTED_VALUE"""),"7e3f0b84-3f7c-4706-bad3-dc5adf4c32b7")</f>
        <v>7e3f0b84-3f7c-4706-bad3-dc5adf4c32b7</v>
      </c>
    </row>
    <row r="724">
      <c r="A724" s="10" t="str">
        <f>IFERROR(__xludf.DUMMYFUNCTION("""COMPUTED_VALUE"""),"How to win brands and influence people")</f>
        <v>How to win brands and influence people</v>
      </c>
      <c r="B724" s="10" t="str">
        <f>IFERROR(__xludf.DUMMYFUNCTION("""COMPUTED_VALUE"""),"Brands are turning to influencers in droves. It seems like the sky's the limit for this burgeoning market. Want to see how these master marketers work their magic? ")</f>
        <v>Brands are turning to influencers in droves. It seems like the sky's the limit for this burgeoning market. Want to see how these master marketers work their magic? </v>
      </c>
      <c r="C724" s="10" t="str">
        <f>IFERROR(__xludf.DUMMYFUNCTION("""COMPUTED_VALUE"""),"PandaConf")</f>
        <v>PandaConf</v>
      </c>
      <c r="D724" s="10" t="str">
        <f>IFERROR(__xludf.DUMMYFUNCTION("""COMPUTED_VALUE"""),"Charl Bassil, Ben Jeffries, Caspar Lee, Rachel Waller and Dima Khatib")</f>
        <v>Charl Bassil, Ben Jeffries, Caspar Lee, Rachel Waller and Dima Khatib</v>
      </c>
      <c r="E724" s="10" t="str">
        <f>IFERROR(__xludf.DUMMYFUNCTION("""COMPUTED_VALUE"""),"Charl Bassil,Ben Jeffries,Caspar Lee,Rachel Waller,Dima Khatib")</f>
        <v>Charl Bassil,Ben Jeffries,Caspar Lee,Rachel Waller,Dima Khatib</v>
      </c>
      <c r="F724" s="10" t="str">
        <f>IFERROR(__xludf.DUMMYFUNCTION("""COMPUTED_VALUE"""),"2019/11/07 15:35:00")</f>
        <v>2019/11/07 15:35:00</v>
      </c>
      <c r="G724" s="10" t="str">
        <f>IFERROR(__xludf.DUMMYFUNCTION("""COMPUTED_VALUE"""),"2019/11/07 16:05:00")</f>
        <v>2019/11/07 16:05:00</v>
      </c>
      <c r="H724" s="10" t="str">
        <f>IFERROR(__xludf.DUMMYFUNCTION("""COMPUTED_VALUE"""),"1ceaa5f2-b78b-4300-bac2-7756581469c8")</f>
        <v>1ceaa5f2-b78b-4300-bac2-7756581469c8</v>
      </c>
      <c r="I724" s="10" t="str">
        <f>IFERROR(__xludf.DUMMYFUNCTION("""COMPUTED_VALUE"""),"1ceaa5f2-b78b-4300-bac2-7756581469c8")</f>
        <v>1ceaa5f2-b78b-4300-bac2-7756581469c8</v>
      </c>
    </row>
    <row r="725">
      <c r="A725" s="10" t="str">
        <f>IFERROR(__xludf.DUMMYFUNCTION("""COMPUTED_VALUE"""),"Startup Showcase")</f>
        <v>Startup Showcase</v>
      </c>
      <c r="B725" s="10" t="str">
        <f>IFERROR(__xludf.DUMMYFUNCTION("""COMPUTED_VALUE"""),"On this brand new stage, expect quickfire presentations where startups will showcase their solutions to the future's biggest challenges. This hour focuses on hardware and IoT, covering topics like smart devices, the internet of things, wearables, and inte"&amp;"r-connected products.
")</f>
        <v>On this brand new stage, expect quickfire presentations where startups will showcase their solutions to the future's biggest challenges. This hour focuses on hardware and IoT, covering topics like smart devices, the internet of things, wearables, and inter-connected products.
</v>
      </c>
      <c r="C725" s="10" t="str">
        <f>IFERROR(__xludf.DUMMYFUNCTION("""COMPUTED_VALUE"""),"Startup Showcase 2")</f>
        <v>Startup Showcase 2</v>
      </c>
      <c r="D725" s="10" t="str">
        <f>IFERROR(__xludf.DUMMYFUNCTION("""COMPUTED_VALUE"""),"Jag Singh, Antonio Julia, Damian Ciesielski, Oliver Windle, Apoorv Shankar, Joana Silva, CRISTINA GONZALEZ, Danny Honigh, Jochem Verboom, Dejan Borota, Kenneth Geipel, Kazunori Oki, JOSE MANUEL GONZALEZ SAEZ, Marco Park, Joana Rocha, Brina O, Alexandra Kr"&amp;"öger, Matteo Zago, Ludovic Nachury, Rafael Kaschuba, Alexander Schumacher, Francesco Campus, Niccolò Golinelli, David Purón, Laurent Marfisi, Damiano Bonacchi, Isidro Nistal, Andreas Botsch, Hyejin Park, Carlos Abreu, Ken Miyake, Akiko Moriguchi, Masahiko"&amp;" Yamanaka, Eva Endress, Dimitrios Chrysostomou, Apoorv Shankar, Apoorv Shankar, Stefano Iorino, hyungil Park, Paulo Ribeiro, Juan Pérez-Bedmar Fernández, Egor Pchelnikov, eunkyeong kwon, Arnaud Malvache, Jacobo Domingo Gil, jaekeun Han, Ricardo Dias Marqu"&amp;"es, Peter Duesing, Leo Scott Smith and Ekaterina Bashilova")</f>
        <v>Jag Singh, Antonio Julia, Damian Ciesielski, Oliver Windle, Apoorv Shankar, Joana Silva, CRISTINA GONZALEZ, Danny Honigh, Jochem Verboom, Dejan Borota, Kenneth Geipel, Kazunori Oki, JOSE MANUEL GONZALEZ SAEZ, Marco Park, Joana Rocha, Brina O, Alexandra Kröger, Matteo Zago, Ludovic Nachury, Rafael Kaschuba, Alexander Schumacher, Francesco Campus, Niccolò Golinelli, David Purón, Laurent Marfisi, Damiano Bonacchi, Isidro Nistal, Andreas Botsch, Hyejin Park, Carlos Abreu, Ken Miyake, Akiko Moriguchi, Masahiko Yamanaka, Eva Endress, Dimitrios Chrysostomou, Apoorv Shankar, Apoorv Shankar, Stefano Iorino, hyungil Park, Paulo Ribeiro, Juan Pérez-Bedmar Fernández, Egor Pchelnikov, eunkyeong kwon, Arnaud Malvache, Jacobo Domingo Gil, jaekeun Han, Ricardo Dias Marques, Peter Duesing, Leo Scott Smith and Ekaterina Bashilova</v>
      </c>
      <c r="E725" s="10" t="str">
        <f>IFERROR(__xludf.DUMMYFUNCTION("""COMPUTED_VALUE"""),"Jag Singh,Antonio Julia,Damian Ciesielski,Oliver Windle,Apoorv Shankar,Joana Silva,CRISTINA GONZALEZ,Danny Honigh,Jochem Verboom,Dejan Borota,Kenneth Geipel,Kazunori Oki,JOSE MANUEL GONZALEZ SAEZ,Marco Park,Joana Rocha,Brina O,Alexandra Kröger,Matteo Zago"&amp;",Ludovic Nachury,Rafael Kaschuba,Alexander Schumacher,Francesco Campus,Niccolò Golinelli,David Purón,Laurent Marfisi,Damiano Bonacchi,Isidro Nistal,Andreas Botsch,Hyejin Park,Carlos Abreu,Ken Miyake,Akiko Moriguchi,Masahiko Yamanaka,Eva Endress,Dimitrios "&amp;"Chrysostomou,Apoorv Shankar,Apoorv Shankar,Stefano Iorino,hyungil Park,Paulo Ribeiro,Juan Pérez-Bedmar Fernández,Egor Pchelnikov,eunkyeong kwon,Arnaud Malvache,Jacobo Domingo Gil,jaekeun Han,Ricardo Dias Marques,Peter Duesing,Leo Scott Smith,Ekaterina Bas"&amp;"hilova")</f>
        <v>Jag Singh,Antonio Julia,Damian Ciesielski,Oliver Windle,Apoorv Shankar,Joana Silva,CRISTINA GONZALEZ,Danny Honigh,Jochem Verboom,Dejan Borota,Kenneth Geipel,Kazunori Oki,JOSE MANUEL GONZALEZ SAEZ,Marco Park,Joana Rocha,Brina O,Alexandra Kröger,Matteo Zago,Ludovic Nachury,Rafael Kaschuba,Alexander Schumacher,Francesco Campus,Niccolò Golinelli,David Purón,Laurent Marfisi,Damiano Bonacchi,Isidro Nistal,Andreas Botsch,Hyejin Park,Carlos Abreu,Ken Miyake,Akiko Moriguchi,Masahiko Yamanaka,Eva Endress,Dimitrios Chrysostomou,Apoorv Shankar,Apoorv Shankar,Stefano Iorino,hyungil Park,Paulo Ribeiro,Juan Pérez-Bedmar Fernández,Egor Pchelnikov,eunkyeong kwon,Arnaud Malvache,Jacobo Domingo Gil,jaekeun Han,Ricardo Dias Marques,Peter Duesing,Leo Scott Smith,Ekaterina Bashilova</v>
      </c>
      <c r="F725" s="10" t="str">
        <f>IFERROR(__xludf.DUMMYFUNCTION("""COMPUTED_VALUE"""),"2019/11/06 10:15:00")</f>
        <v>2019/11/06 10:15:00</v>
      </c>
      <c r="G725" s="10" t="str">
        <f>IFERROR(__xludf.DUMMYFUNCTION("""COMPUTED_VALUE"""),"2019/11/06 11:15:00")</f>
        <v>2019/11/06 11:15:00</v>
      </c>
      <c r="H725" s="10" t="str">
        <f>IFERROR(__xludf.DUMMYFUNCTION("""COMPUTED_VALUE"""),"b92815fd-d010-472d-ae8c-49a8592509ec")</f>
        <v>b92815fd-d010-472d-ae8c-49a8592509ec</v>
      </c>
      <c r="I725" s="10" t="str">
        <f>IFERROR(__xludf.DUMMYFUNCTION("""COMPUTED_VALUE"""),"b92815fd-d010-472d-ae8c-49a8592509ec")</f>
        <v>b92815fd-d010-472d-ae8c-49a8592509ec</v>
      </c>
    </row>
    <row r="726">
      <c r="A726" s="10" t="str">
        <f>IFERROR(__xludf.DUMMYFUNCTION("""COMPUTED_VALUE"""),"Robotics... but make it fashion ")</f>
        <v>Robotics... but make it fashion </v>
      </c>
      <c r="B726" s="10" t="str">
        <f>IFERROR(__xludf.DUMMYFUNCTION("""COMPUTED_VALUE"""),"We're stepping into a world of AR beauty, VR fashion shows and smart clothing. This panel will help you realise the potential of big tech and robotics to change the fashion industry for good. ")</f>
        <v>We're stepping into a world of AR beauty, VR fashion shows and smart clothing. This panel will help you realise the potential of big tech and robotics to change the fashion industry for good. </v>
      </c>
      <c r="C726" s="10" t="str">
        <f>IFERROR(__xludf.DUMMYFUNCTION("""COMPUTED_VALUE"""),"Modum")</f>
        <v>Modum</v>
      </c>
      <c r="D726" s="10" t="str">
        <f>IFERROR(__xludf.DUMMYFUNCTION("""COMPUTED_VALUE"""),"Florian Jansen, Lisa Lang, Amber Jae Slooten and Mark Russell")</f>
        <v>Florian Jansen, Lisa Lang, Amber Jae Slooten and Mark Russell</v>
      </c>
      <c r="E726" s="10" t="str">
        <f>IFERROR(__xludf.DUMMYFUNCTION("""COMPUTED_VALUE"""),"Florian Jansen,Lisa Lang,Amber Jae Slooten,Mark Russell")</f>
        <v>Florian Jansen,Lisa Lang,Amber Jae Slooten,Mark Russell</v>
      </c>
      <c r="F726" s="10" t="str">
        <f>IFERROR(__xludf.DUMMYFUNCTION("""COMPUTED_VALUE"""),"2019/11/07 12:35:00")</f>
        <v>2019/11/07 12:35:00</v>
      </c>
      <c r="G726" s="10" t="str">
        <f>IFERROR(__xludf.DUMMYFUNCTION("""COMPUTED_VALUE"""),"2019/11/07 13:00:00")</f>
        <v>2019/11/07 13:00:00</v>
      </c>
      <c r="H726" s="10" t="str">
        <f>IFERROR(__xludf.DUMMYFUNCTION("""COMPUTED_VALUE"""),"fcd3ef5d-ed1e-4ef9-8e1f-cd42aa06a500")</f>
        <v>fcd3ef5d-ed1e-4ef9-8e1f-cd42aa06a500</v>
      </c>
      <c r="I726" s="10" t="str">
        <f>IFERROR(__xludf.DUMMYFUNCTION("""COMPUTED_VALUE"""),"fcd3ef5d-ed1e-4ef9-8e1f-cd42aa06a500")</f>
        <v>fcd3ef5d-ed1e-4ef9-8e1f-cd42aa06a500</v>
      </c>
    </row>
    <row r="727">
      <c r="A727" s="10" t="str">
        <f>IFERROR(__xludf.DUMMYFUNCTION("""COMPUTED_VALUE"""),"Is Siri sexist?")</f>
        <v>Is Siri sexist?</v>
      </c>
      <c r="B727" s="10" t="str">
        <f>IFERROR(__xludf.DUMMYFUNCTION("""COMPUTED_VALUE"""),"Are virtual assistants reinforcing and spreading sexism? In this session, Saniye Gülser Corat, UNESCO’s Director for Gender Equality argues that big tech needs to ditch the subservient female voice coming out of your smart speaker.
")</f>
        <v>Are virtual assistants reinforcing and spreading sexism? In this session, Saniye Gülser Corat, UNESCO’s Director for Gender Equality argues that big tech needs to ditch the subservient female voice coming out of your smart speaker.
</v>
      </c>
      <c r="C727" s="10" t="str">
        <f>IFERROR(__xludf.DUMMYFUNCTION("""COMPUTED_VALUE"""),"DeepTech")</f>
        <v>DeepTech</v>
      </c>
      <c r="D727" s="10" t="str">
        <f>IFERROR(__xludf.DUMMYFUNCTION("""COMPUTED_VALUE"""),"Saniye Gülser Corat and Esther Paniagua")</f>
        <v>Saniye Gülser Corat and Esther Paniagua</v>
      </c>
      <c r="E727" s="10" t="str">
        <f>IFERROR(__xludf.DUMMYFUNCTION("""COMPUTED_VALUE"""),"Saniye Gülser Corat,Esther Paniagua")</f>
        <v>Saniye Gülser Corat,Esther Paniagua</v>
      </c>
      <c r="F727" s="10" t="str">
        <f>IFERROR(__xludf.DUMMYFUNCTION("""COMPUTED_VALUE"""),"2019/11/06 11:05:00")</f>
        <v>2019/11/06 11:05:00</v>
      </c>
      <c r="G727" s="10" t="str">
        <f>IFERROR(__xludf.DUMMYFUNCTION("""COMPUTED_VALUE"""),"2019/11/06 11:20:00")</f>
        <v>2019/11/06 11:20:00</v>
      </c>
      <c r="H727" s="10" t="str">
        <f>IFERROR(__xludf.DUMMYFUNCTION("""COMPUTED_VALUE"""),"aad6febc-2c87-400b-8682-c3e5a06e17e2")</f>
        <v>aad6febc-2c87-400b-8682-c3e5a06e17e2</v>
      </c>
      <c r="I727" s="10" t="str">
        <f>IFERROR(__xludf.DUMMYFUNCTION("""COMPUTED_VALUE"""),"aad6febc-2c87-400b-8682-c3e5a06e17e2")</f>
        <v>aad6febc-2c87-400b-8682-c3e5a06e17e2</v>
      </c>
    </row>
    <row r="728">
      <c r="A728" s="10" t="str">
        <f>IFERROR(__xludf.DUMMYFUNCTION("""COMPUTED_VALUE"""),"The business of GIF$")</f>
        <v>The business of GIF$</v>
      </c>
      <c r="B728" s="10" t="str">
        <f>IFERROR(__xludf.DUMMYFUNCTION("""COMPUTED_VALUE"""),"From being the first searchable library for gifs to creating the first platform to bring brands into messaging, Giphy has been creating a whole lot of firsts since its inception in 2013. In this session, CEO and founder, Alex Chung will discuss Giphy’s pr"&amp;"oduct evolution and why messaging is the next massive frontier (and how to monetise it). ")</f>
        <v>From being the first searchable library for gifs to creating the first platform to bring brands into messaging, Giphy has been creating a whole lot of firsts since its inception in 2013. In this session, CEO and founder, Alex Chung will discuss Giphy’s product evolution and why messaging is the next massive frontier (and how to monetise it). </v>
      </c>
      <c r="C728" s="10" t="str">
        <f>IFERROR(__xludf.DUMMYFUNCTION("""COMPUTED_VALUE"""),"ContentMakers")</f>
        <v>ContentMakers</v>
      </c>
      <c r="D728" s="10" t="str">
        <f>IFERROR(__xludf.DUMMYFUNCTION("""COMPUTED_VALUE"""),"Alex Chung")</f>
        <v>Alex Chung</v>
      </c>
      <c r="E728" s="10" t="str">
        <f>IFERROR(__xludf.DUMMYFUNCTION("""COMPUTED_VALUE"""),"Alex Chung")</f>
        <v>Alex Chung</v>
      </c>
      <c r="F728" s="10" t="str">
        <f>IFERROR(__xludf.DUMMYFUNCTION("""COMPUTED_VALUE"""),"2019/11/06 14:35:00")</f>
        <v>2019/11/06 14:35:00</v>
      </c>
      <c r="G728" s="10" t="str">
        <f>IFERROR(__xludf.DUMMYFUNCTION("""COMPUTED_VALUE"""),"2019/11/06 14:55:00")</f>
        <v>2019/11/06 14:55:00</v>
      </c>
      <c r="H728" s="10" t="str">
        <f>IFERROR(__xludf.DUMMYFUNCTION("""COMPUTED_VALUE"""),"af1878ef-bc0a-4bff-a4db-003b42eb0a61")</f>
        <v>af1878ef-bc0a-4bff-a4db-003b42eb0a61</v>
      </c>
      <c r="I728" s="10" t="str">
        <f>IFERROR(__xludf.DUMMYFUNCTION("""COMPUTED_VALUE"""),"af1878ef-bc0a-4bff-a4db-003b42eb0a61")</f>
        <v>af1878ef-bc0a-4bff-a4db-003b42eb0a61</v>
      </c>
    </row>
    <row r="729">
      <c r="A729" s="10" t="str">
        <f>IFERROR(__xludf.DUMMYFUNCTION("""COMPUTED_VALUE"""),"From freemium to premium")</f>
        <v>From freemium to premium</v>
      </c>
      <c r="B729" s="10" t="str">
        <f>IFERROR(__xludf.DUMMYFUNCTION("""COMPUTED_VALUE"""),"How can companies convert free users to paid subscribers? The CEOs of Crunchbase and App Annie will answer this huge question as they discuss different ways to successfully move through this often difficult conversion funnel.")</f>
        <v>How can companies convert free users to paid subscribers? The CEOs of Crunchbase and App Annie will answer this huge question as they discuss different ways to successfully move through this often difficult conversion funnel.</v>
      </c>
      <c r="C729" s="10" t="str">
        <f>IFERROR(__xludf.DUMMYFUNCTION("""COMPUTED_VALUE"""),"SaaS Monster")</f>
        <v>SaaS Monster</v>
      </c>
      <c r="D729" s="10" t="str">
        <f>IFERROR(__xludf.DUMMYFUNCTION("""COMPUTED_VALUE"""),"Jager McConnell, Ted Krantz and Don Clark")</f>
        <v>Jager McConnell, Ted Krantz and Don Clark</v>
      </c>
      <c r="E729" s="10" t="str">
        <f>IFERROR(__xludf.DUMMYFUNCTION("""COMPUTED_VALUE"""),"Jager McConnell,Ted Krantz,Don Clark")</f>
        <v>Jager McConnell,Ted Krantz,Don Clark</v>
      </c>
      <c r="F729" s="10" t="str">
        <f>IFERROR(__xludf.DUMMYFUNCTION("""COMPUTED_VALUE"""),"2019/11/05 12:10:00")</f>
        <v>2019/11/05 12:10:00</v>
      </c>
      <c r="G729" s="10" t="str">
        <f>IFERROR(__xludf.DUMMYFUNCTION("""COMPUTED_VALUE"""),"2019/11/05 12:30:00")</f>
        <v>2019/11/05 12:30:00</v>
      </c>
      <c r="H729" s="10" t="str">
        <f>IFERROR(__xludf.DUMMYFUNCTION("""COMPUTED_VALUE"""),"b9c4bff0-a071-41e4-ac1b-fed6c9efac23")</f>
        <v>b9c4bff0-a071-41e4-ac1b-fed6c9efac23</v>
      </c>
      <c r="I729" s="10" t="str">
        <f>IFERROR(__xludf.DUMMYFUNCTION("""COMPUTED_VALUE"""),"b9c4bff0-a071-41e4-ac1b-fed6c9efac23")</f>
        <v>b9c4bff0-a071-41e4-ac1b-fed6c9efac23</v>
      </c>
    </row>
    <row r="730">
      <c r="A730" s="10" t="str">
        <f>IFERROR(__xludf.DUMMYFUNCTION("""COMPUTED_VALUE"""),"Evolutionary architecture and governance: What's the future like?")</f>
        <v>Evolutionary architecture and governance: What's the future like?</v>
      </c>
      <c r="B730" s="10" t="str">
        <f>IFERROR(__xludf.DUMMYFUNCTION("""COMPUTED_VALUE"""),"The techniques of evolutionary architecture provide a mechanism for automating many of the governance activities performed by Enterprise Architects, and not just at the scale of static code analysis. This talk describes some of these approaches and the to"&amp;"ols used, including discussions around communicating standards and handling exceptions. We will then examine what governance can look like as techniques in AI and ML continue to advance.")</f>
        <v>The techniques of evolutionary architecture provide a mechanism for automating many of the governance activities performed by Enterprise Architects, and not just at the scale of static code analysis. This talk describes some of these approaches and the tools used, including discussions around communicating standards and handling exceptions. We will then examine what governance can look like as techniques in AI and ML continue to advance.</v>
      </c>
      <c r="C730" s="10" t="str">
        <f>IFERROR(__xludf.DUMMYFUNCTION("""COMPUTED_VALUE"""),"FullSTK")</f>
        <v>FullSTK</v>
      </c>
      <c r="D730" s="10" t="str">
        <f>IFERROR(__xludf.DUMMYFUNCTION("""COMPUTED_VALUE"""),"Rebecca Parsons")</f>
        <v>Rebecca Parsons</v>
      </c>
      <c r="E730" s="10" t="str">
        <f>IFERROR(__xludf.DUMMYFUNCTION("""COMPUTED_VALUE"""),"Rebecca Parsons")</f>
        <v>Rebecca Parsons</v>
      </c>
      <c r="F730" s="10" t="str">
        <f>IFERROR(__xludf.DUMMYFUNCTION("""COMPUTED_VALUE"""),"2019/11/07 12:55:00")</f>
        <v>2019/11/07 12:55:00</v>
      </c>
      <c r="G730" s="10" t="str">
        <f>IFERROR(__xludf.DUMMYFUNCTION("""COMPUTED_VALUE"""),"2019/11/07 13:15:00")</f>
        <v>2019/11/07 13:15:00</v>
      </c>
      <c r="H730" s="10" t="str">
        <f>IFERROR(__xludf.DUMMYFUNCTION("""COMPUTED_VALUE"""),"fd8dbcea-df13-4f56-9109-c883af6536ad")</f>
        <v>fd8dbcea-df13-4f56-9109-c883af6536ad</v>
      </c>
      <c r="I730" s="10" t="str">
        <f>IFERROR(__xludf.DUMMYFUNCTION("""COMPUTED_VALUE"""),"fd8dbcea-df13-4f56-9109-c883af6536ad")</f>
        <v>fd8dbcea-df13-4f56-9109-c883af6536ad</v>
      </c>
    </row>
    <row r="731">
      <c r="A731" s="10" t="str">
        <f>IFERROR(__xludf.DUMMYFUNCTION("""COMPUTED_VALUE"""),"Solving planetary challenges with enterprise")</f>
        <v>Solving planetary challenges with enterprise</v>
      </c>
      <c r="B731" s="10" t="str">
        <f>IFERROR(__xludf.DUMMYFUNCTION("""COMPUTED_VALUE"""),"The world's most pressing issues may be solved through exponential technologies. The challenges we’re addressing are daunting, this talk welcomes David Wallerstein, CXO global tech giant Tencent &amp; Pedro Siza Vieira, Minister of Economy of Portugal, to dis"&amp;"cuss how these challenges can be overcome.")</f>
        <v>The world's most pressing issues may be solved through exponential technologies. The challenges we’re addressing are daunting, this talk welcomes David Wallerstein, CXO global tech giant Tencent &amp; Pedro Siza Vieira, Minister of Economy of Portugal, to discuss how these challenges can be overcome.</v>
      </c>
      <c r="C731" s="10" t="str">
        <f>IFERROR(__xludf.DUMMYFUNCTION("""COMPUTED_VALUE"""),"Corporate Innovation Summit")</f>
        <v>Corporate Innovation Summit</v>
      </c>
      <c r="D731" s="10" t="str">
        <f>IFERROR(__xludf.DUMMYFUNCTION("""COMPUTED_VALUE"""),"David Wallerstein, Pedro Siza Vieira and Cheng Lei")</f>
        <v>David Wallerstein, Pedro Siza Vieira and Cheng Lei</v>
      </c>
      <c r="E731" s="10" t="str">
        <f>IFERROR(__xludf.DUMMYFUNCTION("""COMPUTED_VALUE"""),"David Wallerstein,Pedro Siza Vieira,Cheng Lei")</f>
        <v>David Wallerstein,Pedro Siza Vieira,Cheng Lei</v>
      </c>
      <c r="F731" s="10" t="str">
        <f>IFERROR(__xludf.DUMMYFUNCTION("""COMPUTED_VALUE"""),"2019/11/06 14:00:00")</f>
        <v>2019/11/06 14:00:00</v>
      </c>
      <c r="G731" s="10" t="str">
        <f>IFERROR(__xludf.DUMMYFUNCTION("""COMPUTED_VALUE"""),"2019/11/06 14:20:00")</f>
        <v>2019/11/06 14:20:00</v>
      </c>
      <c r="H731" s="10" t="str">
        <f>IFERROR(__xludf.DUMMYFUNCTION("""COMPUTED_VALUE"""),"2477e575-9d96-41f4-98bd-1a5ae0474f37")</f>
        <v>2477e575-9d96-41f4-98bd-1a5ae0474f37</v>
      </c>
      <c r="I731" s="10" t="str">
        <f>IFERROR(__xludf.DUMMYFUNCTION("""COMPUTED_VALUE"""),"2477e575-9d96-41f4-98bd-1a5ae0474f37")</f>
        <v>2477e575-9d96-41f4-98bd-1a5ae0474f37</v>
      </c>
    </row>
    <row r="732">
      <c r="A732" s="10" t="str">
        <f>IFERROR(__xludf.DUMMYFUNCTION("""COMPUTED_VALUE"""),"PITCH quarterfinal 1")</f>
        <v>PITCH quarterfinal 1</v>
      </c>
      <c r="B732" s="10" t="str">
        <f>IFERROR(__xludf.DUMMYFUNCTION("""COMPUTED_VALUE"""),"")</f>
        <v/>
      </c>
      <c r="C732" s="10" t="str">
        <f>IFERROR(__xludf.DUMMYFUNCTION("""COMPUTED_VALUE"""),"PITCH 2")</f>
        <v>PITCH 2</v>
      </c>
      <c r="D732" s="10" t="str">
        <f>IFERROR(__xludf.DUMMYFUNCTION("""COMPUTED_VALUE"""),"Diana Lace, Rouven Dresselhaus, Felix Buggenthin, David Meltzer, Andre Retterath and Joakim Dal")</f>
        <v>Diana Lace, Rouven Dresselhaus, Felix Buggenthin, David Meltzer, Andre Retterath and Joakim Dal</v>
      </c>
      <c r="E732" s="10" t="str">
        <f>IFERROR(__xludf.DUMMYFUNCTION("""COMPUTED_VALUE"""),"Diana Lace,Rouven Dresselhaus,Felix Buggenthin,David Meltzer,Andre Retterath,Joakim Dal")</f>
        <v>Diana Lace,Rouven Dresselhaus,Felix Buggenthin,David Meltzer,Andre Retterath,Joakim Dal</v>
      </c>
      <c r="F732" s="10" t="str">
        <f>IFERROR(__xludf.DUMMYFUNCTION("""COMPUTED_VALUE"""),"2019/11/05 16:15:00")</f>
        <v>2019/11/05 16:15:00</v>
      </c>
      <c r="G732" s="10" t="str">
        <f>IFERROR(__xludf.DUMMYFUNCTION("""COMPUTED_VALUE"""),"2019/11/05 17:30:00")</f>
        <v>2019/11/05 17:30:00</v>
      </c>
      <c r="H732" s="10" t="str">
        <f>IFERROR(__xludf.DUMMYFUNCTION("""COMPUTED_VALUE"""),"9335196b-4678-46ea-818a-70fb14c33c1c")</f>
        <v>9335196b-4678-46ea-818a-70fb14c33c1c</v>
      </c>
      <c r="I732" s="10" t="str">
        <f>IFERROR(__xludf.DUMMYFUNCTION("""COMPUTED_VALUE"""),"9335196b-4678-46ea-818a-70fb14c33c1c")</f>
        <v>9335196b-4678-46ea-818a-70fb14c33c1c</v>
      </c>
    </row>
    <row r="733">
      <c r="A733" s="10" t="str">
        <f>IFERROR(__xludf.DUMMYFUNCTION("""COMPUTED_VALUE"""),"#IamRemarkable workshop: Celebrate your achievements, hosted by #IamRemarkable, a Google initiative.")</f>
        <v>#IamRemarkable workshop: Celebrate your achievements, hosted by #IamRemarkable, a Google initiative.</v>
      </c>
      <c r="B733" s="10" t="str">
        <f>IFERROR(__xludf.DUMMYFUNCTION("""COMPUTED_VALUE"""),"Come and experience #IamRemarkable. This Google initiative strives to empower women and underrepresented groups to speak openly about their accomplishments in the workplace and beyond. The #IamRemarkable founder Anna Vainer will lead the workshop, which w"&amp;"ill focus on the importance of self-promotion in your career and equipping you with the tools to develop this skill. Participants will be invited to challenge the social perception around self-promotion.")</f>
        <v>Come and experience #IamRemarkable. This Google initiative strives to empower women and underrepresented groups to speak openly about their accomplishments in the workplace and beyond. The #IamRemarkable founder Anna Vainer will lead the workshop, which will focus on the importance of self-promotion in your career and equipping you with the tools to develop this skill. Participants will be invited to challenge the social perception around self-promotion.</v>
      </c>
      <c r="C733" s="10" t="str">
        <f>IFERROR(__xludf.DUMMYFUNCTION("""COMPUTED_VALUE"""),"Workshop 1")</f>
        <v>Workshop 1</v>
      </c>
      <c r="D733" s="10" t="str">
        <f>IFERROR(__xludf.DUMMYFUNCTION("""COMPUTED_VALUE"""),"Anna Vainer")</f>
        <v>Anna Vainer</v>
      </c>
      <c r="E733" s="10" t="str">
        <f>IFERROR(__xludf.DUMMYFUNCTION("""COMPUTED_VALUE"""),"Anna Vainer")</f>
        <v>Anna Vainer</v>
      </c>
      <c r="F733" s="10" t="str">
        <f>IFERROR(__xludf.DUMMYFUNCTION("""COMPUTED_VALUE"""),"2019/11/07 13:30:00")</f>
        <v>2019/11/07 13:30:00</v>
      </c>
      <c r="G733" s="10" t="str">
        <f>IFERROR(__xludf.DUMMYFUNCTION("""COMPUTED_VALUE"""),"2019/11/07 15:00:00")</f>
        <v>2019/11/07 15:00:00</v>
      </c>
      <c r="H733" s="10" t="str">
        <f>IFERROR(__xludf.DUMMYFUNCTION("""COMPUTED_VALUE"""),"2247bd20-5641-4477-9c35-2354eed39150")</f>
        <v>2247bd20-5641-4477-9c35-2354eed39150</v>
      </c>
      <c r="I733" s="10" t="str">
        <f>IFERROR(__xludf.DUMMYFUNCTION("""COMPUTED_VALUE"""),"2247bd20-5641-4477-9c35-2354eed39150")</f>
        <v>2247bd20-5641-4477-9c35-2354eed39150</v>
      </c>
    </row>
    <row r="734">
      <c r="A734" s="10" t="str">
        <f>IFERROR(__xludf.DUMMYFUNCTION("""COMPUTED_VALUE"""),"Diversity for business growth")</f>
        <v>Diversity for business growth</v>
      </c>
      <c r="B734" s="10" t="str">
        <f>IFERROR(__xludf.DUMMYFUNCTION("""COMPUTED_VALUE"""),"Co-founder and Medical Director of Atlas Biomed Group, Andrey discusses his experience building the world’s first platform that incorporates direct-to-consumer DNA and gut microbiome testing, with a comprehensive background assessment for health and disea"&amp;"se risk analysis. ")</f>
        <v>Co-founder and Medical Director of Atlas Biomed Group, Andrey discusses his experience building the world’s first platform that incorporates direct-to-consumer DNA and gut microbiome testing, with a comprehensive background assessment for health and disease risk analysis. </v>
      </c>
      <c r="C734" s="10" t="str">
        <f>IFERROR(__xludf.DUMMYFUNCTION("""COMPUTED_VALUE"""),"Growth Summit")</f>
        <v>Growth Summit</v>
      </c>
      <c r="D734" s="10" t="str">
        <f>IFERROR(__xludf.DUMMYFUNCTION("""COMPUTED_VALUE"""),"Andrey Perfilyev")</f>
        <v>Andrey Perfilyev</v>
      </c>
      <c r="E734" s="10" t="str">
        <f>IFERROR(__xludf.DUMMYFUNCTION("""COMPUTED_VALUE"""),"Andrey Perfilyev")</f>
        <v>Andrey Perfilyev</v>
      </c>
      <c r="F734" s="10" t="str">
        <f>IFERROR(__xludf.DUMMYFUNCTION("""COMPUTED_VALUE"""),"2019/11/06 10:50:00")</f>
        <v>2019/11/06 10:50:00</v>
      </c>
      <c r="G734" s="10" t="str">
        <f>IFERROR(__xludf.DUMMYFUNCTION("""COMPUTED_VALUE"""),"2019/11/06 10:54:00")</f>
        <v>2019/11/06 10:54:00</v>
      </c>
      <c r="H734" s="10" t="str">
        <f>IFERROR(__xludf.DUMMYFUNCTION("""COMPUTED_VALUE"""),"2427d832-03ee-4809-8128-d9104f522115")</f>
        <v>2427d832-03ee-4809-8128-d9104f522115</v>
      </c>
      <c r="I734" s="10" t="str">
        <f>IFERROR(__xludf.DUMMYFUNCTION("""COMPUTED_VALUE"""),"2427d832-03ee-4809-8128-d9104f522115")</f>
        <v>2427d832-03ee-4809-8128-d9104f522115</v>
      </c>
    </row>
    <row r="735">
      <c r="A735" s="10" t="str">
        <f>IFERROR(__xludf.DUMMYFUNCTION("""COMPUTED_VALUE"""),"Food truck 2")</f>
        <v>Food truck 2</v>
      </c>
      <c r="B735" s="10" t="str">
        <f>IFERROR(__xludf.DUMMYFUNCTION("""COMPUTED_VALUE"""),"")</f>
        <v/>
      </c>
      <c r="C735" s="10" t="str">
        <f>IFERROR(__xludf.DUMMYFUNCTION("""COMPUTED_VALUE"""),"Food truck 2 - Nov 5")</f>
        <v>Food truck 2 - Nov 5</v>
      </c>
      <c r="D735" s="10" t="str">
        <f>IFERROR(__xludf.DUMMYFUNCTION("""COMPUTED_VALUE"""),"")</f>
        <v/>
      </c>
      <c r="E735" s="10" t="str">
        <f>IFERROR(__xludf.DUMMYFUNCTION("""COMPUTED_VALUE"""),"")</f>
        <v/>
      </c>
      <c r="F735" s="10" t="str">
        <f>IFERROR(__xludf.DUMMYFUNCTION("""COMPUTED_VALUE"""),"2019/11/05 20:01:00")</f>
        <v>2019/11/05 20:01:00</v>
      </c>
      <c r="G735" s="10" t="str">
        <f>IFERROR(__xludf.DUMMYFUNCTION("""COMPUTED_VALUE"""),"2019/11/05 23:59:00")</f>
        <v>2019/11/05 23:59:00</v>
      </c>
      <c r="H735" s="10" t="str">
        <f>IFERROR(__xludf.DUMMYFUNCTION("""COMPUTED_VALUE"""),"46fda6d6-2443-46b0-a377-0c3a11e1daac")</f>
        <v>46fda6d6-2443-46b0-a377-0c3a11e1daac</v>
      </c>
      <c r="I735" s="10" t="str">
        <f>IFERROR(__xludf.DUMMYFUNCTION("""COMPUTED_VALUE"""),"46fda6d6-2443-46b0-a377-0c3a11e1daac")</f>
        <v>46fda6d6-2443-46b0-a377-0c3a11e1daac</v>
      </c>
    </row>
    <row r="736">
      <c r="A736" s="10" t="str">
        <f>IFERROR(__xludf.DUMMYFUNCTION("""COMPUTED_VALUE"""),"Opening remarks")</f>
        <v>Opening remarks</v>
      </c>
      <c r="B736" s="10" t="str">
        <f>IFERROR(__xludf.DUMMYFUNCTION("""COMPUTED_VALUE"""),"")</f>
        <v/>
      </c>
      <c r="C736" s="10" t="str">
        <f>IFERROR(__xludf.DUMMYFUNCTION("""COMPUTED_VALUE"""),"Modum")</f>
        <v>Modum</v>
      </c>
      <c r="D736" s="10" t="str">
        <f>IFERROR(__xludf.DUMMYFUNCTION("""COMPUTED_VALUE"""),"Lais de Oliveira")</f>
        <v>Lais de Oliveira</v>
      </c>
      <c r="E736" s="10" t="str">
        <f>IFERROR(__xludf.DUMMYFUNCTION("""COMPUTED_VALUE"""),"Lais de Oliveira")</f>
        <v>Lais de Oliveira</v>
      </c>
      <c r="F736" s="10" t="str">
        <f>IFERROR(__xludf.DUMMYFUNCTION("""COMPUTED_VALUE"""),"2019/11/07 11:15:00")</f>
        <v>2019/11/07 11:15:00</v>
      </c>
      <c r="G736" s="10" t="str">
        <f>IFERROR(__xludf.DUMMYFUNCTION("""COMPUTED_VALUE"""),"2019/11/07 11:30:00")</f>
        <v>2019/11/07 11:30:00</v>
      </c>
      <c r="H736" s="10" t="str">
        <f>IFERROR(__xludf.DUMMYFUNCTION("""COMPUTED_VALUE"""),"a079030a-805d-4bc9-805c-6cb55eff3b3c")</f>
        <v>a079030a-805d-4bc9-805c-6cb55eff3b3c</v>
      </c>
      <c r="I736" s="10" t="str">
        <f>IFERROR(__xludf.DUMMYFUNCTION("""COMPUTED_VALUE"""),"a079030a-805d-4bc9-805c-6cb55eff3b3c")</f>
        <v>a079030a-805d-4bc9-805c-6cb55eff3b3c</v>
      </c>
    </row>
    <row r="737">
      <c r="A737" s="10" t="str">
        <f>IFERROR(__xludf.DUMMYFUNCTION("""COMPUTED_VALUE"""),"UN Global Compact SDG Media Zone")</f>
        <v>UN Global Compact SDG Media Zone</v>
      </c>
      <c r="B737" s="10"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737" s="10" t="str">
        <f>IFERROR(__xludf.DUMMYFUNCTION("""COMPUTED_VALUE"""),"UN Global Compact SDG Media Zone, E214, FIL 2")</f>
        <v>UN Global Compact SDG Media Zone, E214, FIL 2</v>
      </c>
      <c r="D737" s="10" t="str">
        <f>IFERROR(__xludf.DUMMYFUNCTION("""COMPUTED_VALUE"""),"")</f>
        <v/>
      </c>
      <c r="E737" s="10" t="str">
        <f>IFERROR(__xludf.DUMMYFUNCTION("""COMPUTED_VALUE"""),"")</f>
        <v/>
      </c>
      <c r="F737" s="10" t="str">
        <f>IFERROR(__xludf.DUMMYFUNCTION("""COMPUTED_VALUE"""),"2019/11/05 10:00:00")</f>
        <v>2019/11/05 10:00:00</v>
      </c>
      <c r="G737" s="10" t="str">
        <f>IFERROR(__xludf.DUMMYFUNCTION("""COMPUTED_VALUE"""),"2019/11/05 16:00:00")</f>
        <v>2019/11/05 16:00:00</v>
      </c>
      <c r="H737" s="10" t="str">
        <f>IFERROR(__xludf.DUMMYFUNCTION("""COMPUTED_VALUE"""),"da303a06-3d8a-4722-b0dd-64ad84132cd7")</f>
        <v>da303a06-3d8a-4722-b0dd-64ad84132cd7</v>
      </c>
      <c r="I737" s="10" t="str">
        <f>IFERROR(__xludf.DUMMYFUNCTION("""COMPUTED_VALUE"""),"da303a06-3d8a-4722-b0dd-64ad84132cd7")</f>
        <v>da303a06-3d8a-4722-b0dd-64ad84132cd7</v>
      </c>
    </row>
    <row r="738">
      <c r="A738" s="10" t="str">
        <f>IFERROR(__xludf.DUMMYFUNCTION("""COMPUTED_VALUE"""),"Thinking outside the box")</f>
        <v>Thinking outside the box</v>
      </c>
      <c r="B738" s="10" t="str">
        <f>IFERROR(__xludf.DUMMYFUNCTION("""COMPUTED_VALUE"""),"We all come from different backgrounds, but do we face down challenges in the same way? Former World Heavyweight Champion Wladimir Klitschko will be joined by the Kristen Garcia Dumont, CEO of one of the world's leading gaming companies to explore.")</f>
        <v>We all come from different backgrounds, but do we face down challenges in the same way? Former World Heavyweight Champion Wladimir Klitschko will be joined by the Kristen Garcia Dumont, CEO of one of the world's leading gaming companies to explore.</v>
      </c>
      <c r="C738" s="10" t="str">
        <f>IFERROR(__xludf.DUMMYFUNCTION("""COMPUTED_VALUE"""),"Centre Stage")</f>
        <v>Centre Stage</v>
      </c>
      <c r="D738" s="10" t="str">
        <f>IFERROR(__xludf.DUMMYFUNCTION("""COMPUTED_VALUE"""),"Wladimir Klitschko, Kristen Garcia Dumont and Halsey Minor")</f>
        <v>Wladimir Klitschko, Kristen Garcia Dumont and Halsey Minor</v>
      </c>
      <c r="E738" s="10" t="str">
        <f>IFERROR(__xludf.DUMMYFUNCTION("""COMPUTED_VALUE"""),"Wladimir Klitschko,Kristen Garcia Dumont,Halsey Minor")</f>
        <v>Wladimir Klitschko,Kristen Garcia Dumont,Halsey Minor</v>
      </c>
      <c r="F738" s="10" t="str">
        <f>IFERROR(__xludf.DUMMYFUNCTION("""COMPUTED_VALUE"""),"2019/11/05 11:55:00")</f>
        <v>2019/11/05 11:55:00</v>
      </c>
      <c r="G738" s="10" t="str">
        <f>IFERROR(__xludf.DUMMYFUNCTION("""COMPUTED_VALUE"""),"2019/11/05 12:15:00")</f>
        <v>2019/11/05 12:15:00</v>
      </c>
      <c r="H738" s="10" t="str">
        <f>IFERROR(__xludf.DUMMYFUNCTION("""COMPUTED_VALUE"""),"29f68515-a259-4271-8f36-0b378ef8ce8f")</f>
        <v>29f68515-a259-4271-8f36-0b378ef8ce8f</v>
      </c>
      <c r="I738" s="10" t="str">
        <f>IFERROR(__xludf.DUMMYFUNCTION("""COMPUTED_VALUE"""),"29f68515-a259-4271-8f36-0b378ef8ce8f")</f>
        <v>29f68515-a259-4271-8f36-0b378ef8ce8f</v>
      </c>
    </row>
    <row r="739">
      <c r="A739" s="10" t="str">
        <f>IFERROR(__xludf.DUMMYFUNCTION("""COMPUTED_VALUE"""),"Lunch break")</f>
        <v>Lunch break</v>
      </c>
      <c r="B739" s="10" t="str">
        <f>IFERROR(__xludf.DUMMYFUNCTION("""COMPUTED_VALUE"""),"")</f>
        <v/>
      </c>
      <c r="C739" s="10" t="str">
        <f>IFERROR(__xludf.DUMMYFUNCTION("""COMPUTED_VALUE"""),"planet:tech ")</f>
        <v>planet:tech </v>
      </c>
      <c r="D739" s="10" t="str">
        <f>IFERROR(__xludf.DUMMYFUNCTION("""COMPUTED_VALUE"""),"")</f>
        <v/>
      </c>
      <c r="E739" s="10" t="str">
        <f>IFERROR(__xludf.DUMMYFUNCTION("""COMPUTED_VALUE"""),"")</f>
        <v/>
      </c>
      <c r="F739" s="10" t="str">
        <f>IFERROR(__xludf.DUMMYFUNCTION("""COMPUTED_VALUE"""),"2019/11/05 13:35:00")</f>
        <v>2019/11/05 13:35:00</v>
      </c>
      <c r="G739" s="10" t="str">
        <f>IFERROR(__xludf.DUMMYFUNCTION("""COMPUTED_VALUE"""),"2019/11/05 14:20:00")</f>
        <v>2019/11/05 14:20:00</v>
      </c>
      <c r="H739" s="10" t="str">
        <f>IFERROR(__xludf.DUMMYFUNCTION("""COMPUTED_VALUE"""),"cc585030-8f90-4f8b-a842-928423188fc9")</f>
        <v>cc585030-8f90-4f8b-a842-928423188fc9</v>
      </c>
      <c r="I739" s="10" t="str">
        <f>IFERROR(__xludf.DUMMYFUNCTION("""COMPUTED_VALUE"""),"cc585030-8f90-4f8b-a842-928423188fc9")</f>
        <v>cc585030-8f90-4f8b-a842-928423188fc9</v>
      </c>
    </row>
    <row r="740">
      <c r="A740" s="10" t="str">
        <f>IFERROR(__xludf.DUMMYFUNCTION("""COMPUTED_VALUE"""),"Opening remarks")</f>
        <v>Opening remarks</v>
      </c>
      <c r="B740" s="10" t="str">
        <f>IFERROR(__xludf.DUMMYFUNCTION("""COMPUTED_VALUE"""),"")</f>
        <v/>
      </c>
      <c r="C740" s="10" t="str">
        <f>IFERROR(__xludf.DUMMYFUNCTION("""COMPUTED_VALUE"""),"Centre Stage")</f>
        <v>Centre Stage</v>
      </c>
      <c r="D740" s="10" t="str">
        <f>IFERROR(__xludf.DUMMYFUNCTION("""COMPUTED_VALUE"""),"Paddy Cosgrave")</f>
        <v>Paddy Cosgrave</v>
      </c>
      <c r="E740" s="10" t="str">
        <f>IFERROR(__xludf.DUMMYFUNCTION("""COMPUTED_VALUE"""),"Paddy Cosgrave")</f>
        <v>Paddy Cosgrave</v>
      </c>
      <c r="F740" s="10" t="str">
        <f>IFERROR(__xludf.DUMMYFUNCTION("""COMPUTED_VALUE"""),"2019/11/04 18:15:00")</f>
        <v>2019/11/04 18:15:00</v>
      </c>
      <c r="G740" s="10" t="str">
        <f>IFERROR(__xludf.DUMMYFUNCTION("""COMPUTED_VALUE"""),"2019/11/04 18:30:00")</f>
        <v>2019/11/04 18:30:00</v>
      </c>
      <c r="H740" s="10" t="str">
        <f>IFERROR(__xludf.DUMMYFUNCTION("""COMPUTED_VALUE"""),"83e3191a-8cc1-4794-82e2-7d7430575cc9")</f>
        <v>83e3191a-8cc1-4794-82e2-7d7430575cc9</v>
      </c>
      <c r="I740" s="10" t="str">
        <f>IFERROR(__xludf.DUMMYFUNCTION("""COMPUTED_VALUE"""),"83e3191a-8cc1-4794-82e2-7d7430575cc9")</f>
        <v>83e3191a-8cc1-4794-82e2-7d7430575cc9</v>
      </c>
    </row>
    <row r="741">
      <c r="A741" s="10" t="str">
        <f>IFERROR(__xludf.DUMMYFUNCTION("""COMPUTED_VALUE"""),"Sell me the truth")</f>
        <v>Sell me the truth</v>
      </c>
      <c r="B741" s="10" t="str">
        <f>IFERROR(__xludf.DUMMYFUNCTION("""COMPUTED_VALUE"""),"A look inside the lens of Rankin, who's made radical honesty look ridiculously cool.")</f>
        <v>A look inside the lens of Rankin, who's made radical honesty look ridiculously cool.</v>
      </c>
      <c r="C741" s="10" t="str">
        <f>IFERROR(__xludf.DUMMYFUNCTION("""COMPUTED_VALUE"""),"PandaConf")</f>
        <v>PandaConf</v>
      </c>
      <c r="D741" s="10" t="str">
        <f>IFERROR(__xludf.DUMMYFUNCTION("""COMPUTED_VALUE"""),"  and Erika Allen")</f>
        <v>  and Erika Allen</v>
      </c>
      <c r="E741" s="10" t="str">
        <f>IFERROR(__xludf.DUMMYFUNCTION("""COMPUTED_VALUE""")," ,Erika Allen")</f>
        <v> ,Erika Allen</v>
      </c>
      <c r="F741" s="10" t="str">
        <f>IFERROR(__xludf.DUMMYFUNCTION("""COMPUTED_VALUE"""),"2019/11/06 13:25:00")</f>
        <v>2019/11/06 13:25:00</v>
      </c>
      <c r="G741" s="10" t="str">
        <f>IFERROR(__xludf.DUMMYFUNCTION("""COMPUTED_VALUE"""),"2019/11/06 13:40:00")</f>
        <v>2019/11/06 13:40:00</v>
      </c>
      <c r="H741" s="10" t="str">
        <f>IFERROR(__xludf.DUMMYFUNCTION("""COMPUTED_VALUE"""),"5d1754cd-ac66-4c61-ae91-b526c7e5b573")</f>
        <v>5d1754cd-ac66-4c61-ae91-b526c7e5b573</v>
      </c>
      <c r="I741" s="10" t="str">
        <f>IFERROR(__xludf.DUMMYFUNCTION("""COMPUTED_VALUE"""),"5d1754cd-ac66-4c61-ae91-b526c7e5b573")</f>
        <v>5d1754cd-ac66-4c61-ae91-b526c7e5b573</v>
      </c>
    </row>
    <row r="742">
      <c r="A742" s="10" t="str">
        <f>IFERROR(__xludf.DUMMYFUNCTION("""COMPUTED_VALUE"""),"How homes can help")</f>
        <v>How homes can help</v>
      </c>
      <c r="B742" s="10" t="str">
        <f>IFERROR(__xludf.DUMMYFUNCTION("""COMPUTED_VALUE"""),"From home heating to home building, this session explores the future of sustainable cities. We'll find out how we can make them as environmentally inoffensive as possible, for the well-being of both people and the planet.")</f>
        <v>From home heating to home building, this session explores the future of sustainable cities. We'll find out how we can make them as environmentally inoffensive as possible, for the well-being of both people and the planet.</v>
      </c>
      <c r="C742" s="10" t="str">
        <f>IFERROR(__xludf.DUMMYFUNCTION("""COMPUTED_VALUE"""),"planet:tech ")</f>
        <v>planet:tech </v>
      </c>
      <c r="D742" s="10" t="str">
        <f>IFERROR(__xludf.DUMMYFUNCTION("""COMPUTED_VALUE"""),"Toon Bouten")</f>
        <v>Toon Bouten</v>
      </c>
      <c r="E742" s="10" t="str">
        <f>IFERROR(__xludf.DUMMYFUNCTION("""COMPUTED_VALUE"""),"Toon Bouten")</f>
        <v>Toon Bouten</v>
      </c>
      <c r="F742" s="10" t="str">
        <f>IFERROR(__xludf.DUMMYFUNCTION("""COMPUTED_VALUE"""),"2019/11/05 13:20:00")</f>
        <v>2019/11/05 13:20:00</v>
      </c>
      <c r="G742" s="10" t="str">
        <f>IFERROR(__xludf.DUMMYFUNCTION("""COMPUTED_VALUE"""),"2019/11/05 13:35:00")</f>
        <v>2019/11/05 13:35:00</v>
      </c>
      <c r="H742" s="10" t="str">
        <f>IFERROR(__xludf.DUMMYFUNCTION("""COMPUTED_VALUE"""),"4a29cc9a-086f-41c4-9e76-896372714897")</f>
        <v>4a29cc9a-086f-41c4-9e76-896372714897</v>
      </c>
      <c r="I742" s="10" t="str">
        <f>IFERROR(__xludf.DUMMYFUNCTION("""COMPUTED_VALUE"""),"4a29cc9a-086f-41c4-9e76-896372714897")</f>
        <v>4a29cc9a-086f-41c4-9e76-896372714897</v>
      </c>
    </row>
    <row r="743">
      <c r="A743" s="10" t="str">
        <f>IFERROR(__xludf.DUMMYFUNCTION("""COMPUTED_VALUE"""),"On the frontlines of extinction")</f>
        <v>On the frontlines of extinction</v>
      </c>
      <c r="B743" s="10" t="str">
        <f>IFERROR(__xludf.DUMMYFUNCTION("""COMPUTED_VALUE"""),"Whether saving trees, saving primates or saving the Sumatran forests, extinction is a war-zone and this session brings together speakers from its frontlines; discussing what's being done to preserve nature's legacy, claws, tusks and all, before time runs "&amp;"out.")</f>
        <v>Whether saving trees, saving primates or saving the Sumatran forests, extinction is a war-zone and this session brings together speakers from its frontlines; discussing what's being done to preserve nature's legacy, claws, tusks and all, before time runs out.</v>
      </c>
      <c r="C743" s="10" t="str">
        <f>IFERROR(__xludf.DUMMYFUNCTION("""COMPUTED_VALUE"""),"planet:tech ")</f>
        <v>planet:tech </v>
      </c>
      <c r="D743" s="10" t="str">
        <f>IFERROR(__xludf.DUMMYFUNCTION("""COMPUTED_VALUE"""),"Farwiza Farhan, Christian Kroll and Isabel Hilton")</f>
        <v>Farwiza Farhan, Christian Kroll and Isabel Hilton</v>
      </c>
      <c r="E743" s="10" t="str">
        <f>IFERROR(__xludf.DUMMYFUNCTION("""COMPUTED_VALUE"""),"Farwiza Farhan,Christian Kroll,Isabel Hilton")</f>
        <v>Farwiza Farhan,Christian Kroll,Isabel Hilton</v>
      </c>
      <c r="F743" s="10" t="str">
        <f>IFERROR(__xludf.DUMMYFUNCTION("""COMPUTED_VALUE"""),"2019/11/05 13:00:00")</f>
        <v>2019/11/05 13:00:00</v>
      </c>
      <c r="G743" s="10" t="str">
        <f>IFERROR(__xludf.DUMMYFUNCTION("""COMPUTED_VALUE"""),"2019/11/05 13:20:00")</f>
        <v>2019/11/05 13:20:00</v>
      </c>
      <c r="H743" s="10" t="str">
        <f>IFERROR(__xludf.DUMMYFUNCTION("""COMPUTED_VALUE"""),"a6e97ed7-c70b-4104-9dc9-7f1596ffe118")</f>
        <v>a6e97ed7-c70b-4104-9dc9-7f1596ffe118</v>
      </c>
      <c r="I743" s="10" t="str">
        <f>IFERROR(__xludf.DUMMYFUNCTION("""COMPUTED_VALUE"""),"a6e97ed7-c70b-4104-9dc9-7f1596ffe118")</f>
        <v>a6e97ed7-c70b-4104-9dc9-7f1596ffe118</v>
      </c>
    </row>
    <row r="744">
      <c r="A744" s="10" t="str">
        <f>IFERROR(__xludf.DUMMYFUNCTION("""COMPUTED_VALUE"""),"Featured venue: Burger Factory")</f>
        <v>Featured venue: Burger Factory</v>
      </c>
      <c r="B744" s="10" t="str">
        <f>IFERROR(__xludf.DUMMYFUNCTION("""COMPUTED_VALUE"""),"So much more than just burgers! Take in the Lisbon night as you eat your dinner under the stars, all accompanied with live music. ")</f>
        <v>So much more than just burgers! Take in the Lisbon night as you eat your dinner under the stars, all accompanied with live music. </v>
      </c>
      <c r="C744" s="10" t="str">
        <f>IFERROR(__xludf.DUMMYFUNCTION("""COMPUTED_VALUE"""),"Burger Factory")</f>
        <v>Burger Factory</v>
      </c>
      <c r="D744" s="10" t="str">
        <f>IFERROR(__xludf.DUMMYFUNCTION("""COMPUTED_VALUE"""),"")</f>
        <v/>
      </c>
      <c r="E744" s="10" t="str">
        <f>IFERROR(__xludf.DUMMYFUNCTION("""COMPUTED_VALUE"""),"")</f>
        <v/>
      </c>
      <c r="F744" s="10" t="str">
        <f>IFERROR(__xludf.DUMMYFUNCTION("""COMPUTED_VALUE"""),"2019/11/06 20:00:00")</f>
        <v>2019/11/06 20:00:00</v>
      </c>
      <c r="G744" s="10" t="str">
        <f>IFERROR(__xludf.DUMMYFUNCTION("""COMPUTED_VALUE"""),"2019/11/07 02:00:00")</f>
        <v>2019/11/07 02:00:00</v>
      </c>
      <c r="H744" s="10" t="str">
        <f>IFERROR(__xludf.DUMMYFUNCTION("""COMPUTED_VALUE"""),"6b1e8171-2562-42dd-a899-cf5841f7d6bf")</f>
        <v>6b1e8171-2562-42dd-a899-cf5841f7d6bf</v>
      </c>
      <c r="I744" s="10" t="str">
        <f>IFERROR(__xludf.DUMMYFUNCTION("""COMPUTED_VALUE"""),"6b1e8171-2562-42dd-a899-cf5841f7d6bf")</f>
        <v>6b1e8171-2562-42dd-a899-cf5841f7d6bf</v>
      </c>
    </row>
    <row r="745">
      <c r="A745" s="10" t="str">
        <f>IFERROR(__xludf.DUMMYFUNCTION("""COMPUTED_VALUE"""),"Featured venue: Prego d'Pescador")</f>
        <v>Featured venue: Prego d'Pescador</v>
      </c>
      <c r="B745" s="10" t="str">
        <f>IFERROR(__xludf.DUMMYFUNCTION("""COMPUTED_VALUE"""),"Domingos Rodrigues, the master chef of the Royal House of D. Pedro II, said that ""shellfish should only be eaten in months with the letter 'r'"" - that is, during winter. That's good news for Web Summit attendees, as rumour has it November is the perfect"&amp;" time to visit this traditional Lisbon restaurant, which specialises in fish and seafood. 
Night Summit deals: 
2 for 1 gin + tonic, 2 for 1 beer, garlic prawns + 1 beer for 10€, boiled Moçambique shrimp + 2 small beers for 15€, Fishermen mix (rock cr"&amp;"ab pate, garlic prawns and clams bulhão pato) + 2 large beers for 30€")</f>
        <v>Domingos Rodrigues, the master chef of the Royal House of D. Pedro II, said that "shellfish should only be eaten in months with the letter 'r'" - that is, during winter. That's good news for Web Summit attendees, as rumour has it November is the perfect time to visit this traditional Lisbon restaurant, which specialises in fish and seafood. 
Night Summit deals: 
2 for 1 gin + tonic, 2 for 1 beer, garlic prawns + 1 beer for 10€, boiled Moçambique shrimp + 2 small beers for 15€, Fishermen mix (rock crab pate, garlic prawns and clams bulhão pato) + 2 large beers for 30€</v>
      </c>
      <c r="C745" s="10" t="str">
        <f>IFERROR(__xludf.DUMMYFUNCTION("""COMPUTED_VALUE"""),"Prego D'Pescador")</f>
        <v>Prego D'Pescador</v>
      </c>
      <c r="D745" s="10" t="str">
        <f>IFERROR(__xludf.DUMMYFUNCTION("""COMPUTED_VALUE"""),"")</f>
        <v/>
      </c>
      <c r="E745" s="10" t="str">
        <f>IFERROR(__xludf.DUMMYFUNCTION("""COMPUTED_VALUE"""),"")</f>
        <v/>
      </c>
      <c r="F745" s="10" t="str">
        <f>IFERROR(__xludf.DUMMYFUNCTION("""COMPUTED_VALUE"""),"2019/11/04 20:00:00")</f>
        <v>2019/11/04 20:00:00</v>
      </c>
      <c r="G745" s="10" t="str">
        <f>IFERROR(__xludf.DUMMYFUNCTION("""COMPUTED_VALUE"""),"2019/11/04 23:00:00")</f>
        <v>2019/11/04 23:00:00</v>
      </c>
      <c r="H745" s="10" t="str">
        <f>IFERROR(__xludf.DUMMYFUNCTION("""COMPUTED_VALUE"""),"8e3c4724-85f8-4f48-a9c9-d5eabf167c0b")</f>
        <v>8e3c4724-85f8-4f48-a9c9-d5eabf167c0b</v>
      </c>
      <c r="I745" s="10" t="str">
        <f>IFERROR(__xludf.DUMMYFUNCTION("""COMPUTED_VALUE"""),"8e3c4724-85f8-4f48-a9c9-d5eabf167c0b")</f>
        <v>8e3c4724-85f8-4f48-a9c9-d5eabf167c0b</v>
      </c>
    </row>
    <row r="746">
      <c r="A746" s="10" t="str">
        <f>IFERROR(__xludf.DUMMYFUNCTION("""COMPUTED_VALUE"""),"Explore your digital futures, hosted by Shell")</f>
        <v>Explore your digital futures, hosted by Shell</v>
      </c>
      <c r="B746" s="10"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746" s="10" t="str">
        <f>IFERROR(__xludf.DUMMYFUNCTION("""COMPUTED_VALUE"""),"Workshop 3")</f>
        <v>Workshop 3</v>
      </c>
      <c r="D746" s="10" t="str">
        <f>IFERROR(__xludf.DUMMYFUNCTION("""COMPUTED_VALUE"""),"Adam Eales")</f>
        <v>Adam Eales</v>
      </c>
      <c r="E746" s="10" t="str">
        <f>IFERROR(__xludf.DUMMYFUNCTION("""COMPUTED_VALUE"""),"Adam Eales")</f>
        <v>Adam Eales</v>
      </c>
      <c r="F746" s="10" t="str">
        <f>IFERROR(__xludf.DUMMYFUNCTION("""COMPUTED_VALUE"""),"2019/11/07 14:00:00")</f>
        <v>2019/11/07 14:00:00</v>
      </c>
      <c r="G746" s="10" t="str">
        <f>IFERROR(__xludf.DUMMYFUNCTION("""COMPUTED_VALUE"""),"2019/11/07 14:45:00")</f>
        <v>2019/11/07 14:45:00</v>
      </c>
      <c r="H746" s="10" t="str">
        <f>IFERROR(__xludf.DUMMYFUNCTION("""COMPUTED_VALUE"""),"396442b4-338a-40dd-92e2-805f889a3087")</f>
        <v>396442b4-338a-40dd-92e2-805f889a3087</v>
      </c>
      <c r="I746" s="10" t="str">
        <f>IFERROR(__xludf.DUMMYFUNCTION("""COMPUTED_VALUE"""),"396442b4-338a-40dd-92e2-805f889a3087")</f>
        <v>396442b4-338a-40dd-92e2-805f889a3087</v>
      </c>
    </row>
    <row r="747">
      <c r="A747" s="10" t="str">
        <f>IFERROR(__xludf.DUMMYFUNCTION("""COMPUTED_VALUE"""),"Food truck 1")</f>
        <v>Food truck 1</v>
      </c>
      <c r="B747" s="10" t="str">
        <f>IFERROR(__xludf.DUMMYFUNCTION("""COMPUTED_VALUE"""),"")</f>
        <v/>
      </c>
      <c r="C747" s="10" t="str">
        <f>IFERROR(__xludf.DUMMYFUNCTION("""COMPUTED_VALUE"""),"Food truck 1 - Nov 5")</f>
        <v>Food truck 1 - Nov 5</v>
      </c>
      <c r="D747" s="10" t="str">
        <f>IFERROR(__xludf.DUMMYFUNCTION("""COMPUTED_VALUE"""),"")</f>
        <v/>
      </c>
      <c r="E747" s="10" t="str">
        <f>IFERROR(__xludf.DUMMYFUNCTION("""COMPUTED_VALUE"""),"")</f>
        <v/>
      </c>
      <c r="F747" s="10" t="str">
        <f>IFERROR(__xludf.DUMMYFUNCTION("""COMPUTED_VALUE"""),"2019/11/05 20:01:00")</f>
        <v>2019/11/05 20:01:00</v>
      </c>
      <c r="G747" s="10" t="str">
        <f>IFERROR(__xludf.DUMMYFUNCTION("""COMPUTED_VALUE"""),"2019/11/05 23:59:00")</f>
        <v>2019/11/05 23:59:00</v>
      </c>
      <c r="H747" s="10" t="str">
        <f>IFERROR(__xludf.DUMMYFUNCTION("""COMPUTED_VALUE"""),"799c633d-58c6-4465-9db2-f6ce702cb0b6")</f>
        <v>799c633d-58c6-4465-9db2-f6ce702cb0b6</v>
      </c>
      <c r="I747" s="10" t="str">
        <f>IFERROR(__xludf.DUMMYFUNCTION("""COMPUTED_VALUE"""),"799c633d-58c6-4465-9db2-f6ce702cb0b6")</f>
        <v>799c633d-58c6-4465-9db2-f6ce702cb0b6</v>
      </c>
    </row>
    <row r="748">
      <c r="A748" s="10" t="str">
        <f>IFERROR(__xludf.DUMMYFUNCTION("""COMPUTED_VALUE"""),"Featured venue: The Therapist")</f>
        <v>Featured venue: The Therapist</v>
      </c>
      <c r="B748" s="10" t="str">
        <f>IFERROR(__xludf.DUMMYFUNCTION("""COMPUTED_VALUE"""),"This healthy restaurant is transforming for one night only. Feed your body and your mind here, with a special menu encompassing power, detox, immunity, and strength. We were only after a glass of wine, but we'll take a double of this! Also with a gorgeous"&amp;" outdoor area.
Night Summit deals:
Beer for €1 and glass of wine €2.50")</f>
        <v>This healthy restaurant is transforming for one night only. Feed your body and your mind here, with a special menu encompassing power, detox, immunity, and strength. We were only after a glass of wine, but we'll take a double of this! Also with a gorgeous outdoor area.
Night Summit deals:
Beer for €1 and glass of wine €2.50</v>
      </c>
      <c r="C748" s="10" t="str">
        <f>IFERROR(__xludf.DUMMYFUNCTION("""COMPUTED_VALUE"""),"The Therapist")</f>
        <v>The Therapist</v>
      </c>
      <c r="D748" s="10" t="str">
        <f>IFERROR(__xludf.DUMMYFUNCTION("""COMPUTED_VALUE"""),"")</f>
        <v/>
      </c>
      <c r="E748" s="10" t="str">
        <f>IFERROR(__xludf.DUMMYFUNCTION("""COMPUTED_VALUE"""),"")</f>
        <v/>
      </c>
      <c r="F748" s="10" t="str">
        <f>IFERROR(__xludf.DUMMYFUNCTION("""COMPUTED_VALUE"""),"2019/11/06 20:00:00")</f>
        <v>2019/11/06 20:00:00</v>
      </c>
      <c r="G748" s="10" t="str">
        <f>IFERROR(__xludf.DUMMYFUNCTION("""COMPUTED_VALUE"""),"2019/11/07 02:00:00")</f>
        <v>2019/11/07 02:00:00</v>
      </c>
      <c r="H748" s="10" t="str">
        <f>IFERROR(__xludf.DUMMYFUNCTION("""COMPUTED_VALUE"""),"bd2f743b-a0b1-47e1-a419-f1f286a7b28d")</f>
        <v>bd2f743b-a0b1-47e1-a419-f1f286a7b28d</v>
      </c>
      <c r="I748" s="10" t="str">
        <f>IFERROR(__xludf.DUMMYFUNCTION("""COMPUTED_VALUE"""),"bd2f743b-a0b1-47e1-a419-f1f286a7b28d")</f>
        <v>bd2f743b-a0b1-47e1-a419-f1f286a7b28d</v>
      </c>
    </row>
    <row r="749">
      <c r="A749" s="10" t="str">
        <f>IFERROR(__xludf.DUMMYFUNCTION("""COMPUTED_VALUE"""),"GDPR 18 months in: What you need to know, hosted by European Commission ")</f>
        <v>GDPR 18 months in: What you need to know, hosted by European Commission </v>
      </c>
      <c r="B749" s="10" t="str">
        <f>IFERROR(__xludf.DUMMYFUNCTION("""COMPUTED_VALUE"""),"Learn from the source on how to navigate the EU's data protection law, GDPR.")</f>
        <v>Learn from the source on how to navigate the EU's data protection law, GDPR.</v>
      </c>
      <c r="C749" s="10" t="str">
        <f>IFERROR(__xludf.DUMMYFUNCTION("""COMPUTED_VALUE"""),"Workshop 2")</f>
        <v>Workshop 2</v>
      </c>
      <c r="D749" s="10" t="str">
        <f>IFERROR(__xludf.DUMMYFUNCTION("""COMPUTED_VALUE"""),"Isabelle Chatelier")</f>
        <v>Isabelle Chatelier</v>
      </c>
      <c r="E749" s="10" t="str">
        <f>IFERROR(__xludf.DUMMYFUNCTION("""COMPUTED_VALUE"""),"Isabelle Chatelier")</f>
        <v>Isabelle Chatelier</v>
      </c>
      <c r="F749" s="10" t="str">
        <f>IFERROR(__xludf.DUMMYFUNCTION("""COMPUTED_VALUE"""),"2019/11/07 14:00:00")</f>
        <v>2019/11/07 14:00:00</v>
      </c>
      <c r="G749" s="10" t="str">
        <f>IFERROR(__xludf.DUMMYFUNCTION("""COMPUTED_VALUE"""),"2019/11/07 14:45:00")</f>
        <v>2019/11/07 14:45:00</v>
      </c>
      <c r="H749" s="10" t="str">
        <f>IFERROR(__xludf.DUMMYFUNCTION("""COMPUTED_VALUE"""),"a8b01591-52e4-4d30-ad78-b2c1c0b07836")</f>
        <v>a8b01591-52e4-4d30-ad78-b2c1c0b07836</v>
      </c>
      <c r="I749" s="10" t="str">
        <f>IFERROR(__xludf.DUMMYFUNCTION("""COMPUTED_VALUE"""),"a8b01591-52e4-4d30-ad78-b2c1c0b07836")</f>
        <v>a8b01591-52e4-4d30-ad78-b2c1c0b07836</v>
      </c>
    </row>
    <row r="750">
      <c r="A750" s="10" t="str">
        <f>IFERROR(__xludf.DUMMYFUNCTION("""COMPUTED_VALUE"""),"Turning legacy brands into digital innovators")</f>
        <v>Turning legacy brands into digital innovators</v>
      </c>
      <c r="B750" s="10" t="str">
        <f>IFERROR(__xludf.DUMMYFUNCTION("""COMPUTED_VALUE"""),"Kering is an unrivalled behemoth in the world of luxury. Join its Chief Digital Officer as he discusses how Kering's fashion luxury brands are competing with tech-focused fashion startups, and how tech and digital are enabling consumer engagement.")</f>
        <v>Kering is an unrivalled behemoth in the world of luxury. Join its Chief Digital Officer as he discusses how Kering's fashion luxury brands are competing with tech-focused fashion startups, and how tech and digital are enabling consumer engagement.</v>
      </c>
      <c r="C750" s="10" t="str">
        <f>IFERROR(__xludf.DUMMYFUNCTION("""COMPUTED_VALUE"""),"Modum")</f>
        <v>Modum</v>
      </c>
      <c r="D750" s="10" t="str">
        <f>IFERROR(__xludf.DUMMYFUNCTION("""COMPUTED_VALUE"""),"Grégory Boutté and Maghan McDowell")</f>
        <v>Grégory Boutté and Maghan McDowell</v>
      </c>
      <c r="E750" s="10" t="str">
        <f>IFERROR(__xludf.DUMMYFUNCTION("""COMPUTED_VALUE"""),"Grégory Boutté,Maghan McDowell")</f>
        <v>Grégory Boutté,Maghan McDowell</v>
      </c>
      <c r="F750" s="10" t="str">
        <f>IFERROR(__xludf.DUMMYFUNCTION("""COMPUTED_VALUE"""),"2019/11/07 15:45:00")</f>
        <v>2019/11/07 15:45:00</v>
      </c>
      <c r="G750" s="10" t="str">
        <f>IFERROR(__xludf.DUMMYFUNCTION("""COMPUTED_VALUE"""),"2019/11/07 16:05:00")</f>
        <v>2019/11/07 16:05:00</v>
      </c>
      <c r="H750" s="10" t="str">
        <f>IFERROR(__xludf.DUMMYFUNCTION("""COMPUTED_VALUE"""),"a67a80fc-d55d-4f93-b012-a33d7e416490")</f>
        <v>a67a80fc-d55d-4f93-b012-a33d7e416490</v>
      </c>
      <c r="I750" s="10" t="str">
        <f>IFERROR(__xludf.DUMMYFUNCTION("""COMPUTED_VALUE"""),"a67a80fc-d55d-4f93-b012-a33d7e416490")</f>
        <v>a67a80fc-d55d-4f93-b012-a33d7e416490</v>
      </c>
    </row>
    <row r="751">
      <c r="A751" s="10" t="str">
        <f>IFERROR(__xludf.DUMMYFUNCTION("""COMPUTED_VALUE"""),"How to use interoperable solutions to boost sales, hosted by European Commission")</f>
        <v>How to use interoperable solutions to boost sales, hosted by European Commission</v>
      </c>
      <c r="B751" s="10" t="str">
        <f>IFERROR(__xludf.DUMMYFUNCTION("""COMPUTED_VALUE"""),"Interoperability is the backbone for the digital transformation. It connects public administrations, businesses and citizens, reducing procedures like setting up a new office in another country, e-invoicing and e-procurement procedures, among others, to j"&amp;"ust a few clicks.
Join the workshop by the ISA2 Programme of the European Commission to learn how other startups, SMEs and scale-ups used our interoperable solutions to boost up their sales and position themselves in the international market.")</f>
        <v>Interoperability is the backbone for the digital transformation. It connects public administrations, businesses and citizens, reducing procedures like setting up a new office in another country, e-invoicing and e-procurement procedures, among others, to just a few clicks.
Join the workshop by the ISA2 Programme of the European Commission to learn how other startups, SMEs and scale-ups used our interoperable solutions to boost up their sales and position themselves in the international market.</v>
      </c>
      <c r="C751" s="10" t="str">
        <f>IFERROR(__xludf.DUMMYFUNCTION("""COMPUTED_VALUE"""),"Workshop 2")</f>
        <v>Workshop 2</v>
      </c>
      <c r="D751" s="10" t="str">
        <f>IFERROR(__xludf.DUMMYFUNCTION("""COMPUTED_VALUE"""),"Maximilian Strotmann, Luukas Ilves, Gabriele Francescotto and Asta Griciene")</f>
        <v>Maximilian Strotmann, Luukas Ilves, Gabriele Francescotto and Asta Griciene</v>
      </c>
      <c r="E751" s="10" t="str">
        <f>IFERROR(__xludf.DUMMYFUNCTION("""COMPUTED_VALUE"""),"Maximilian Strotmann,Luukas Ilves,Gabriele Francescotto,Asta Griciene")</f>
        <v>Maximilian Strotmann,Luukas Ilves,Gabriele Francescotto,Asta Griciene</v>
      </c>
      <c r="F751" s="10" t="str">
        <f>IFERROR(__xludf.DUMMYFUNCTION("""COMPUTED_VALUE"""),"2019/11/05 15:00:00")</f>
        <v>2019/11/05 15:00:00</v>
      </c>
      <c r="G751" s="10" t="str">
        <f>IFERROR(__xludf.DUMMYFUNCTION("""COMPUTED_VALUE"""),"2019/11/05 15:45:00")</f>
        <v>2019/11/05 15:45:00</v>
      </c>
      <c r="H751" s="10" t="str">
        <f>IFERROR(__xludf.DUMMYFUNCTION("""COMPUTED_VALUE"""),"083bca91-c0c9-4e00-b1f1-b1149dd9f9d9")</f>
        <v>083bca91-c0c9-4e00-b1f1-b1149dd9f9d9</v>
      </c>
      <c r="I751" s="10" t="str">
        <f>IFERROR(__xludf.DUMMYFUNCTION("""COMPUTED_VALUE"""),"083bca91-c0c9-4e00-b1f1-b1149dd9f9d9")</f>
        <v>083bca91-c0c9-4e00-b1f1-b1149dd9f9d9</v>
      </c>
    </row>
    <row r="752">
      <c r="A752" s="10" t="str">
        <f>IFERROR(__xludf.DUMMYFUNCTION("""COMPUTED_VALUE"""),"Opening remarks")</f>
        <v>Opening remarks</v>
      </c>
      <c r="B752" s="10" t="str">
        <f>IFERROR(__xludf.DUMMYFUNCTION("""COMPUTED_VALUE"""),"Opening remarks from Caroline Venza.")</f>
        <v>Opening remarks from Caroline Venza.</v>
      </c>
      <c r="C752" s="10" t="str">
        <f>IFERROR(__xludf.DUMMYFUNCTION("""COMPUTED_VALUE"""),"planet:tech ")</f>
        <v>planet:tech </v>
      </c>
      <c r="D752" s="10" t="str">
        <f>IFERROR(__xludf.DUMMYFUNCTION("""COMPUTED_VALUE"""),"Caroline Venza")</f>
        <v>Caroline Venza</v>
      </c>
      <c r="E752" s="10" t="str">
        <f>IFERROR(__xludf.DUMMYFUNCTION("""COMPUTED_VALUE"""),"Caroline Venza")</f>
        <v>Caroline Venza</v>
      </c>
      <c r="F752" s="10" t="str">
        <f>IFERROR(__xludf.DUMMYFUNCTION("""COMPUTED_VALUE"""),"2019/11/05 11:00:00")</f>
        <v>2019/11/05 11:00:00</v>
      </c>
      <c r="G752" s="10" t="str">
        <f>IFERROR(__xludf.DUMMYFUNCTION("""COMPUTED_VALUE"""),"2019/11/05 11:15:00")</f>
        <v>2019/11/05 11:15:00</v>
      </c>
      <c r="H752" s="10" t="str">
        <f>IFERROR(__xludf.DUMMYFUNCTION("""COMPUTED_VALUE"""),"5b65234e-3e3a-41f0-afa8-337f56ecef08")</f>
        <v>5b65234e-3e3a-41f0-afa8-337f56ecef08</v>
      </c>
      <c r="I752" s="10" t="str">
        <f>IFERROR(__xludf.DUMMYFUNCTION("""COMPUTED_VALUE"""),"5b65234e-3e3a-41f0-afa8-337f56ecef08")</f>
        <v>5b65234e-3e3a-41f0-afa8-337f56ecef08</v>
      </c>
    </row>
    <row r="753">
      <c r="A753" s="10" t="str">
        <f>IFERROR(__xludf.DUMMYFUNCTION("""COMPUTED_VALUE"""),"Eric Cantona: Tackling society's greatest challenge")</f>
        <v>Eric Cantona: Tackling society's greatest challenge</v>
      </c>
      <c r="B753" s="10" t="str">
        <f>IFERROR(__xludf.DUMMYFUNCTION("""COMPUTED_VALUE"""),"The word “legend” is often thrown around, but rarely used so accurately. The iconic Eric Cantona and co-founder of Common Goal Jürgen Griesbeck outline how the organisation is trying to unite the global football community so they can tackle the greatest s"&amp;"ocial challenges of our time.")</f>
        <v>The word “legend” is often thrown around, but rarely used so accurately. The iconic Eric Cantona and co-founder of Common Goal Jürgen Griesbeck outline how the organisation is trying to unite the global football community so they can tackle the greatest social challenges of our time.</v>
      </c>
      <c r="C753" s="10" t="str">
        <f>IFERROR(__xludf.DUMMYFUNCTION("""COMPUTED_VALUE"""),"SportsTrade")</f>
        <v>SportsTrade</v>
      </c>
      <c r="D753" s="10" t="str">
        <f>IFERROR(__xludf.DUMMYFUNCTION("""COMPUTED_VALUE"""),"Eric Cantona, Jürgen Griesbeck and Sid Lowe")</f>
        <v>Eric Cantona, Jürgen Griesbeck and Sid Lowe</v>
      </c>
      <c r="E753" s="10" t="str">
        <f>IFERROR(__xludf.DUMMYFUNCTION("""COMPUTED_VALUE"""),"Eric Cantona,Jürgen Griesbeck,Sid Lowe")</f>
        <v>Eric Cantona,Jürgen Griesbeck,Sid Lowe</v>
      </c>
      <c r="F753" s="10" t="str">
        <f>IFERROR(__xludf.DUMMYFUNCTION("""COMPUTED_VALUE"""),"2019/11/05 15:15:00")</f>
        <v>2019/11/05 15:15:00</v>
      </c>
      <c r="G753" s="10" t="str">
        <f>IFERROR(__xludf.DUMMYFUNCTION("""COMPUTED_VALUE"""),"2019/11/05 15:35:00")</f>
        <v>2019/11/05 15:35:00</v>
      </c>
      <c r="H753" s="10" t="str">
        <f>IFERROR(__xludf.DUMMYFUNCTION("""COMPUTED_VALUE"""),"53f4c150-21c2-44d9-acb6-c72596fb4c8e")</f>
        <v>53f4c150-21c2-44d9-acb6-c72596fb4c8e</v>
      </c>
      <c r="I753" s="10" t="str">
        <f>IFERROR(__xludf.DUMMYFUNCTION("""COMPUTED_VALUE"""),"53f4c150-21c2-44d9-acb6-c72596fb4c8e")</f>
        <v>53f4c150-21c2-44d9-acb6-c72596fb4c8e</v>
      </c>
    </row>
    <row r="754">
      <c r="A754" s="10" t="str">
        <f>IFERROR(__xludf.DUMMYFUNCTION("""COMPUTED_VALUE"""),"AI: Advantage investing?")</f>
        <v>AI: Advantage investing?</v>
      </c>
      <c r="B754" s="10" t="str">
        <f>IFERROR(__xludf.DUMMYFUNCTION("""COMPUTED_VALUE"""),"How can AI and VC work more closely together? Can AI help VCs make more informed decisions about the scalability of a startup, and the likelihood of growth? In this panel we'll look at harnessing the power of AI to assist the decisions often based on gut.")</f>
        <v>How can AI and VC work more closely together? Can AI help VCs make more informed decisions about the scalability of a startup, and the likelihood of growth? In this panel we'll look at harnessing the power of AI to assist the decisions often based on gut.</v>
      </c>
      <c r="C754" s="10" t="str">
        <f>IFERROR(__xludf.DUMMYFUNCTION("""COMPUTED_VALUE"""),"Venture stage")</f>
        <v>Venture stage</v>
      </c>
      <c r="D754" s="10" t="str">
        <f>IFERROR(__xludf.DUMMYFUNCTION("""COMPUTED_VALUE"""),"Jacob Mullins, Dale Chang and David Kelnar")</f>
        <v>Jacob Mullins, Dale Chang and David Kelnar</v>
      </c>
      <c r="E754" s="10" t="str">
        <f>IFERROR(__xludf.DUMMYFUNCTION("""COMPUTED_VALUE"""),"Jacob Mullins,Dale Chang,David Kelnar")</f>
        <v>Jacob Mullins,Dale Chang,David Kelnar</v>
      </c>
      <c r="F754" s="10" t="str">
        <f>IFERROR(__xludf.DUMMYFUNCTION("""COMPUTED_VALUE"""),"2019/11/05 14:05:00")</f>
        <v>2019/11/05 14:05:00</v>
      </c>
      <c r="G754" s="10" t="str">
        <f>IFERROR(__xludf.DUMMYFUNCTION("""COMPUTED_VALUE"""),"2019/11/05 14:25:00")</f>
        <v>2019/11/05 14:25:00</v>
      </c>
      <c r="H754" s="10" t="str">
        <f>IFERROR(__xludf.DUMMYFUNCTION("""COMPUTED_VALUE"""),"3c35f956-7430-41f3-8bc2-18d855f4042f")</f>
        <v>3c35f956-7430-41f3-8bc2-18d855f4042f</v>
      </c>
      <c r="I754" s="10" t="str">
        <f>IFERROR(__xludf.DUMMYFUNCTION("""COMPUTED_VALUE"""),"3c35f956-7430-41f3-8bc2-18d855f4042f")</f>
        <v>3c35f956-7430-41f3-8bc2-18d855f4042f</v>
      </c>
    </row>
    <row r="755">
      <c r="A755" s="10" t="str">
        <f>IFERROR(__xludf.DUMMYFUNCTION("""COMPUTED_VALUE"""),"The future education powered by AI ")</f>
        <v>The future education powered by AI </v>
      </c>
      <c r="B755" s="10" t="str">
        <f>IFERROR(__xludf.DUMMYFUNCTION("""COMPUTED_VALUE"""),"In his presentation, Derek Haoyang Li, the founder of Chinese AI and EdTech unicorn, Squirrel AI Learning will discuss the future of education. What would the ultimate ideal education look like, and what stage we are in right now?")</f>
        <v>In his presentation, Derek Haoyang Li, the founder of Chinese AI and EdTech unicorn, Squirrel AI Learning will discuss the future of education. What would the ultimate ideal education look like, and what stage we are in right now?</v>
      </c>
      <c r="C755" s="24" t="str">
        <f>IFERROR(__xludf.DUMMYFUNCTION("""COMPUTED_VALUE"""),"binate.io")</f>
        <v>binate.io</v>
      </c>
      <c r="D755" s="10" t="str">
        <f>IFERROR(__xludf.DUMMYFUNCTION("""COMPUTED_VALUE"""),"Derek Haoyang Li")</f>
        <v>Derek Haoyang Li</v>
      </c>
      <c r="E755" s="10" t="str">
        <f>IFERROR(__xludf.DUMMYFUNCTION("""COMPUTED_VALUE"""),"Derek Haoyang Li")</f>
        <v>Derek Haoyang Li</v>
      </c>
      <c r="F755" s="10" t="str">
        <f>IFERROR(__xludf.DUMMYFUNCTION("""COMPUTED_VALUE"""),"2019/11/06 14:05:00")</f>
        <v>2019/11/06 14:05:00</v>
      </c>
      <c r="G755" s="10" t="str">
        <f>IFERROR(__xludf.DUMMYFUNCTION("""COMPUTED_VALUE"""),"2019/11/06 14:25:00")</f>
        <v>2019/11/06 14:25:00</v>
      </c>
      <c r="H755" s="10" t="str">
        <f>IFERROR(__xludf.DUMMYFUNCTION("""COMPUTED_VALUE"""),"4df90319-cc96-41ff-9fab-d47ea71ad0c7")</f>
        <v>4df90319-cc96-41ff-9fab-d47ea71ad0c7</v>
      </c>
      <c r="I755" s="10" t="str">
        <f>IFERROR(__xludf.DUMMYFUNCTION("""COMPUTED_VALUE"""),"4df90319-cc96-41ff-9fab-d47ea71ad0c7")</f>
        <v>4df90319-cc96-41ff-9fab-d47ea71ad0c7</v>
      </c>
    </row>
    <row r="756">
      <c r="A756" s="10" t="str">
        <f>IFERROR(__xludf.DUMMYFUNCTION("""COMPUTED_VALUE"""),"Are we over wearables?")</f>
        <v>Are we over wearables?</v>
      </c>
      <c r="B756" s="10" t="str">
        <f>IFERROR(__xludf.DUMMYFUNCTION("""COMPUTED_VALUE"""),"Are we over wearables?For years, we've loved that wearables let us track everything from sleep and calories, to steps and heart rate. But is that about to change? Are consumers losing interest in fashion and fitness wearables? And can a new wave of offeri"&amp;"ngs from medical device companies turn the tide back toward wearable tech?")</f>
        <v>Are we over wearables?For years, we've loved that wearables let us track everything from sleep and calories, to steps and heart rate. But is that about to change? Are consumers losing interest in fashion and fitness wearables? And can a new wave of offerings from medical device companies turn the tide back toward wearable tech?</v>
      </c>
      <c r="C756" s="10" t="str">
        <f>IFERROR(__xludf.DUMMYFUNCTION("""COMPUTED_VALUE"""),"HealthConf")</f>
        <v>HealthConf</v>
      </c>
      <c r="D756" s="10" t="str">
        <f>IFERROR(__xludf.DUMMYFUNCTION("""COMPUTED_VALUE"""),"Wai Lee, Kate Rosenbluth and Kieran Yates")</f>
        <v>Wai Lee, Kate Rosenbluth and Kieran Yates</v>
      </c>
      <c r="E756" s="10" t="str">
        <f>IFERROR(__xludf.DUMMYFUNCTION("""COMPUTED_VALUE"""),"Wai Lee,Kate Rosenbluth,Kieran Yates")</f>
        <v>Wai Lee,Kate Rosenbluth,Kieran Yates</v>
      </c>
      <c r="F756" s="10" t="str">
        <f>IFERROR(__xludf.DUMMYFUNCTION("""COMPUTED_VALUE"""),"2019/11/07 15:30:00")</f>
        <v>2019/11/07 15:30:00</v>
      </c>
      <c r="G756" s="10" t="str">
        <f>IFERROR(__xludf.DUMMYFUNCTION("""COMPUTED_VALUE"""),"2019/11/07 15:50:00")</f>
        <v>2019/11/07 15:50:00</v>
      </c>
      <c r="H756" s="10" t="str">
        <f>IFERROR(__xludf.DUMMYFUNCTION("""COMPUTED_VALUE"""),"9183f1ec-6e86-44e3-b40f-11a1140f1f36")</f>
        <v>9183f1ec-6e86-44e3-b40f-11a1140f1f36</v>
      </c>
      <c r="I756" s="10" t="str">
        <f>IFERROR(__xludf.DUMMYFUNCTION("""COMPUTED_VALUE"""),"9183f1ec-6e86-44e3-b40f-11a1140f1f36")</f>
        <v>9183f1ec-6e86-44e3-b40f-11a1140f1f36</v>
      </c>
    </row>
    <row r="757">
      <c r="A757" s="10" t="str">
        <f>IFERROR(__xludf.DUMMYFUNCTION("""COMPUTED_VALUE"""),"Interactive 3D web mapping, hosted by HERE Technologies ")</f>
        <v>Interactive 3D web mapping, hosted by HERE Technologies </v>
      </c>
      <c r="B757" s="10" t="str">
        <f>IFERROR(__xludf.DUMMYFUNCTION("""COMPUTED_VALUE"""),"HERE Technologies experts will offer an overview of harp.gl. This new web-based, open source, 3-D map visualisation framework can be used with HERE's real-time location data management service, XYZ.
Using harp.gl with XYZ enables development of a fully"&amp;" interactive and compelling map data visualisation application, which combines different types of data sources with your own location data. Join to find out what you can currently do with harp.gl and XYZ and learn more about the exciting upcoming features"&amp;".")</f>
        <v>HERE Technologies experts will offer an overview of harp.gl. This new web-based, open source, 3-D map visualisation framework can be used with HERE's real-time location data management service, XYZ.
Using harp.gl with XYZ enables development of a fully interactive and compelling map data visualisation application, which combines different types of data sources with your own location data. Join to find out what you can currently do with harp.gl and XYZ and learn more about the exciting upcoming features.</v>
      </c>
      <c r="C757" s="10" t="str">
        <f>IFERROR(__xludf.DUMMYFUNCTION("""COMPUTED_VALUE"""),"Workshop 4")</f>
        <v>Workshop 4</v>
      </c>
      <c r="D757" s="10" t="str">
        <f>IFERROR(__xludf.DUMMYFUNCTION("""COMPUTED_VALUE"""),"Nino Kettlitz")</f>
        <v>Nino Kettlitz</v>
      </c>
      <c r="E757" s="10" t="str">
        <f>IFERROR(__xludf.DUMMYFUNCTION("""COMPUTED_VALUE"""),"Nino Kettlitz")</f>
        <v>Nino Kettlitz</v>
      </c>
      <c r="F757" s="10" t="str">
        <f>IFERROR(__xludf.DUMMYFUNCTION("""COMPUTED_VALUE"""),"2019/11/07 10:00:00")</f>
        <v>2019/11/07 10:00:00</v>
      </c>
      <c r="G757" s="10" t="str">
        <f>IFERROR(__xludf.DUMMYFUNCTION("""COMPUTED_VALUE"""),"2019/11/07 11:00:00")</f>
        <v>2019/11/07 11:00:00</v>
      </c>
      <c r="H757" s="10" t="str">
        <f>IFERROR(__xludf.DUMMYFUNCTION("""COMPUTED_VALUE"""),"381e2c88-8172-43e3-8471-d8870be7d3a6")</f>
        <v>381e2c88-8172-43e3-8471-d8870be7d3a6</v>
      </c>
      <c r="I757" s="10" t="str">
        <f>IFERROR(__xludf.DUMMYFUNCTION("""COMPUTED_VALUE"""),"381e2c88-8172-43e3-8471-d8870be7d3a6")</f>
        <v>381e2c88-8172-43e3-8471-d8870be7d3a6</v>
      </c>
    </row>
    <row r="758">
      <c r="A758" s="10" t="str">
        <f>IFERROR(__xludf.DUMMYFUNCTION("""COMPUTED_VALUE"""),"Featured venue: Pensão Amor")</f>
        <v>Featured venue: Pensão Amor</v>
      </c>
      <c r="B758" s="10" t="str">
        <f>IFERROR(__xludf.DUMMYFUNCTION("""COMPUTED_VALUE"""),"We love a rags to ruin transformation. Once a rundown boarding house, this is now a space people flock to, whether to watch burlesque, sip on a signature cocktail, or simply to hang out with friends. Discover the secret corners of Pensão Amor, a place whe"&amp;"re you'll be greeted with the smile of open minds and free, creative thinking. ")</f>
        <v>We love a rags to ruin transformation. Once a rundown boarding house, this is now a space people flock to, whether to watch burlesque, sip on a signature cocktail, or simply to hang out with friends. Discover the secret corners of Pensão Amor, a place where you'll be greeted with the smile of open minds and free, creative thinking. </v>
      </c>
      <c r="C758" s="10" t="str">
        <f>IFERROR(__xludf.DUMMYFUNCTION("""COMPUTED_VALUE"""),"Pensão Amor")</f>
        <v>Pensão Amor</v>
      </c>
      <c r="D758" s="10" t="str">
        <f>IFERROR(__xludf.DUMMYFUNCTION("""COMPUTED_VALUE"""),"")</f>
        <v/>
      </c>
      <c r="E758" s="10" t="str">
        <f>IFERROR(__xludf.DUMMYFUNCTION("""COMPUTED_VALUE"""),"")</f>
        <v/>
      </c>
      <c r="F758" s="10" t="str">
        <f>IFERROR(__xludf.DUMMYFUNCTION("""COMPUTED_VALUE"""),"2019/11/05 20:00:00")</f>
        <v>2019/11/05 20:00:00</v>
      </c>
      <c r="G758" s="10" t="str">
        <f>IFERROR(__xludf.DUMMYFUNCTION("""COMPUTED_VALUE"""),"2019/11/06 00:00:00")</f>
        <v>2019/11/06 00:00:00</v>
      </c>
      <c r="H758" s="10" t="str">
        <f>IFERROR(__xludf.DUMMYFUNCTION("""COMPUTED_VALUE"""),"7075cce4-33d4-428a-972f-5136454fcaa6")</f>
        <v>7075cce4-33d4-428a-972f-5136454fcaa6</v>
      </c>
      <c r="I758" s="10" t="str">
        <f>IFERROR(__xludf.DUMMYFUNCTION("""COMPUTED_VALUE"""),"7075cce4-33d4-428a-972f-5136454fcaa6")</f>
        <v>7075cce4-33d4-428a-972f-5136454fcaa6</v>
      </c>
    </row>
    <row r="759">
      <c r="A759" s="10" t="str">
        <f>IFERROR(__xludf.DUMMYFUNCTION("""COMPUTED_VALUE"""),"Powering your branded content on Instagram workshop, hosted by Shutterstock")</f>
        <v>Powering your branded content on Instagram workshop, hosted by Shutterstock</v>
      </c>
      <c r="B759" s="10" t="str">
        <f>IFERROR(__xludf.DUMMYFUNCTION("""COMPUTED_VALUE"""),"The rise of photo and video sharing platforms, coupled with decreasing attention spans and budgets, means brands and agencies have struggled to keep up with the production of visual content. How have leading brands, with new technology, streamlined and sc"&amp;"aled their branded visual content production? Join this workshop to learn how to drastically simplify the creative briefing process, while also increasing speed of delivery and reducing costs.
*Please bring a laptop for this workshop")</f>
        <v>The rise of photo and video sharing platforms, coupled with decreasing attention spans and budgets, means brands and agencies have struggled to keep up with the production of visual content. How have leading brands, with new technology, streamlined and scaled their branded visual content production? Join this workshop to learn how to drastically simplify the creative briefing process, while also increasing speed of delivery and reducing costs.
*Please bring a laptop for this workshop</v>
      </c>
      <c r="C759" s="10" t="str">
        <f>IFERROR(__xludf.DUMMYFUNCTION("""COMPUTED_VALUE"""),"Workshop 3")</f>
        <v>Workshop 3</v>
      </c>
      <c r="D759" s="10" t="str">
        <f>IFERROR(__xludf.DUMMYFUNCTION("""COMPUTED_VALUE"""),"Luc Berlin")</f>
        <v>Luc Berlin</v>
      </c>
      <c r="E759" s="10" t="str">
        <f>IFERROR(__xludf.DUMMYFUNCTION("""COMPUTED_VALUE"""),"Luc Berlin")</f>
        <v>Luc Berlin</v>
      </c>
      <c r="F759" s="10" t="str">
        <f>IFERROR(__xludf.DUMMYFUNCTION("""COMPUTED_VALUE"""),"2019/11/06 10:00:00")</f>
        <v>2019/11/06 10:00:00</v>
      </c>
      <c r="G759" s="10" t="str">
        <f>IFERROR(__xludf.DUMMYFUNCTION("""COMPUTED_VALUE"""),"2019/11/06 10:45:00")</f>
        <v>2019/11/06 10:45:00</v>
      </c>
      <c r="H759" s="10" t="str">
        <f>IFERROR(__xludf.DUMMYFUNCTION("""COMPUTED_VALUE"""),"0c02af5d-e8ae-4ecf-b5cb-d253d9e876a6")</f>
        <v>0c02af5d-e8ae-4ecf-b5cb-d253d9e876a6</v>
      </c>
      <c r="I759" s="10" t="str">
        <f>IFERROR(__xludf.DUMMYFUNCTION("""COMPUTED_VALUE"""),"0c02af5d-e8ae-4ecf-b5cb-d253d9e876a6")</f>
        <v>0c02af5d-e8ae-4ecf-b5cb-d253d9e876a6</v>
      </c>
    </row>
    <row r="760">
      <c r="A760" s="10" t="str">
        <f>IFERROR(__xludf.DUMMYFUNCTION("""COMPUTED_VALUE"""),"An introduction to Cisco DevNet for developers, startups and students, hosted by Cisco")</f>
        <v>An introduction to Cisco DevNet for developers, startups and students, hosted by Cisco</v>
      </c>
      <c r="B760" s="10" t="str">
        <f>IFERROR(__xludf.DUMMYFUNCTION("""COMPUTED_VALUE"""),"There's something for everyone in this workshop. Students can explore career opportunities, learning paths and certifications. Startups can discover in-country support and learn how to engage with Cisco partners. Entrepreneurs can find ways to close the g"&amp;"ap between ideas and business solutions. Developers can see real life examples of how partners are using Cisco APIs in their innovative solutions. Come and discover top technology areas, explore our free resources and ask our developer advocates how to ge"&amp;"t started with Cisco DevNet.")</f>
        <v>There's something for everyone in this workshop. Students can explore career opportunities, learning paths and certifications. Startups can discover in-country support and learn how to engage with Cisco partners. Entrepreneurs can find ways to close the gap between ideas and business solutions. Developers can see real life examples of how partners are using Cisco APIs in their innovative solutions. Come and discover top technology areas, explore our free resources and ask our developer advocates how to get started with Cisco DevNet.</v>
      </c>
      <c r="C760" s="10" t="str">
        <f>IFERROR(__xludf.DUMMYFUNCTION("""COMPUTED_VALUE"""),"Workshop 2")</f>
        <v>Workshop 2</v>
      </c>
      <c r="D760" s="10" t="str">
        <f>IFERROR(__xludf.DUMMYFUNCTION("""COMPUTED_VALUE"""),"")</f>
        <v/>
      </c>
      <c r="E760" s="10" t="str">
        <f>IFERROR(__xludf.DUMMYFUNCTION("""COMPUTED_VALUE"""),"")</f>
        <v/>
      </c>
      <c r="F760" s="10" t="str">
        <f>IFERROR(__xludf.DUMMYFUNCTION("""COMPUTED_VALUE"""),"2019/11/06 14:00:00")</f>
        <v>2019/11/06 14:00:00</v>
      </c>
      <c r="G760" s="10" t="str">
        <f>IFERROR(__xludf.DUMMYFUNCTION("""COMPUTED_VALUE"""),"2019/11/06 14:45:00")</f>
        <v>2019/11/06 14:45:00</v>
      </c>
      <c r="H760" s="10" t="str">
        <f>IFERROR(__xludf.DUMMYFUNCTION("""COMPUTED_VALUE"""),"ee457dff-c396-4e84-883d-8fb1f3149639")</f>
        <v>ee457dff-c396-4e84-883d-8fb1f3149639</v>
      </c>
      <c r="I760" s="10" t="str">
        <f>IFERROR(__xludf.DUMMYFUNCTION("""COMPUTED_VALUE"""),"ee457dff-c396-4e84-883d-8fb1f3149639")</f>
        <v>ee457dff-c396-4e84-883d-8fb1f3149639</v>
      </c>
    </row>
    <row r="761">
      <c r="A761" s="10" t="str">
        <f>IFERROR(__xludf.DUMMYFUNCTION("""COMPUTED_VALUE"""),"Q&amp;A with Akon")</f>
        <v>Q&amp;A with Akon</v>
      </c>
      <c r="B761" s="10" t="str">
        <f>IFERROR(__xludf.DUMMYFUNCTION("""COMPUTED_VALUE"""),"")</f>
        <v/>
      </c>
      <c r="C761" s="10" t="str">
        <f>IFERROR(__xludf.DUMMYFUNCTION("""COMPUTED_VALUE"""),"")</f>
        <v/>
      </c>
      <c r="D761" s="10" t="str">
        <f>IFERROR(__xludf.DUMMYFUNCTION("""COMPUTED_VALUE"""),"Akon")</f>
        <v>Akon</v>
      </c>
      <c r="E761" s="10" t="str">
        <f>IFERROR(__xludf.DUMMYFUNCTION("""COMPUTED_VALUE"""),"Akon")</f>
        <v>Akon</v>
      </c>
      <c r="F761" s="10" t="str">
        <f>IFERROR(__xludf.DUMMYFUNCTION("""COMPUTED_VALUE"""),"")</f>
        <v/>
      </c>
      <c r="G761" s="10" t="str">
        <f>IFERROR(__xludf.DUMMYFUNCTION("""COMPUTED_VALUE"""),"")</f>
        <v/>
      </c>
      <c r="H761" s="10" t="str">
        <f>IFERROR(__xludf.DUMMYFUNCTION("""COMPUTED_VALUE"""),"ae2fa0e2-6f72-53cb-9d55-3e17ad474d4a")</f>
        <v>ae2fa0e2-6f72-53cb-9d55-3e17ad474d4a</v>
      </c>
      <c r="I761" s="10" t="str">
        <f>IFERROR(__xludf.DUMMYFUNCTION("""COMPUTED_VALUE"""),"ae2fa0e2-6f72-53cb-9d55-3e17ad474d4a")</f>
        <v>ae2fa0e2-6f72-53cb-9d55-3e17ad474d4a</v>
      </c>
    </row>
    <row r="762">
      <c r="A762" s="10" t="str">
        <f>IFERROR(__xludf.DUMMYFUNCTION("""COMPUTED_VALUE"""),"Eliminate the Noise")</f>
        <v>Eliminate the Noise</v>
      </c>
      <c r="B762" s="10" t="str">
        <f>IFERROR(__xludf.DUMMYFUNCTION("""COMPUTED_VALUE"""),"Vezeeta’s Founder &amp; CEO, Amir Barsoum will be sharing his insights on how to reach independent data-driven rationales and the importance of eliminating noise to reach success.")</f>
        <v>Vezeeta’s Founder &amp; CEO, Amir Barsoum will be sharing his insights on how to reach independent data-driven rationales and the importance of eliminating noise to reach success.</v>
      </c>
      <c r="C762" s="10" t="str">
        <f>IFERROR(__xludf.DUMMYFUNCTION("""COMPUTED_VALUE"""),"Growth Summit")</f>
        <v>Growth Summit</v>
      </c>
      <c r="D762" s="10" t="str">
        <f>IFERROR(__xludf.DUMMYFUNCTION("""COMPUTED_VALUE"""),"Amir Barsoum")</f>
        <v>Amir Barsoum</v>
      </c>
      <c r="E762" s="10" t="str">
        <f>IFERROR(__xludf.DUMMYFUNCTION("""COMPUTED_VALUE"""),"Amir Barsoum")</f>
        <v>Amir Barsoum</v>
      </c>
      <c r="F762" s="10" t="str">
        <f>IFERROR(__xludf.DUMMYFUNCTION("""COMPUTED_VALUE"""),"2019/11/07 14:53:00")</f>
        <v>2019/11/07 14:53:00</v>
      </c>
      <c r="G762" s="10" t="str">
        <f>IFERROR(__xludf.DUMMYFUNCTION("""COMPUTED_VALUE"""),"2019/11/07 15:04:00")</f>
        <v>2019/11/07 15:04:00</v>
      </c>
      <c r="H762" s="10" t="str">
        <f>IFERROR(__xludf.DUMMYFUNCTION("""COMPUTED_VALUE"""),"b216ab08-5bd3-4067-87e3-5756a474a249")</f>
        <v>b216ab08-5bd3-4067-87e3-5756a474a249</v>
      </c>
      <c r="I762" s="10" t="str">
        <f>IFERROR(__xludf.DUMMYFUNCTION("""COMPUTED_VALUE"""),"b216ab08-5bd3-4067-87e3-5756a474a249")</f>
        <v>b216ab08-5bd3-4067-87e3-5756a474a249</v>
      </c>
    </row>
    <row r="763">
      <c r="A763" s="10" t="str">
        <f>IFERROR(__xludf.DUMMYFUNCTION("""COMPUTED_VALUE"""),"AI-based solutions as a driver of growth")</f>
        <v>AI-based solutions as a driver of growth</v>
      </c>
      <c r="B763" s="10" t="str">
        <f>IFERROR(__xludf.DUMMYFUNCTION("""COMPUTED_VALUE"""),"Co-founder and CDO of Pravoved, Olga outlines how her company has achieved a 200% annual growth rate by developing and integrating AI-based solutions. She’ll discuss the benefits of having an in-house AI-based lawyer-assistant, which provides basic legal "&amp;"advice for the company.")</f>
        <v>Co-founder and CDO of Pravoved, Olga outlines how her company has achieved a 200% annual growth rate by developing and integrating AI-based solutions. She’ll discuss the benefits of having an in-house AI-based lawyer-assistant, which provides basic legal advice for the company.</v>
      </c>
      <c r="C763" s="10" t="str">
        <f>IFERROR(__xludf.DUMMYFUNCTION("""COMPUTED_VALUE"""),"Growth Summit")</f>
        <v>Growth Summit</v>
      </c>
      <c r="D763" s="10" t="str">
        <f>IFERROR(__xludf.DUMMYFUNCTION("""COMPUTED_VALUE"""),"Olga Prikhodko")</f>
        <v>Olga Prikhodko</v>
      </c>
      <c r="E763" s="10" t="str">
        <f>IFERROR(__xludf.DUMMYFUNCTION("""COMPUTED_VALUE"""),"Olga Prikhodko")</f>
        <v>Olga Prikhodko</v>
      </c>
      <c r="F763" s="10" t="str">
        <f>IFERROR(__xludf.DUMMYFUNCTION("""COMPUTED_VALUE"""),"2019/11/06 11:14:00")</f>
        <v>2019/11/06 11:14:00</v>
      </c>
      <c r="G763" s="10" t="str">
        <f>IFERROR(__xludf.DUMMYFUNCTION("""COMPUTED_VALUE"""),"2019/11/06 11:18:00")</f>
        <v>2019/11/06 11:18:00</v>
      </c>
      <c r="H763" s="10" t="str">
        <f>IFERROR(__xludf.DUMMYFUNCTION("""COMPUTED_VALUE"""),"186f7796-f9c0-48be-9e46-af21ceb39db1")</f>
        <v>186f7796-f9c0-48be-9e46-af21ceb39db1</v>
      </c>
      <c r="I763" s="10" t="str">
        <f>IFERROR(__xludf.DUMMYFUNCTION("""COMPUTED_VALUE"""),"186f7796-f9c0-48be-9e46-af21ceb39db1")</f>
        <v>186f7796-f9c0-48be-9e46-af21ceb39db1</v>
      </c>
    </row>
    <row r="764">
      <c r="A764" s="10" t="str">
        <f>IFERROR(__xludf.DUMMYFUNCTION("""COMPUTED_VALUE"""),"Opening remarks")</f>
        <v>Opening remarks</v>
      </c>
      <c r="B764" s="10" t="str">
        <f>IFERROR(__xludf.DUMMYFUNCTION("""COMPUTED_VALUE"""),"")</f>
        <v/>
      </c>
      <c r="C764" s="10" t="str">
        <f>IFERROR(__xludf.DUMMYFUNCTION("""COMPUTED_VALUE"""),"creatiff")</f>
        <v>creatiff</v>
      </c>
      <c r="D764" s="10" t="str">
        <f>IFERROR(__xludf.DUMMYFUNCTION("""COMPUTED_VALUE"""),"Sandra Lopes")</f>
        <v>Sandra Lopes</v>
      </c>
      <c r="E764" s="10" t="str">
        <f>IFERROR(__xludf.DUMMYFUNCTION("""COMPUTED_VALUE"""),"Sandra Lopes")</f>
        <v>Sandra Lopes</v>
      </c>
      <c r="F764" s="10" t="str">
        <f>IFERROR(__xludf.DUMMYFUNCTION("""COMPUTED_VALUE"""),"2019/11/05 14:20:00")</f>
        <v>2019/11/05 14:20:00</v>
      </c>
      <c r="G764" s="10" t="str">
        <f>IFERROR(__xludf.DUMMYFUNCTION("""COMPUTED_VALUE"""),"2019/11/05 14:25:00")</f>
        <v>2019/11/05 14:25:00</v>
      </c>
      <c r="H764" s="10" t="str">
        <f>IFERROR(__xludf.DUMMYFUNCTION("""COMPUTED_VALUE"""),"3249c047-573d-44d2-8b55-90cde570f634")</f>
        <v>3249c047-573d-44d2-8b55-90cde570f634</v>
      </c>
      <c r="I764" s="10" t="str">
        <f>IFERROR(__xludf.DUMMYFUNCTION("""COMPUTED_VALUE"""),"3249c047-573d-44d2-8b55-90cde570f634")</f>
        <v>3249c047-573d-44d2-8b55-90cde570f634</v>
      </c>
    </row>
    <row r="765">
      <c r="A765" s="10" t="str">
        <f>IFERROR(__xludf.DUMMYFUNCTION("""COMPUTED_VALUE"""),"Myths and facts: Everyone has an AI story")</f>
        <v>Myths and facts: Everyone has an AI story</v>
      </c>
      <c r="B765" s="10" t="str">
        <f>IFERROR(__xludf.DUMMYFUNCTION("""COMPUTED_VALUE"""),"If the end of hand coding is nigh, where does the future lie? With AI. ")</f>
        <v>If the end of hand coding is nigh, where does the future lie? With AI. </v>
      </c>
      <c r="C765" s="10" t="str">
        <f>IFERROR(__xludf.DUMMYFUNCTION("""COMPUTED_VALUE"""),"SaaS Monster")</f>
        <v>SaaS Monster</v>
      </c>
      <c r="D765" s="10" t="str">
        <f>IFERROR(__xludf.DUMMYFUNCTION("""COMPUTED_VALUE"""),"David Cancel, Sudheesh Nair, Falon Fatemi and Jeremy Kahn")</f>
        <v>David Cancel, Sudheesh Nair, Falon Fatemi and Jeremy Kahn</v>
      </c>
      <c r="E765" s="10" t="str">
        <f>IFERROR(__xludf.DUMMYFUNCTION("""COMPUTED_VALUE"""),"David Cancel,Sudheesh Nair,Falon Fatemi,Jeremy Kahn")</f>
        <v>David Cancel,Sudheesh Nair,Falon Fatemi,Jeremy Kahn</v>
      </c>
      <c r="F765" s="10" t="str">
        <f>IFERROR(__xludf.DUMMYFUNCTION("""COMPUTED_VALUE"""),"2019/11/06 13:40:00")</f>
        <v>2019/11/06 13:40:00</v>
      </c>
      <c r="G765" s="10" t="str">
        <f>IFERROR(__xludf.DUMMYFUNCTION("""COMPUTED_VALUE"""),"2019/11/06 14:00:00")</f>
        <v>2019/11/06 14:00:00</v>
      </c>
      <c r="H765" s="10" t="str">
        <f>IFERROR(__xludf.DUMMYFUNCTION("""COMPUTED_VALUE"""),"a337a32f-0332-4cb1-85f2-e3afa5259bec")</f>
        <v>a337a32f-0332-4cb1-85f2-e3afa5259bec</v>
      </c>
      <c r="I765" s="10" t="str">
        <f>IFERROR(__xludf.DUMMYFUNCTION("""COMPUTED_VALUE"""),"a337a32f-0332-4cb1-85f2-e3afa5259bec")</f>
        <v>a337a32f-0332-4cb1-85f2-e3afa5259bec</v>
      </c>
    </row>
    <row r="766">
      <c r="A766" s="10" t="str">
        <f>IFERROR(__xludf.DUMMYFUNCTION("""COMPUTED_VALUE"""),"Opening remarks")</f>
        <v>Opening remarks</v>
      </c>
      <c r="B766" s="10" t="str">
        <f>IFERROR(__xludf.DUMMYFUNCTION("""COMPUTED_VALUE"""),"")</f>
        <v/>
      </c>
      <c r="C766" s="10" t="str">
        <f>IFERROR(__xludf.DUMMYFUNCTION("""COMPUTED_VALUE"""),"creatiff")</f>
        <v>creatiff</v>
      </c>
      <c r="D766" s="10" t="str">
        <f>IFERROR(__xludf.DUMMYFUNCTION("""COMPUTED_VALUE"""),"Cat How")</f>
        <v>Cat How</v>
      </c>
      <c r="E766" s="10" t="str">
        <f>IFERROR(__xludf.DUMMYFUNCTION("""COMPUTED_VALUE"""),"Cat How")</f>
        <v>Cat How</v>
      </c>
      <c r="F766" s="10" t="str">
        <f>IFERROR(__xludf.DUMMYFUNCTION("""COMPUTED_VALUE"""),"2019/11/05 11:00:00")</f>
        <v>2019/11/05 11:00:00</v>
      </c>
      <c r="G766" s="10" t="str">
        <f>IFERROR(__xludf.DUMMYFUNCTION("""COMPUTED_VALUE"""),"2019/11/05 11:15:00")</f>
        <v>2019/11/05 11:15:00</v>
      </c>
      <c r="H766" s="10" t="str">
        <f>IFERROR(__xludf.DUMMYFUNCTION("""COMPUTED_VALUE"""),"457f714b-695c-43f3-8226-29f0902597d2")</f>
        <v>457f714b-695c-43f3-8226-29f0902597d2</v>
      </c>
      <c r="I766" s="10" t="str">
        <f>IFERROR(__xludf.DUMMYFUNCTION("""COMPUTED_VALUE"""),"457f714b-695c-43f3-8226-29f0902597d2")</f>
        <v>457f714b-695c-43f3-8226-29f0902597d2</v>
      </c>
    </row>
    <row r="767">
      <c r="A767" s="10" t="str">
        <f>IFERROR(__xludf.DUMMYFUNCTION("""COMPUTED_VALUE"""),"Lunch break")</f>
        <v>Lunch break</v>
      </c>
      <c r="B767" s="10" t="str">
        <f>IFERROR(__xludf.DUMMYFUNCTION("""COMPUTED_VALUE"""),"")</f>
        <v/>
      </c>
      <c r="C767" s="10" t="str">
        <f>IFERROR(__xludf.DUMMYFUNCTION("""COMPUTED_VALUE"""),"Modum")</f>
        <v>Modum</v>
      </c>
      <c r="D767" s="10" t="str">
        <f>IFERROR(__xludf.DUMMYFUNCTION("""COMPUTED_VALUE"""),"")</f>
        <v/>
      </c>
      <c r="E767" s="10" t="str">
        <f>IFERROR(__xludf.DUMMYFUNCTION("""COMPUTED_VALUE"""),"")</f>
        <v/>
      </c>
      <c r="F767" s="10" t="str">
        <f>IFERROR(__xludf.DUMMYFUNCTION("""COMPUTED_VALUE"""),"2019/11/07 13:45:00")</f>
        <v>2019/11/07 13:45:00</v>
      </c>
      <c r="G767" s="10" t="str">
        <f>IFERROR(__xludf.DUMMYFUNCTION("""COMPUTED_VALUE"""),"2019/11/07 14:25:00")</f>
        <v>2019/11/07 14:25:00</v>
      </c>
      <c r="H767" s="10" t="str">
        <f>IFERROR(__xludf.DUMMYFUNCTION("""COMPUTED_VALUE"""),"1042baa7-d502-4e56-a154-39bac8cd874e")</f>
        <v>1042baa7-d502-4e56-a154-39bac8cd874e</v>
      </c>
      <c r="I767" s="10" t="str">
        <f>IFERROR(__xludf.DUMMYFUNCTION("""COMPUTED_VALUE"""),"1042baa7-d502-4e56-a154-39bac8cd874e")</f>
        <v>1042baa7-d502-4e56-a154-39bac8cd874e</v>
      </c>
    </row>
    <row r="768">
      <c r="A768" s="10" t="str">
        <f>IFERROR(__xludf.DUMMYFUNCTION("""COMPUTED_VALUE"""),"The business of football")</f>
        <v>The business of football</v>
      </c>
      <c r="B768" s="10" t="str">
        <f>IFERROR(__xludf.DUMMYFUNCTION("""COMPUTED_VALUE"""),"This session offers a 360° view of running a modern football club, as we bring leaders in playing, managing, sports science and administration together to outline what it takes to build success.")</f>
        <v>This session offers a 360° view of running a modern football club, as we bring leaders in playing, managing, sports science and administration together to outline what it takes to build success.</v>
      </c>
      <c r="C768" s="10" t="str">
        <f>IFERROR(__xludf.DUMMYFUNCTION("""COMPUTED_VALUE"""),"SportsTrade")</f>
        <v>SportsTrade</v>
      </c>
      <c r="D768" s="10" t="str">
        <f>IFERROR(__xludf.DUMMYFUNCTION("""COMPUTED_VALUE"""),"Sean O’Connor, José María Cruz, Pascal Chimbonda and Andy Mitten")</f>
        <v>Sean O’Connor, José María Cruz, Pascal Chimbonda and Andy Mitten</v>
      </c>
      <c r="E768" s="10" t="str">
        <f>IFERROR(__xludf.DUMMYFUNCTION("""COMPUTED_VALUE"""),"Sean O’Connor,José María Cruz,Pascal Chimbonda,Andy Mitten")</f>
        <v>Sean O’Connor,José María Cruz,Pascal Chimbonda,Andy Mitten</v>
      </c>
      <c r="F768" s="10" t="str">
        <f>IFERROR(__xludf.DUMMYFUNCTION("""COMPUTED_VALUE"""),"2019/11/05 13:15:00")</f>
        <v>2019/11/05 13:15:00</v>
      </c>
      <c r="G768" s="10" t="str">
        <f>IFERROR(__xludf.DUMMYFUNCTION("""COMPUTED_VALUE"""),"2019/11/05 13:35:00")</f>
        <v>2019/11/05 13:35:00</v>
      </c>
      <c r="H768" s="10" t="str">
        <f>IFERROR(__xludf.DUMMYFUNCTION("""COMPUTED_VALUE"""),"8c203e64-61bb-4e15-baa6-38e051d17d09")</f>
        <v>8c203e64-61bb-4e15-baa6-38e051d17d09</v>
      </c>
      <c r="I768" s="10" t="str">
        <f>IFERROR(__xludf.DUMMYFUNCTION("""COMPUTED_VALUE"""),"8c203e64-61bb-4e15-baa6-38e051d17d09")</f>
        <v>8c203e64-61bb-4e15-baa6-38e051d17d09</v>
      </c>
    </row>
    <row r="769">
      <c r="A769" s="10" t="str">
        <f>IFERROR(__xludf.DUMMYFUNCTION("""COMPUTED_VALUE"""),"Why digitalisation requires new ways for cybersecurity")</f>
        <v>Why digitalisation requires new ways for cybersecurity</v>
      </c>
      <c r="B769" s="10" t="str">
        <f>IFERROR(__xludf.DUMMYFUNCTION("""COMPUTED_VALUE"""),"Digital connectivity is making our lives easier and boosting business competitiveness. At the same time the risks of cyberattacks are increasing as well. They are able to endanger our data, our infrastructures and also our health. But where there are risk"&amp;"s, there are also opportunities. To take advantage of the digital revolution, cybersecurity has to be an integral part of it. Natalia Oropeza, Global Chief Cybersecurity Officer for Siemens, shares vital insights on how to protect critical assets today an"&amp;"d in the future and how to collaborate globally in the field of cybersecurity.")</f>
        <v>Digital connectivity is making our lives easier and boosting business competitiveness. At the same time the risks of cyberattacks are increasing as well. They are able to endanger our data, our infrastructures and also our health. But where there are risks, there are also opportunities. To take advantage of the digital revolution, cybersecurity has to be an integral part of it. Natalia Oropeza, Global Chief Cybersecurity Officer for Siemens, shares vital insights on how to protect critical assets today and in the future and how to collaborate globally in the field of cybersecurity.</v>
      </c>
      <c r="C769" s="24" t="str">
        <f>IFERROR(__xludf.DUMMYFUNCTION("""COMPUTED_VALUE"""),"binate.io")</f>
        <v>binate.io</v>
      </c>
      <c r="D769" s="10" t="str">
        <f>IFERROR(__xludf.DUMMYFUNCTION("""COMPUTED_VALUE"""),"Natalia Oropeza")</f>
        <v>Natalia Oropeza</v>
      </c>
      <c r="E769" s="10" t="str">
        <f>IFERROR(__xludf.DUMMYFUNCTION("""COMPUTED_VALUE"""),"Natalia Oropeza")</f>
        <v>Natalia Oropeza</v>
      </c>
      <c r="F769" s="10" t="str">
        <f>IFERROR(__xludf.DUMMYFUNCTION("""COMPUTED_VALUE"""),"2019/11/06 12:25:00")</f>
        <v>2019/11/06 12:25:00</v>
      </c>
      <c r="G769" s="10" t="str">
        <f>IFERROR(__xludf.DUMMYFUNCTION("""COMPUTED_VALUE"""),"2019/11/06 12:45:00")</f>
        <v>2019/11/06 12:45:00</v>
      </c>
      <c r="H769" s="10" t="str">
        <f>IFERROR(__xludf.DUMMYFUNCTION("""COMPUTED_VALUE"""),"b2a9c498-e4f1-49a0-a2f6-c6da5d3a2240")</f>
        <v>b2a9c498-e4f1-49a0-a2f6-c6da5d3a2240</v>
      </c>
      <c r="I769" s="10" t="str">
        <f>IFERROR(__xludf.DUMMYFUNCTION("""COMPUTED_VALUE"""),"b2a9c498-e4f1-49a0-a2f6-c6da5d3a2240")</f>
        <v>b2a9c498-e4f1-49a0-a2f6-c6da5d3a2240</v>
      </c>
    </row>
    <row r="770">
      <c r="A770" s="10" t="str">
        <f>IFERROR(__xludf.DUMMYFUNCTION("""COMPUTED_VALUE"""),"Immersive entertainment: The next generation")</f>
        <v>Immersive entertainment: The next generation</v>
      </c>
      <c r="B770" s="10" t="str">
        <f>IFERROR(__xludf.DUMMYFUNCTION("""COMPUTED_VALUE"""),"Audiences want more than a good movie - they want a memorable experience. Mike will use examples of the latest technologies and projects, showing how brands and IP owners can unlock exciting new possibilities for audience engagement through immersive ente"&amp;"rtainment.")</f>
        <v>Audiences want more than a good movie - they want a memorable experience. Mike will use examples of the latest technologies and projects, showing how brands and IP owners can unlock exciting new possibilities for audience engagement through immersive entertainment.</v>
      </c>
      <c r="C770" s="10" t="str">
        <f>IFERROR(__xludf.DUMMYFUNCTION("""COMPUTED_VALUE"""),"ContentMakers")</f>
        <v>ContentMakers</v>
      </c>
      <c r="D770" s="10" t="str">
        <f>IFERROR(__xludf.DUMMYFUNCTION("""COMPUTED_VALUE"""),"Mike McGee")</f>
        <v>Mike McGee</v>
      </c>
      <c r="E770" s="10" t="str">
        <f>IFERROR(__xludf.DUMMYFUNCTION("""COMPUTED_VALUE"""),"Mike McGee")</f>
        <v>Mike McGee</v>
      </c>
      <c r="F770" s="10" t="str">
        <f>IFERROR(__xludf.DUMMYFUNCTION("""COMPUTED_VALUE"""),"2019/11/06 13:10:00")</f>
        <v>2019/11/06 13:10:00</v>
      </c>
      <c r="G770" s="10" t="str">
        <f>IFERROR(__xludf.DUMMYFUNCTION("""COMPUTED_VALUE"""),"2019/11/06 13:30:00")</f>
        <v>2019/11/06 13:30:00</v>
      </c>
      <c r="H770" s="10" t="str">
        <f>IFERROR(__xludf.DUMMYFUNCTION("""COMPUTED_VALUE"""),"01a52227-4e40-46fb-ba79-643f48ca2d68")</f>
        <v>01a52227-4e40-46fb-ba79-643f48ca2d68</v>
      </c>
      <c r="I770" s="10" t="str">
        <f>IFERROR(__xludf.DUMMYFUNCTION("""COMPUTED_VALUE"""),"01a52227-4e40-46fb-ba79-643f48ca2d68")</f>
        <v>01a52227-4e40-46fb-ba79-643f48ca2d68</v>
      </c>
    </row>
    <row r="771">
      <c r="A771" s="10" t="str">
        <f>IFERROR(__xludf.DUMMYFUNCTION("""COMPUTED_VALUE"""),"PITCH final")</f>
        <v>PITCH final</v>
      </c>
      <c r="B771" s="10" t="str">
        <f>IFERROR(__xludf.DUMMYFUNCTION("""COMPUTED_VALUE"""),"The finalists of the greatest startup competition in the world take to Centre Stage to battle it out for the title of 2019 PITCH champion.")</f>
        <v>The finalists of the greatest startup competition in the world take to Centre Stage to battle it out for the title of 2019 PITCH champion.</v>
      </c>
      <c r="C771" s="10" t="str">
        <f>IFERROR(__xludf.DUMMYFUNCTION("""COMPUTED_VALUE"""),"Centre Stage")</f>
        <v>Centre Stage</v>
      </c>
      <c r="D771" s="10" t="str">
        <f>IFERROR(__xludf.DUMMYFUNCTION("""COMPUTED_VALUE"""),"Mada Seghete, Bradley Twohig and Paddy Cosgrave")</f>
        <v>Mada Seghete, Bradley Twohig and Paddy Cosgrave</v>
      </c>
      <c r="E771" s="10" t="str">
        <f>IFERROR(__xludf.DUMMYFUNCTION("""COMPUTED_VALUE"""),"Mada Seghete,Bradley Twohig,Paddy Cosgrave")</f>
        <v>Mada Seghete,Bradley Twohig,Paddy Cosgrave</v>
      </c>
      <c r="F771" s="10" t="str">
        <f>IFERROR(__xludf.DUMMYFUNCTION("""COMPUTED_VALUE"""),"2019/11/07 12:30:00")</f>
        <v>2019/11/07 12:30:00</v>
      </c>
      <c r="G771" s="10" t="str">
        <f>IFERROR(__xludf.DUMMYFUNCTION("""COMPUTED_VALUE"""),"2019/11/07 13:00:00")</f>
        <v>2019/11/07 13:00:00</v>
      </c>
      <c r="H771" s="10" t="str">
        <f>IFERROR(__xludf.DUMMYFUNCTION("""COMPUTED_VALUE"""),"a7d9e021-9883-4e4e-ae22-a38b51b80d16")</f>
        <v>a7d9e021-9883-4e4e-ae22-a38b51b80d16</v>
      </c>
      <c r="I771" s="10" t="str">
        <f>IFERROR(__xludf.DUMMYFUNCTION("""COMPUTED_VALUE"""),"a7d9e021-9883-4e4e-ae22-a38b51b80d16")</f>
        <v>a7d9e021-9883-4e4e-ae22-a38b51b80d16</v>
      </c>
    </row>
    <row r="772">
      <c r="A772" s="10" t="str">
        <f>IFERROR(__xludf.DUMMYFUNCTION("""COMPUTED_VALUE"""),"Speed is everything")</f>
        <v>Speed is everything</v>
      </c>
      <c r="B772" s="10" t="str">
        <f>IFERROR(__xludf.DUMMYFUNCTION("""COMPUTED_VALUE"""),"Mode co-founder and CEO, Derek Steer, shares the story of how speed of data played a critical role in Mode’s growth, and how to effectively use data to grow a company.")</f>
        <v>Mode co-founder and CEO, Derek Steer, shares the story of how speed of data played a critical role in Mode’s growth, and how to effectively use data to grow a company.</v>
      </c>
      <c r="C772" s="10" t="str">
        <f>IFERROR(__xludf.DUMMYFUNCTION("""COMPUTED_VALUE"""),"Growth Summit")</f>
        <v>Growth Summit</v>
      </c>
      <c r="D772" s="10" t="str">
        <f>IFERROR(__xludf.DUMMYFUNCTION("""COMPUTED_VALUE"""),"Derek Steer")</f>
        <v>Derek Steer</v>
      </c>
      <c r="E772" s="10" t="str">
        <f>IFERROR(__xludf.DUMMYFUNCTION("""COMPUTED_VALUE"""),"Derek Steer")</f>
        <v>Derek Steer</v>
      </c>
      <c r="F772" s="10" t="str">
        <f>IFERROR(__xludf.DUMMYFUNCTION("""COMPUTED_VALUE"""),"2019/11/05 13:14:00")</f>
        <v>2019/11/05 13:14:00</v>
      </c>
      <c r="G772" s="10" t="str">
        <f>IFERROR(__xludf.DUMMYFUNCTION("""COMPUTED_VALUE"""),"2019/11/05 13:25:00")</f>
        <v>2019/11/05 13:25:00</v>
      </c>
      <c r="H772" s="10" t="str">
        <f>IFERROR(__xludf.DUMMYFUNCTION("""COMPUTED_VALUE"""),"2207ec97-cf58-470f-b289-e71f0210f0c4")</f>
        <v>2207ec97-cf58-470f-b289-e71f0210f0c4</v>
      </c>
      <c r="I772" s="10" t="str">
        <f>IFERROR(__xludf.DUMMYFUNCTION("""COMPUTED_VALUE"""),"2207ec97-cf58-470f-b289-e71f0210f0c4")</f>
        <v>2207ec97-cf58-470f-b289-e71f0210f0c4</v>
      </c>
    </row>
    <row r="773">
      <c r="A773" s="10" t="str">
        <f>IFERROR(__xludf.DUMMYFUNCTION("""COMPUTED_VALUE"""),"Train Station Alcântara Terra")</f>
        <v>Train Station Alcântara Terra</v>
      </c>
      <c r="B773" s="10" t="str">
        <f>IFERROR(__xludf.DUMMYFUNCTION("""COMPUTED_VALUE"""),"")</f>
        <v/>
      </c>
      <c r="C773" s="10" t="str">
        <f>IFERROR(__xludf.DUMMYFUNCTION("""COMPUTED_VALUE"""),"Train Station Alcântara Terra")</f>
        <v>Train Station Alcântara Terra</v>
      </c>
      <c r="D773" s="10" t="str">
        <f>IFERROR(__xludf.DUMMYFUNCTION("""COMPUTED_VALUE"""),"")</f>
        <v/>
      </c>
      <c r="E773" s="10" t="str">
        <f>IFERROR(__xludf.DUMMYFUNCTION("""COMPUTED_VALUE"""),"")</f>
        <v/>
      </c>
      <c r="F773" s="10" t="str">
        <f>IFERROR(__xludf.DUMMYFUNCTION("""COMPUTED_VALUE"""),"2019/11/06 20:01:00")</f>
        <v>2019/11/06 20:01:00</v>
      </c>
      <c r="G773" s="10" t="str">
        <f>IFERROR(__xludf.DUMMYFUNCTION("""COMPUTED_VALUE"""),"2019/11/07 01:59:00")</f>
        <v>2019/11/07 01:59:00</v>
      </c>
      <c r="H773" s="10" t="str">
        <f>IFERROR(__xludf.DUMMYFUNCTION("""COMPUTED_VALUE"""),"003f897b-8f5a-45d1-ba93-ae0b3d77c79e")</f>
        <v>003f897b-8f5a-45d1-ba93-ae0b3d77c79e</v>
      </c>
      <c r="I773" s="10" t="str">
        <f>IFERROR(__xludf.DUMMYFUNCTION("""COMPUTED_VALUE"""),"003f897b-8f5a-45d1-ba93-ae0b3d77c79e")</f>
        <v>003f897b-8f5a-45d1-ba93-ae0b3d77c79e</v>
      </c>
    </row>
    <row r="774">
      <c r="A774" s="10" t="str">
        <f>IFERROR(__xludf.DUMMYFUNCTION("""COMPUTED_VALUE"""),"UN Global Compact SDG Media Zone")</f>
        <v>UN Global Compact SDG Media Zone</v>
      </c>
      <c r="B774" s="10"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774" s="10" t="str">
        <f>IFERROR(__xludf.DUMMYFUNCTION("""COMPUTED_VALUE"""),"UN Global Compact SDG Media Zone, E214, FIL 2")</f>
        <v>UN Global Compact SDG Media Zone, E214, FIL 2</v>
      </c>
      <c r="D774" s="10" t="str">
        <f>IFERROR(__xludf.DUMMYFUNCTION("""COMPUTED_VALUE"""),"")</f>
        <v/>
      </c>
      <c r="E774" s="10" t="str">
        <f>IFERROR(__xludf.DUMMYFUNCTION("""COMPUTED_VALUE"""),"")</f>
        <v/>
      </c>
      <c r="F774" s="10" t="str">
        <f>IFERROR(__xludf.DUMMYFUNCTION("""COMPUTED_VALUE"""),"2019/11/06 10:00:00")</f>
        <v>2019/11/06 10:00:00</v>
      </c>
      <c r="G774" s="10" t="str">
        <f>IFERROR(__xludf.DUMMYFUNCTION("""COMPUTED_VALUE"""),"2019/11/06 16:00:00")</f>
        <v>2019/11/06 16:00:00</v>
      </c>
      <c r="H774" s="10" t="str">
        <f>IFERROR(__xludf.DUMMYFUNCTION("""COMPUTED_VALUE"""),"9344955f-ba8b-4cca-9c37-892a6bd3fd0b")</f>
        <v>9344955f-ba8b-4cca-9c37-892a6bd3fd0b</v>
      </c>
      <c r="I774" s="10" t="str">
        <f>IFERROR(__xludf.DUMMYFUNCTION("""COMPUTED_VALUE"""),"9344955f-ba8b-4cca-9c37-892a6bd3fd0b")</f>
        <v>9344955f-ba8b-4cca-9c37-892a6bd3fd0b</v>
      </c>
    </row>
    <row r="775">
      <c r="A775" s="10" t="str">
        <f>IFERROR(__xludf.DUMMYFUNCTION("""COMPUTED_VALUE"""),"Is your startup really fundable? The hexagon theory of fundraising")</f>
        <v>Is your startup really fundable? The hexagon theory of fundraising</v>
      </c>
      <c r="B775" s="10" t="str">
        <f>IFERROR(__xludf.DUMMYFUNCTION("""COMPUTED_VALUE"""),"Founder and CEO of Show4me Music Interaction Network, Karén, will talk about his own hexagon theory of fundraising and how it helped to close two successful investment rounds for Show4me.")</f>
        <v>Founder and CEO of Show4me Music Interaction Network, Karén, will talk about his own hexagon theory of fundraising and how it helped to close two successful investment rounds for Show4me.</v>
      </c>
      <c r="C775" s="10" t="str">
        <f>IFERROR(__xludf.DUMMYFUNCTION("""COMPUTED_VALUE"""),"Growth Summit")</f>
        <v>Growth Summit</v>
      </c>
      <c r="D775" s="10" t="str">
        <f>IFERROR(__xludf.DUMMYFUNCTION("""COMPUTED_VALUE"""),"Karén Chiftalaryan")</f>
        <v>Karén Chiftalaryan</v>
      </c>
      <c r="E775" s="10" t="str">
        <f>IFERROR(__xludf.DUMMYFUNCTION("""COMPUTED_VALUE"""),"Karén Chiftalaryan")</f>
        <v>Karén Chiftalaryan</v>
      </c>
      <c r="F775" s="10" t="str">
        <f>IFERROR(__xludf.DUMMYFUNCTION("""COMPUTED_VALUE"""),"2019/11/06 10:46:00")</f>
        <v>2019/11/06 10:46:00</v>
      </c>
      <c r="G775" s="10" t="str">
        <f>IFERROR(__xludf.DUMMYFUNCTION("""COMPUTED_VALUE"""),"2019/11/06 10:50:00")</f>
        <v>2019/11/06 10:50:00</v>
      </c>
      <c r="H775" s="10" t="str">
        <f>IFERROR(__xludf.DUMMYFUNCTION("""COMPUTED_VALUE"""),"782a807a-0bdf-40fd-bd63-32551cdfc2e5")</f>
        <v>782a807a-0bdf-40fd-bd63-32551cdfc2e5</v>
      </c>
      <c r="I775" s="10" t="str">
        <f>IFERROR(__xludf.DUMMYFUNCTION("""COMPUTED_VALUE"""),"782a807a-0bdf-40fd-bd63-32551cdfc2e5")</f>
        <v>782a807a-0bdf-40fd-bd63-32551cdfc2e5</v>
      </c>
    </row>
    <row r="776">
      <c r="A776" s="10" t="str">
        <f>IFERROR(__xludf.DUMMYFUNCTION("""COMPUTED_VALUE"""),"Werner Hoyer of the European Investment Bank in conversation")</f>
        <v>Werner Hoyer of the European Investment Bank in conversation</v>
      </c>
      <c r="B776" s="10" t="str">
        <f>IFERROR(__xludf.DUMMYFUNCTION("""COMPUTED_VALUE"""),"The President of one of the world's largest public investment banks Werner Hoyer of the European Investment Bank Group talks about his vision for the future of Europe.")</f>
        <v>The President of one of the world's largest public investment banks Werner Hoyer of the European Investment Bank Group talks about his vision for the future of Europe.</v>
      </c>
      <c r="C776" s="10" t="str">
        <f>IFERROR(__xludf.DUMMYFUNCTION("""COMPUTED_VALUE"""),"Venture stage")</f>
        <v>Venture stage</v>
      </c>
      <c r="D776" s="10" t="str">
        <f>IFERROR(__xludf.DUMMYFUNCTION("""COMPUTED_VALUE"""),"Werner Hoyer and Felix Holtermann")</f>
        <v>Werner Hoyer and Felix Holtermann</v>
      </c>
      <c r="E776" s="10" t="str">
        <f>IFERROR(__xludf.DUMMYFUNCTION("""COMPUTED_VALUE"""),"Werner Hoyer,Felix Holtermann")</f>
        <v>Werner Hoyer,Felix Holtermann</v>
      </c>
      <c r="F776" s="10" t="str">
        <f>IFERROR(__xludf.DUMMYFUNCTION("""COMPUTED_VALUE"""),"2019/11/07 10:45:00")</f>
        <v>2019/11/07 10:45:00</v>
      </c>
      <c r="G776" s="10" t="str">
        <f>IFERROR(__xludf.DUMMYFUNCTION("""COMPUTED_VALUE"""),"2019/11/07 11:10:00")</f>
        <v>2019/11/07 11:10:00</v>
      </c>
      <c r="H776" s="10" t="str">
        <f>IFERROR(__xludf.DUMMYFUNCTION("""COMPUTED_VALUE"""),"c6f626fb-96e4-422c-b456-33d832a4c0f0")</f>
        <v>c6f626fb-96e4-422c-b456-33d832a4c0f0</v>
      </c>
      <c r="I776" s="10" t="str">
        <f>IFERROR(__xludf.DUMMYFUNCTION("""COMPUTED_VALUE"""),"c6f626fb-96e4-422c-b456-33d832a4c0f0")</f>
        <v>c6f626fb-96e4-422c-b456-33d832a4c0f0</v>
      </c>
    </row>
    <row r="777">
      <c r="A777" s="10" t="str">
        <f>IFERROR(__xludf.DUMMYFUNCTION("""COMPUTED_VALUE"""),"Which tech to back tomorrow")</f>
        <v>Which tech to back tomorrow</v>
      </c>
      <c r="B777" s="10" t="str">
        <f>IFERROR(__xludf.DUMMYFUNCTION("""COMPUTED_VALUE"""),"Interested to learn about the new technologies you should invest in? Then this session is for you.")</f>
        <v>Interested to learn about the new technologies you should invest in? Then this session is for you.</v>
      </c>
      <c r="C777" s="10" t="str">
        <f>IFERROR(__xludf.DUMMYFUNCTION("""COMPUTED_VALUE"""),"Venture stage")</f>
        <v>Venture stage</v>
      </c>
      <c r="D777" s="10" t="str">
        <f>IFERROR(__xludf.DUMMYFUNCTION("""COMPUTED_VALUE"""),"Eric Martineau Fortin, Jose Del Barrio, Merav Weinryb, Lars Jornow and Amy Thomson")</f>
        <v>Eric Martineau Fortin, Jose Del Barrio, Merav Weinryb, Lars Jornow and Amy Thomson</v>
      </c>
      <c r="E777" s="10" t="str">
        <f>IFERROR(__xludf.DUMMYFUNCTION("""COMPUTED_VALUE"""),"Eric Martineau Fortin,Jose Del Barrio,Merav Weinryb,Lars Jornow,Amy Thomson")</f>
        <v>Eric Martineau Fortin,Jose Del Barrio,Merav Weinryb,Lars Jornow,Amy Thomson</v>
      </c>
      <c r="F777" s="10" t="str">
        <f>IFERROR(__xludf.DUMMYFUNCTION("""COMPUTED_VALUE"""),"2019/11/06 13:45:00")</f>
        <v>2019/11/06 13:45:00</v>
      </c>
      <c r="G777" s="10" t="str">
        <f>IFERROR(__xludf.DUMMYFUNCTION("""COMPUTED_VALUE"""),"2019/11/06 14:05:00")</f>
        <v>2019/11/06 14:05:00</v>
      </c>
      <c r="H777" s="10" t="str">
        <f>IFERROR(__xludf.DUMMYFUNCTION("""COMPUTED_VALUE"""),"801ea847-c969-49d5-adfb-95d5a10595d7")</f>
        <v>801ea847-c969-49d5-adfb-95d5a10595d7</v>
      </c>
      <c r="I777" s="10" t="str">
        <f>IFERROR(__xludf.DUMMYFUNCTION("""COMPUTED_VALUE"""),"801ea847-c969-49d5-adfb-95d5a10595d7")</f>
        <v>801ea847-c969-49d5-adfb-95d5a10595d7</v>
      </c>
    </row>
    <row r="778">
      <c r="A778" s="10" t="str">
        <f>IFERROR(__xludf.DUMMYFUNCTION("""COMPUTED_VALUE"""),"Evolving a Portuguese icon")</f>
        <v>Evolving a Portuguese icon</v>
      </c>
      <c r="B778" s="10" t="str">
        <f>IFERROR(__xludf.DUMMYFUNCTION("""COMPUTED_VALUE"""),"225 years &amp; counting. Millions of consumers later, we welcome one of Portugal's largest corporations in Jerónimo Martins to share their story on how they became a giant company whilst continually modernising with the times.")</f>
        <v>225 years &amp; counting. Millions of consumers later, we welcome one of Portugal's largest corporations in Jerónimo Martins to share their story on how they became a giant company whilst continually modernising with the times.</v>
      </c>
      <c r="C778" s="10" t="str">
        <f>IFERROR(__xludf.DUMMYFUNCTION("""COMPUTED_VALUE"""),"Corporate Innovation Summit")</f>
        <v>Corporate Innovation Summit</v>
      </c>
      <c r="D778" s="10" t="str">
        <f>IFERROR(__xludf.DUMMYFUNCTION("""COMPUTED_VALUE"""),"André Ribeiro de Faria and Rosália Amorim")</f>
        <v>André Ribeiro de Faria and Rosália Amorim</v>
      </c>
      <c r="E778" s="10" t="str">
        <f>IFERROR(__xludf.DUMMYFUNCTION("""COMPUTED_VALUE"""),"André Ribeiro de Faria,Rosália Amorim")</f>
        <v>André Ribeiro de Faria,Rosália Amorim</v>
      </c>
      <c r="F778" s="10" t="str">
        <f>IFERROR(__xludf.DUMMYFUNCTION("""COMPUTED_VALUE"""),"2019/11/06 14:20:00")</f>
        <v>2019/11/06 14:20:00</v>
      </c>
      <c r="G778" s="10" t="str">
        <f>IFERROR(__xludf.DUMMYFUNCTION("""COMPUTED_VALUE"""),"2019/11/06 14:40:00")</f>
        <v>2019/11/06 14:40:00</v>
      </c>
      <c r="H778" s="10" t="str">
        <f>IFERROR(__xludf.DUMMYFUNCTION("""COMPUTED_VALUE"""),"600802da-6ff9-4459-9077-57dacb3985e1")</f>
        <v>600802da-6ff9-4459-9077-57dacb3985e1</v>
      </c>
      <c r="I778" s="10" t="str">
        <f>IFERROR(__xludf.DUMMYFUNCTION("""COMPUTED_VALUE"""),"600802da-6ff9-4459-9077-57dacb3985e1")</f>
        <v>600802da-6ff9-4459-9077-57dacb3985e1</v>
      </c>
    </row>
    <row r="779">
      <c r="A779" s="10" t="str">
        <f>IFERROR(__xludf.DUMMYFUNCTION("""COMPUTED_VALUE"""),"The will of the people: Why ground support matters")</f>
        <v>The will of the people: Why ground support matters</v>
      </c>
      <c r="B779" s="10" t="str">
        <f>IFERROR(__xludf.DUMMYFUNCTION("""COMPUTED_VALUE"""),"If one Swedish teenager skipping school can do more for sustainability than the biggest branding campaign, who can say which environmental issues will go viral and which will languish in the digital doldrums? This session highlights the role of the global"&amp;" zeitgeist and questions whether anything can be achieved in sustainability without the will of the people.")</f>
        <v>If one Swedish teenager skipping school can do more for sustainability than the biggest branding campaign, who can say which environmental issues will go viral and which will languish in the digital doldrums? This session highlights the role of the global zeitgeist and questions whether anything can be achieved in sustainability without the will of the people.</v>
      </c>
      <c r="C779" s="10" t="str">
        <f>IFERROR(__xludf.DUMMYFUNCTION("""COMPUTED_VALUE"""),"planet:tech ")</f>
        <v>planet:tech </v>
      </c>
      <c r="D779" s="10" t="str">
        <f>IFERROR(__xludf.DUMMYFUNCTION("""COMPUTED_VALUE"""),"Vanessa Wright, Dianna Cohen and Isabel Hilton")</f>
        <v>Vanessa Wright, Dianna Cohen and Isabel Hilton</v>
      </c>
      <c r="E779" s="10" t="str">
        <f>IFERROR(__xludf.DUMMYFUNCTION("""COMPUTED_VALUE"""),"Vanessa Wright,Dianna Cohen,Isabel Hilton")</f>
        <v>Vanessa Wright,Dianna Cohen,Isabel Hilton</v>
      </c>
      <c r="F779" s="10" t="str">
        <f>IFERROR(__xludf.DUMMYFUNCTION("""COMPUTED_VALUE"""),"2019/11/05 12:20:00")</f>
        <v>2019/11/05 12:20:00</v>
      </c>
      <c r="G779" s="10" t="str">
        <f>IFERROR(__xludf.DUMMYFUNCTION("""COMPUTED_VALUE"""),"2019/11/05 12:40:00")</f>
        <v>2019/11/05 12:40:00</v>
      </c>
      <c r="H779" s="10" t="str">
        <f>IFERROR(__xludf.DUMMYFUNCTION("""COMPUTED_VALUE"""),"ac40ee0d-7d6b-4666-8e6b-e529edad2cc1")</f>
        <v>ac40ee0d-7d6b-4666-8e6b-e529edad2cc1</v>
      </c>
      <c r="I779" s="10" t="str">
        <f>IFERROR(__xludf.DUMMYFUNCTION("""COMPUTED_VALUE"""),"ac40ee0d-7d6b-4666-8e6b-e529edad2cc1")</f>
        <v>ac40ee0d-7d6b-4666-8e6b-e529edad2cc1</v>
      </c>
    </row>
    <row r="780">
      <c r="A780" s="10" t="str">
        <f>IFERROR(__xludf.DUMMYFUNCTION("""COMPUTED_VALUE"""),"A two way street: Portugal &amp; the tech world")</f>
        <v>A two way street: Portugal &amp; the tech world</v>
      </c>
      <c r="B780" s="10" t="str">
        <f>IFERROR(__xludf.DUMMYFUNCTION("""COMPUTED_VALUE"""),"As Portugal continues to attract world class tech companies, we take a look at a homegrown Portuguese tech story, and one that began a lot further afield but ended up in Lisbon. ")</f>
        <v>As Portugal continues to attract world class tech companies, we take a look at a homegrown Portuguese tech story, and one that began a lot further afield but ended up in Lisbon. </v>
      </c>
      <c r="C780" s="10" t="str">
        <f>IFERROR(__xludf.DUMMYFUNCTION("""COMPUTED_VALUE"""),"Centre Stage")</f>
        <v>Centre Stage</v>
      </c>
      <c r="D780" s="10" t="str">
        <f>IFERROR(__xludf.DUMMYFUNCTION("""COMPUTED_VALUE"""),"Michelle Zatlyn, Daniela Braga and Filomena Cautela")</f>
        <v>Michelle Zatlyn, Daniela Braga and Filomena Cautela</v>
      </c>
      <c r="E780" s="10" t="str">
        <f>IFERROR(__xludf.DUMMYFUNCTION("""COMPUTED_VALUE"""),"Michelle Zatlyn,Daniela Braga,Filomena Cautela")</f>
        <v>Michelle Zatlyn,Daniela Braga,Filomena Cautela</v>
      </c>
      <c r="F780" s="10" t="str">
        <f>IFERROR(__xludf.DUMMYFUNCTION("""COMPUTED_VALUE"""),"2019/11/04 18:50:00")</f>
        <v>2019/11/04 18:50:00</v>
      </c>
      <c r="G780" s="10" t="str">
        <f>IFERROR(__xludf.DUMMYFUNCTION("""COMPUTED_VALUE"""),"2019/11/04 19:03:00")</f>
        <v>2019/11/04 19:03:00</v>
      </c>
      <c r="H780" s="10" t="str">
        <f>IFERROR(__xludf.DUMMYFUNCTION("""COMPUTED_VALUE"""),"b853c55b-0a49-42a4-a67b-363dc6b95926")</f>
        <v>b853c55b-0a49-42a4-a67b-363dc6b95926</v>
      </c>
      <c r="I780" s="10" t="str">
        <f>IFERROR(__xludf.DUMMYFUNCTION("""COMPUTED_VALUE"""),"b853c55b-0a49-42a4-a67b-363dc6b95926")</f>
        <v>b853c55b-0a49-42a4-a67b-363dc6b95926</v>
      </c>
    </row>
    <row r="781">
      <c r="A781" s="10" t="str">
        <f>IFERROR(__xludf.DUMMYFUNCTION("""COMPUTED_VALUE"""),"What they don't teach you at business school ")</f>
        <v>What they don't teach you at business school </v>
      </c>
      <c r="B781" s="10" t="str">
        <f>IFERROR(__xludf.DUMMYFUNCTION("""COMPUTED_VALUE"""),"With great disruption comes great opportunity, especially for the non-conventional thinker. These speakers have adapted to fast-paced change in business and politics, with or without the official qualifications. Come with questions!")</f>
        <v>With great disruption comes great opportunity, especially for the non-conventional thinker. These speakers have adapted to fast-paced change in business and politics, with or without the official qualifications. Come with questions!</v>
      </c>
      <c r="C781" s="10" t="str">
        <f>IFERROR(__xludf.DUMMYFUNCTION("""COMPUTED_VALUE"""),"Startup University")</f>
        <v>Startup University</v>
      </c>
      <c r="D781" s="10" t="str">
        <f>IFERROR(__xludf.DUMMYFUNCTION("""COMPUTED_VALUE""")," , Vasco Pedro, Carlos Moedas and Anne Gaviola")</f>
        <v> , Vasco Pedro, Carlos Moedas and Anne Gaviola</v>
      </c>
      <c r="E781" s="10" t="str">
        <f>IFERROR(__xludf.DUMMYFUNCTION("""COMPUTED_VALUE""")," ,Vasco Pedro,Carlos Moedas,Anne Gaviola")</f>
        <v> ,Vasco Pedro,Carlos Moedas,Anne Gaviola</v>
      </c>
      <c r="F781" s="10" t="str">
        <f>IFERROR(__xludf.DUMMYFUNCTION("""COMPUTED_VALUE"""),"2019/11/05 11:30:00")</f>
        <v>2019/11/05 11:30:00</v>
      </c>
      <c r="G781" s="10" t="str">
        <f>IFERROR(__xludf.DUMMYFUNCTION("""COMPUTED_VALUE"""),"2019/11/05 11:55:00")</f>
        <v>2019/11/05 11:55:00</v>
      </c>
      <c r="H781" s="10" t="str">
        <f>IFERROR(__xludf.DUMMYFUNCTION("""COMPUTED_VALUE"""),"c947edbc-7a57-4f0a-ad5d-8f67dece348f")</f>
        <v>c947edbc-7a57-4f0a-ad5d-8f67dece348f</v>
      </c>
      <c r="I781" s="10" t="str">
        <f>IFERROR(__xludf.DUMMYFUNCTION("""COMPUTED_VALUE"""),"c947edbc-7a57-4f0a-ad5d-8f67dece348f")</f>
        <v>c947edbc-7a57-4f0a-ad5d-8f67dece348f</v>
      </c>
    </row>
    <row r="782">
      <c r="A782" s="10" t="str">
        <f>IFERROR(__xludf.DUMMYFUNCTION("""COMPUTED_VALUE"""),"Opening remarks")</f>
        <v>Opening remarks</v>
      </c>
      <c r="B782" s="10" t="str">
        <f>IFERROR(__xludf.DUMMYFUNCTION("""COMPUTED_VALUE"""),"")</f>
        <v/>
      </c>
      <c r="C782" s="10" t="str">
        <f>IFERROR(__xludf.DUMMYFUNCTION("""COMPUTED_VALUE"""),"FullSTK")</f>
        <v>FullSTK</v>
      </c>
      <c r="D782" s="10" t="str">
        <f>IFERROR(__xludf.DUMMYFUNCTION("""COMPUTED_VALUE"""),"Yamilette Cano")</f>
        <v>Yamilette Cano</v>
      </c>
      <c r="E782" s="10" t="str">
        <f>IFERROR(__xludf.DUMMYFUNCTION("""COMPUTED_VALUE"""),"Yamilette Cano")</f>
        <v>Yamilette Cano</v>
      </c>
      <c r="F782" s="10" t="str">
        <f>IFERROR(__xludf.DUMMYFUNCTION("""COMPUTED_VALUE"""),"2019/11/07 14:10:00")</f>
        <v>2019/11/07 14:10:00</v>
      </c>
      <c r="G782" s="10" t="str">
        <f>IFERROR(__xludf.DUMMYFUNCTION("""COMPUTED_VALUE"""),"2019/11/07 14:15:00")</f>
        <v>2019/11/07 14:15:00</v>
      </c>
      <c r="H782" s="10" t="str">
        <f>IFERROR(__xludf.DUMMYFUNCTION("""COMPUTED_VALUE"""),"d518dd8a-9c20-4f6f-822d-9e4126cee693")</f>
        <v>d518dd8a-9c20-4f6f-822d-9e4126cee693</v>
      </c>
      <c r="I782" s="10" t="str">
        <f>IFERROR(__xludf.DUMMYFUNCTION("""COMPUTED_VALUE"""),"d518dd8a-9c20-4f6f-822d-9e4126cee693")</f>
        <v>d518dd8a-9c20-4f6f-822d-9e4126cee693</v>
      </c>
    </row>
    <row r="783">
      <c r="A783" s="10" t="str">
        <f>IFERROR(__xludf.DUMMYFUNCTION("""COMPUTED_VALUE"""),"Efficient network monitoring with webhooks, hosted by Cisco")</f>
        <v>Efficient network monitoring with webhooks, hosted by Cisco</v>
      </c>
      <c r="B783" s="10" t="str">
        <f>IFERROR(__xludf.DUMMYFUNCTION("""COMPUTED_VALUE"""),"From ping and syslog to REST and webhooks, join us on a journey through the history of real-time updates for network monitoring. We'll explore how the technologies have changed, and for the better. We'll introduce you to the fundamentals of webhooks, and "&amp;"show you how they can be leveraged to provide real-time observability into the usage and health of Meraki enterprise networks.")</f>
        <v>From ping and syslog to REST and webhooks, join us on a journey through the history of real-time updates for network monitoring. We'll explore how the technologies have changed, and for the better. We'll introduce you to the fundamentals of webhooks, and show you how they can be leveraged to provide real-time observability into the usage and health of Meraki enterprise networks.</v>
      </c>
      <c r="C783" s="10" t="str">
        <f>IFERROR(__xludf.DUMMYFUNCTION("""COMPUTED_VALUE"""),"Workshop 2")</f>
        <v>Workshop 2</v>
      </c>
      <c r="D783" s="10" t="str">
        <f>IFERROR(__xludf.DUMMYFUNCTION("""COMPUTED_VALUE"""),"")</f>
        <v/>
      </c>
      <c r="E783" s="10" t="str">
        <f>IFERROR(__xludf.DUMMYFUNCTION("""COMPUTED_VALUE"""),"")</f>
        <v/>
      </c>
      <c r="F783" s="10" t="str">
        <f>IFERROR(__xludf.DUMMYFUNCTION("""COMPUTED_VALUE"""),"2019/11/06 12:00:00")</f>
        <v>2019/11/06 12:00:00</v>
      </c>
      <c r="G783" s="10" t="str">
        <f>IFERROR(__xludf.DUMMYFUNCTION("""COMPUTED_VALUE"""),"2019/11/06 12:45:00")</f>
        <v>2019/11/06 12:45:00</v>
      </c>
      <c r="H783" s="10" t="str">
        <f>IFERROR(__xludf.DUMMYFUNCTION("""COMPUTED_VALUE"""),"26450786-6a33-44f1-866c-82fe94b373bc")</f>
        <v>26450786-6a33-44f1-866c-82fe94b373bc</v>
      </c>
      <c r="I783" s="10" t="str">
        <f>IFERROR(__xludf.DUMMYFUNCTION("""COMPUTED_VALUE"""),"26450786-6a33-44f1-866c-82fe94b373bc")</f>
        <v>26450786-6a33-44f1-866c-82fe94b373bc</v>
      </c>
    </row>
    <row r="784">
      <c r="A784" s="10" t="str">
        <f>IFERROR(__xludf.DUMMYFUNCTION("""COMPUTED_VALUE"""),"Funding growth through innovation")</f>
        <v>Funding growth through innovation</v>
      </c>
      <c r="B784" s="10" t="str">
        <f>IFERROR(__xludf.DUMMYFUNCTION("""COMPUTED_VALUE"""),"Innovation is the lifeblood of any successful economy. Yet too often companies struggle to adapt from a lack of funding. This next panel brings together world leaders in understanding how to successfully fund high growth companies in order to promote a tr"&amp;"uly innovative economy.")</f>
        <v>Innovation is the lifeblood of any successful economy. Yet too often companies struggle to adapt from a lack of funding. This next panel brings together world leaders in understanding how to successfully fund high growth companies in order to promote a truly innovative economy.</v>
      </c>
      <c r="C784" s="10" t="str">
        <f>IFERROR(__xludf.DUMMYFUNCTION("""COMPUTED_VALUE"""),"Corporate Innovation Summit")</f>
        <v>Corporate Innovation Summit</v>
      </c>
      <c r="D784" s="10" t="str">
        <f>IFERROR(__xludf.DUMMYFUNCTION("""COMPUTED_VALUE"""),"Abdulaziz Bin Nasser Al-Khalifa, Emma Navarro and Nuno Fernandes")</f>
        <v>Abdulaziz Bin Nasser Al-Khalifa, Emma Navarro and Nuno Fernandes</v>
      </c>
      <c r="E784" s="10" t="str">
        <f>IFERROR(__xludf.DUMMYFUNCTION("""COMPUTED_VALUE"""),"Abdulaziz Bin Nasser Al-Khalifa,Emma Navarro,Nuno Fernandes")</f>
        <v>Abdulaziz Bin Nasser Al-Khalifa,Emma Navarro,Nuno Fernandes</v>
      </c>
      <c r="F784" s="10" t="str">
        <f>IFERROR(__xludf.DUMMYFUNCTION("""COMPUTED_VALUE"""),"2019/11/07 15:55:00")</f>
        <v>2019/11/07 15:55:00</v>
      </c>
      <c r="G784" s="10" t="str">
        <f>IFERROR(__xludf.DUMMYFUNCTION("""COMPUTED_VALUE"""),"2019/11/07 16:15:00")</f>
        <v>2019/11/07 16:15:00</v>
      </c>
      <c r="H784" s="10" t="str">
        <f>IFERROR(__xludf.DUMMYFUNCTION("""COMPUTED_VALUE"""),"e2b57d34-ddf4-4726-8d17-476e4dd618c9")</f>
        <v>e2b57d34-ddf4-4726-8d17-476e4dd618c9</v>
      </c>
      <c r="I784" s="10" t="str">
        <f>IFERROR(__xludf.DUMMYFUNCTION("""COMPUTED_VALUE"""),"e2b57d34-ddf4-4726-8d17-476e4dd618c9")</f>
        <v>e2b57d34-ddf4-4726-8d17-476e4dd618c9</v>
      </c>
    </row>
    <row r="785">
      <c r="A785" s="10" t="str">
        <f>IFERROR(__xludf.DUMMYFUNCTION("""COMPUTED_VALUE"""),"PITCH group round 16")</f>
        <v>PITCH group round 16</v>
      </c>
      <c r="B785" s="10" t="str">
        <f>IFERROR(__xludf.DUMMYFUNCTION("""COMPUTED_VALUE"""),"")</f>
        <v/>
      </c>
      <c r="C785" s="10" t="str">
        <f>IFERROR(__xludf.DUMMYFUNCTION("""COMPUTED_VALUE"""),"")</f>
        <v/>
      </c>
      <c r="D785" s="10" t="str">
        <f>IFERROR(__xludf.DUMMYFUNCTION("""COMPUTED_VALUE"""),"Francis Lowry
Malin Holmberg
Anneli Rispens
Miguel Rangel
Mohan Ram
Amer Nasereddin
Ben Moe
Thierry Tacheny
Riccardo Tomassetti
Hubert Guzera
Den Melnykov
MIGUEL REYNOLDS BRANDAO
Niky Achivei")</f>
        <v>Francis Lowry
Malin Holmberg
Anneli Rispens
Miguel Rangel
Mohan Ram
Amer Nasereddin
Ben Moe
Thierry Tacheny
Riccardo Tomassetti
Hubert Guzera
Den Melnykov
MIGUEL REYNOLDS BRANDAO
Niky Achivei</v>
      </c>
      <c r="E785" s="10" t="str">
        <f>IFERROR(__xludf.DUMMYFUNCTION("""COMPUTED_VALUE"""),"Francis Lowry
Malin Holmberg
Anneli Rispens
Miguel Rangel
Mohan Ram
Amer Nasereddin
Ben Moe
Thierry Tacheny
Riccardo Tomassetti
Hubert Guzera
Den Melnykov
MIGUEL REYNOLDS BRANDAO
Niky Achivei")</f>
        <v>Francis Lowry
Malin Holmberg
Anneli Rispens
Miguel Rangel
Mohan Ram
Amer Nasereddin
Ben Moe
Thierry Tacheny
Riccardo Tomassetti
Hubert Guzera
Den Melnykov
MIGUEL REYNOLDS BRANDAO
Niky Achivei</v>
      </c>
      <c r="F785" s="10" t="str">
        <f>IFERROR(__xludf.DUMMYFUNCTION("""COMPUTED_VALUE"""),"")</f>
        <v/>
      </c>
      <c r="G785" s="10" t="str">
        <f>IFERROR(__xludf.DUMMYFUNCTION("""COMPUTED_VALUE"""),"")</f>
        <v/>
      </c>
      <c r="H785" s="10" t="str">
        <f>IFERROR(__xludf.DUMMYFUNCTION("""COMPUTED_VALUE"""),"061b27b2-d325-5949-81e3-89f028eb5468")</f>
        <v>061b27b2-d325-5949-81e3-89f028eb5468</v>
      </c>
      <c r="I785" s="10" t="str">
        <f>IFERROR(__xludf.DUMMYFUNCTION("""COMPUTED_VALUE"""),"061b27b2-d325-5949-81e3-89f028eb5468")</f>
        <v>061b27b2-d325-5949-81e3-89f028eb5468</v>
      </c>
    </row>
    <row r="786">
      <c r="A786" s="10" t="str">
        <f>IFERROR(__xludf.DUMMYFUNCTION("""COMPUTED_VALUE"""),"Startup Showcase")</f>
        <v>Startup Showcase</v>
      </c>
      <c r="B786" s="10" t="str">
        <f>IFERROR(__xludf.DUMMYFUNCTION("""COMPUTED_VALUE"""),"On this brand new stage, expect quickfire presentations where startups will showcase their solutions to the future's biggest challenges. This hour focuses on sustainability &amp; the environment, covering topics like clean energy sources, sustainable business"&amp;" models, and waste reduction.
")</f>
        <v>On this brand new stage, expect quickfire presentations where startups will showcase their solutions to the future's biggest challenges. This hour focuses on sustainability &amp; the environment, covering topics like clean energy sources, sustainable business models, and waste reduction.
</v>
      </c>
      <c r="C786" s="10" t="str">
        <f>IFERROR(__xludf.DUMMYFUNCTION("""COMPUTED_VALUE"""),"Startup Showcase 3")</f>
        <v>Startup Showcase 3</v>
      </c>
      <c r="D786" s="10" t="str">
        <f>IFERROR(__xludf.DUMMYFUNCTION("""COMPUTED_VALUE"""),"Toon Bouten, Jacinto Sa, Antonia Halko, Vinícius T. Sossella, Negar Ekrami, Pablo  Miguel Fernandez Alonso De Lomas, Wim Kamerman, Filip Paunovic, Oleksandr Belchenko, Jon Duo, Felipe Delvan, Sofia Khomutova, Andrew Quartey, Manuel Milliery, Oleksandr Osa"&amp;"dchyi, Desmond Koney, Nelson Scariot Junior, Patrick Fröschl, Sarah Merrick, Alexey Yushin, Greta Cazzaniga, Per Edström, Etienne Koo, Marco Armellino, Alessandro Armillotta, Simone Targetti Ferri, Felix van den Horst, Pedro Sousa, Daniel Dora, Emil Range"&amp;"lov, Boris Banjac, Daniele Dora, Maia Pedro, Aroa Fernandez Alvarez, Nenad Novovic, Tibor Casteleijn, André Costa, Markus Sollner, Iryna Dziuba, Stephanie Thomson, Kay Ibrahimi, Marta Bacêlo, Sean O'Dwyer, Carlos Meza Brena, Rebecca Johnstone, Jucenir Zan"&amp;"atta, Jonas Douin, Emily Kosko, Lynn El KHoury and Antoine Dessart")</f>
        <v>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Lynn El KHoury and Antoine Dessart</v>
      </c>
      <c r="E786" s="10" t="str">
        <f>IFERROR(__xludf.DUMMYFUNCTION("""COMPUTED_VALUE"""),"Toon Bouten,Jacinto Sa,Antonia Halko,Vinícius T. Sossella,Negar Ekrami,Pablo  Miguel Fernandez Alonso De Lomas,Wim Kamerman,Filip Paunovic,Oleksandr Belchenko,Jon Duo,Felipe Delvan,Sofia Khomutova,Andrew Quartey,Manuel Milliery,Oleksandr Osadchyi,Desmond "&amp;"Koney,Nelson Scariot Junior,Patrick Fröschl,Sarah Merrick,Alexey Yushin,Greta Cazzaniga,Per Edström,Etienne Koo,Marco Armellino,Alessandro Armillotta,Simone Targetti Ferri,Felix van den Horst,Pedro Sousa,Daniel Dora,Emil Rangelov,Boris Banjac,Daniele Dora"&amp;",Maia Pedro,Aroa Fernandez Alvarez,Nenad Novovic,Tibor Casteleijn,André Costa,Markus Sollner,Iryna Dziuba,Stephanie Thomson,Kay Ibrahimi,Marta Bacêlo,Sean O'Dwyer,Carlos Meza Brena,Rebecca Johnstone,Jucenir Zanatta,Jonas Douin,Emily Kosko,Lynn El KHoury,A"&amp;"ntoine Dessart")</f>
        <v>Toon Bouten,Jacinto Sa,Antonia Halko,Vinícius T. Sossella,Negar Ekrami,Pablo  Miguel Fernandez Alonso De Lomas,Wim Kamerman,Filip Paunovic,Oleksandr Belchenko,Jon Duo,Felipe Delvan,Sofia Khomutova,Andrew Quartey,Manuel Milliery,Oleksandr Osadchyi,Desmond Koney,Nelson Scariot Junior,Patrick Fröschl,Sarah Merrick,Alexey Yushin,Greta Cazzaniga,Per Edström,Etienne Koo,Marco Armellino,Alessandro Armillotta,Simone Targetti Ferri,Felix van den Horst,Pedro Sousa,Daniel Dora,Emil Rangelov,Boris Banjac,Daniele Dora,Maia Pedro,Aroa Fernandez Alvarez,Nenad Novovic,Tibor Casteleijn,André Costa,Markus Sollner,Iryna Dziuba,Stephanie Thomson,Kay Ibrahimi,Marta Bacêlo,Sean O'Dwyer,Carlos Meza Brena,Rebecca Johnstone,Jucenir Zanatta,Jonas Douin,Emily Kosko,Lynn El KHoury,Antoine Dessart</v>
      </c>
      <c r="F786" s="10" t="str">
        <f>IFERROR(__xludf.DUMMYFUNCTION("""COMPUTED_VALUE"""),"2019/11/06 11:15:00")</f>
        <v>2019/11/06 11:15:00</v>
      </c>
      <c r="G786" s="10" t="str">
        <f>IFERROR(__xludf.DUMMYFUNCTION("""COMPUTED_VALUE"""),"2019/11/06 12:15:00")</f>
        <v>2019/11/06 12:15:00</v>
      </c>
      <c r="H786" s="10" t="str">
        <f>IFERROR(__xludf.DUMMYFUNCTION("""COMPUTED_VALUE"""),"3ea62b0f-affa-4857-b907-eccddf6b0d2a")</f>
        <v>3ea62b0f-affa-4857-b907-eccddf6b0d2a</v>
      </c>
      <c r="I786" s="10" t="str">
        <f>IFERROR(__xludf.DUMMYFUNCTION("""COMPUTED_VALUE"""),"3ea62b0f-affa-4857-b907-eccddf6b0d2a")</f>
        <v>3ea62b0f-affa-4857-b907-eccddf6b0d2a</v>
      </c>
    </row>
    <row r="787">
      <c r="A787" s="10" t="str">
        <f>IFERROR(__xludf.DUMMYFUNCTION("""COMPUTED_VALUE"""),"How to win fans and influence people")</f>
        <v>How to win fans and influence people</v>
      </c>
      <c r="B787" s="10" t="str">
        <f>IFERROR(__xludf.DUMMYFUNCTION("""COMPUTED_VALUE"""),"Influence is a currency in today's society. Building influence can happen from scratch, or stem from success in other endeavours. This session will explore how to build an audience, and once built, how to benefit from it.")</f>
        <v>Influence is a currency in today's society. Building influence can happen from scratch, or stem from success in other endeavours. This session will explore how to build an audience, and once built, how to benefit from it.</v>
      </c>
      <c r="C787" s="10" t="str">
        <f>IFERROR(__xludf.DUMMYFUNCTION("""COMPUTED_VALUE"""),"Centre Stage")</f>
        <v>Centre Stage</v>
      </c>
      <c r="D787" s="10" t="str">
        <f>IFERROR(__xludf.DUMMYFUNCTION("""COMPUTED_VALUE"""),"Caspar Lee, Jessica Ennis-Hill, Ian Somerhalder and Laurie Segall")</f>
        <v>Caspar Lee, Jessica Ennis-Hill, Ian Somerhalder and Laurie Segall</v>
      </c>
      <c r="E787" s="10" t="str">
        <f>IFERROR(__xludf.DUMMYFUNCTION("""COMPUTED_VALUE"""),"Caspar Lee,Jessica Ennis-Hill,Ian Somerhalder,Laurie Segall")</f>
        <v>Caspar Lee,Jessica Ennis-Hill,Ian Somerhalder,Laurie Segall</v>
      </c>
      <c r="F787" s="10" t="str">
        <f>IFERROR(__xludf.DUMMYFUNCTION("""COMPUTED_VALUE"""),"2019/11/05 14:25:00")</f>
        <v>2019/11/05 14:25:00</v>
      </c>
      <c r="G787" s="10" t="str">
        <f>IFERROR(__xludf.DUMMYFUNCTION("""COMPUTED_VALUE"""),"2019/11/05 14:50:00")</f>
        <v>2019/11/05 14:50:00</v>
      </c>
      <c r="H787" s="10" t="str">
        <f>IFERROR(__xludf.DUMMYFUNCTION("""COMPUTED_VALUE"""),"ebcbe4cb-7230-48e1-9876-78144ce2c890")</f>
        <v>ebcbe4cb-7230-48e1-9876-78144ce2c890</v>
      </c>
      <c r="I787" s="10" t="str">
        <f>IFERROR(__xludf.DUMMYFUNCTION("""COMPUTED_VALUE"""),"ebcbe4cb-7230-48e1-9876-78144ce2c890")</f>
        <v>ebcbe4cb-7230-48e1-9876-78144ce2c890</v>
      </c>
    </row>
    <row r="788">
      <c r="A788" s="10" t="str">
        <f>IFERROR(__xludf.DUMMYFUNCTION("""COMPUTED_VALUE"""),"Q&amp;A with Yancey Strickler")</f>
        <v>Q&amp;A with Yancey Strickler</v>
      </c>
      <c r="B788" s="10" t="str">
        <f>IFERROR(__xludf.DUMMYFUNCTION("""COMPUTED_VALUE"""),"")</f>
        <v/>
      </c>
      <c r="C788" s="10" t="str">
        <f>IFERROR(__xludf.DUMMYFUNCTION("""COMPUTED_VALUE"""),"")</f>
        <v/>
      </c>
      <c r="D788" s="10" t="str">
        <f>IFERROR(__xludf.DUMMYFUNCTION("""COMPUTED_VALUE"""),"Yancey Strickler")</f>
        <v>Yancey Strickler</v>
      </c>
      <c r="E788" s="10" t="str">
        <f>IFERROR(__xludf.DUMMYFUNCTION("""COMPUTED_VALUE"""),"Yancey Strickler")</f>
        <v>Yancey Strickler</v>
      </c>
      <c r="F788" s="10" t="str">
        <f>IFERROR(__xludf.DUMMYFUNCTION("""COMPUTED_VALUE"""),"")</f>
        <v/>
      </c>
      <c r="G788" s="10" t="str">
        <f>IFERROR(__xludf.DUMMYFUNCTION("""COMPUTED_VALUE"""),"")</f>
        <v/>
      </c>
      <c r="H788" s="10" t="str">
        <f>IFERROR(__xludf.DUMMYFUNCTION("""COMPUTED_VALUE"""),"5d1d78d3-db0e-5fc6-b633-f34888c95d58")</f>
        <v>5d1d78d3-db0e-5fc6-b633-f34888c95d58</v>
      </c>
      <c r="I788" s="10" t="str">
        <f>IFERROR(__xludf.DUMMYFUNCTION("""COMPUTED_VALUE"""),"5d1d78d3-db0e-5fc6-b633-f34888c95d58")</f>
        <v>5d1d78d3-db0e-5fc6-b633-f34888c95d58</v>
      </c>
    </row>
    <row r="789">
      <c r="A789" s="10" t="str">
        <f>IFERROR(__xludf.DUMMYFUNCTION("""COMPUTED_VALUE"""),"Sex and sexuality in the 21st century")</f>
        <v>Sex and sexuality in the 21st century</v>
      </c>
      <c r="B789" s="10" t="str">
        <f>IFERROR(__xludf.DUMMYFUNCTION("""COMPUTED_VALUE"""),"Our sexuality is at the core of our humanity. Our sexual relations with each other are central to how society is constructed. As technology has advanced so has our understanding of our own sexuality. This session will discuss where our sexuality is going "&amp;"in the future - from our shifting understanding of gender to a more in-depth knowledge of sexual pleasure.")</f>
        <v>Our sexuality is at the core of our humanity. Our sexual relations with each other are central to how society is constructed. As technology has advanced so has our understanding of our own sexuality. This session will discuss where our sexuality is going in the future - from our shifting understanding of gender to a more in-depth knowledge of sexual pleasure.</v>
      </c>
      <c r="C789" s="10" t="str">
        <f>IFERROR(__xludf.DUMMYFUNCTION("""COMPUTED_VALUE"""),"Future Societies")</f>
        <v>Future Societies</v>
      </c>
      <c r="D789" s="10" t="str">
        <f>IFERROR(__xludf.DUMMYFUNCTION("""COMPUTED_VALUE"""),"Peter Tatchell, Stephanie Alys and Steve Clemons")</f>
        <v>Peter Tatchell, Stephanie Alys and Steve Clemons</v>
      </c>
      <c r="E789" s="10" t="str">
        <f>IFERROR(__xludf.DUMMYFUNCTION("""COMPUTED_VALUE"""),"Peter Tatchell,Stephanie Alys,Steve Clemons")</f>
        <v>Peter Tatchell,Stephanie Alys,Steve Clemons</v>
      </c>
      <c r="F789" s="10" t="str">
        <f>IFERROR(__xludf.DUMMYFUNCTION("""COMPUTED_VALUE"""),"2019/11/05 14:50:00")</f>
        <v>2019/11/05 14:50:00</v>
      </c>
      <c r="G789" s="10" t="str">
        <f>IFERROR(__xludf.DUMMYFUNCTION("""COMPUTED_VALUE"""),"2019/11/05 15:15:00")</f>
        <v>2019/11/05 15:15:00</v>
      </c>
      <c r="H789" s="10" t="str">
        <f>IFERROR(__xludf.DUMMYFUNCTION("""COMPUTED_VALUE"""),"837020dd-af3e-43fe-af61-3f16d61ac5bd")</f>
        <v>837020dd-af3e-43fe-af61-3f16d61ac5bd</v>
      </c>
      <c r="I789" s="10" t="str">
        <f>IFERROR(__xludf.DUMMYFUNCTION("""COMPUTED_VALUE"""),"837020dd-af3e-43fe-af61-3f16d61ac5bd")</f>
        <v>837020dd-af3e-43fe-af61-3f16d61ac5bd</v>
      </c>
    </row>
    <row r="790">
      <c r="A790" s="10" t="str">
        <f>IFERROR(__xludf.DUMMYFUNCTION("""COMPUTED_VALUE"""),"Responding to a €50m cyberattack")</f>
        <v>Responding to a €50m cyberattack</v>
      </c>
      <c r="B790" s="10" t="str">
        <f>IFERROR(__xludf.DUMMYFUNCTION("""COMPUTED_VALUE"""),"When malicious hackers disable your business and demand a ransom, should you pay up? Many firms do out of desperation, turning to intermediaries to help broker the deal. But law enforcement says this just makes things worse. This is the story of how globa"&amp;"l aluminium producer, Norsk Hydro, successfully responded to such an attack.")</f>
        <v>When malicious hackers disable your business and demand a ransom, should you pay up? Many firms do out of desperation, turning to intermediaries to help broker the deal. But law enforcement says this just makes things worse. This is the story of how global aluminium producer, Norsk Hydro, successfully responded to such an attack.</v>
      </c>
      <c r="C790" s="10" t="str">
        <f>IFERROR(__xludf.DUMMYFUNCTION("""COMPUTED_VALUE"""),"Corporate Innovation Summit")</f>
        <v>Corporate Innovation Summit</v>
      </c>
      <c r="D790" s="10" t="str">
        <f>IFERROR(__xludf.DUMMYFUNCTION("""COMPUTED_VALUE"""),"Jo De Vliegher")</f>
        <v>Jo De Vliegher</v>
      </c>
      <c r="E790" s="10" t="str">
        <f>IFERROR(__xludf.DUMMYFUNCTION("""COMPUTED_VALUE"""),"Jo De Vliegher")</f>
        <v>Jo De Vliegher</v>
      </c>
      <c r="F790" s="10" t="str">
        <f>IFERROR(__xludf.DUMMYFUNCTION("""COMPUTED_VALUE"""),"2019/11/07 13:45:00")</f>
        <v>2019/11/07 13:45:00</v>
      </c>
      <c r="G790" s="10" t="str">
        <f>IFERROR(__xludf.DUMMYFUNCTION("""COMPUTED_VALUE"""),"2019/11/07 14:00:00")</f>
        <v>2019/11/07 14:00:00</v>
      </c>
      <c r="H790" s="10" t="str">
        <f>IFERROR(__xludf.DUMMYFUNCTION("""COMPUTED_VALUE"""),"cdb13e7c-ed2b-46b7-8994-f87e2e697de8")</f>
        <v>cdb13e7c-ed2b-46b7-8994-f87e2e697de8</v>
      </c>
      <c r="I790" s="10" t="str">
        <f>IFERROR(__xludf.DUMMYFUNCTION("""COMPUTED_VALUE"""),"cdb13e7c-ed2b-46b7-8994-f87e2e697de8")</f>
        <v>cdb13e7c-ed2b-46b7-8994-f87e2e697de8</v>
      </c>
    </row>
    <row r="791">
      <c r="A791" s="10" t="str">
        <f>IFERROR(__xludf.DUMMYFUNCTION("""COMPUTED_VALUE"""),"Fixing the gender imbalance in digital media")</f>
        <v>Fixing the gender imbalance in digital media</v>
      </c>
      <c r="B791" s="10" t="str">
        <f>IFERROR(__xludf.DUMMYFUNCTION("""COMPUTED_VALUE"""),"In an audience-driven content ecosystem, multi-awarded digital channel AJ+ informs and impacts millions across four languages: English, Arabic, Spanish and French. A significant portion of these audiences are women – even in countries where social media u"&amp;"sers are predominantly men. How has AJ+ built its female audiences? How does it stay close and relevant to women amid competitors and cultural differences? For AJ+, diversity and inclusiveness are two sides of the same coin, a coin that makes for better j"&amp;"ournalism and that has made them an innovative, leading force in the industry.")</f>
        <v>In an audience-driven content ecosystem, multi-awarded digital channel AJ+ informs and impacts millions across four languages: English, Arabic, Spanish and French. A significant portion of these audiences are women – even in countries where social media users are predominantly men. How has AJ+ built its female audiences? How does it stay close and relevant to women amid competitors and cultural differences? For AJ+, diversity and inclusiveness are two sides of the same coin, a coin that makes for better journalism and that has made them an innovative, leading force in the industry.</v>
      </c>
      <c r="C791" s="10" t="str">
        <f>IFERROR(__xludf.DUMMYFUNCTION("""COMPUTED_VALUE"""),"ContentMakers")</f>
        <v>ContentMakers</v>
      </c>
      <c r="D791" s="10" t="str">
        <f>IFERROR(__xludf.DUMMYFUNCTION("""COMPUTED_VALUE"""),"Dima Khatib")</f>
        <v>Dima Khatib</v>
      </c>
      <c r="E791" s="10" t="str">
        <f>IFERROR(__xludf.DUMMYFUNCTION("""COMPUTED_VALUE"""),"Dima Khatib")</f>
        <v>Dima Khatib</v>
      </c>
      <c r="F791" s="10" t="str">
        <f>IFERROR(__xludf.DUMMYFUNCTION("""COMPUTED_VALUE"""),"2019/11/06 15:55:00")</f>
        <v>2019/11/06 15:55:00</v>
      </c>
      <c r="G791" s="10" t="str">
        <f>IFERROR(__xludf.DUMMYFUNCTION("""COMPUTED_VALUE"""),"2019/11/06 16:15:00")</f>
        <v>2019/11/06 16:15:00</v>
      </c>
      <c r="H791" s="10" t="str">
        <f>IFERROR(__xludf.DUMMYFUNCTION("""COMPUTED_VALUE"""),"51a0bba4-d437-4989-b612-c262f250c7eb")</f>
        <v>51a0bba4-d437-4989-b612-c262f250c7eb</v>
      </c>
      <c r="I791" s="10" t="str">
        <f>IFERROR(__xludf.DUMMYFUNCTION("""COMPUTED_VALUE"""),"51a0bba4-d437-4989-b612-c262f250c7eb")</f>
        <v>51a0bba4-d437-4989-b612-c262f250c7eb</v>
      </c>
    </row>
    <row r="792">
      <c r="A792" s="10" t="str">
        <f>IFERROR(__xludf.DUMMYFUNCTION("""COMPUTED_VALUE"""),"Registration")</f>
        <v>Registration</v>
      </c>
      <c r="B792" s="10" t="str">
        <f>IFERROR(__xludf.DUMMYFUNCTION("""COMPUTED_VALUE"""),"Register to receive your accreditation at the Altice Arena. Your lanyard and wristband are your passport to Web Summit, so collect them early and enjoy the day’s talks. 
You can register at the Altice Arena &amp; FIL in the main registration area from 8.30"&amp;"am to 5pm.
If you need more information about registration go to websummit.com/essentials/registration. ")</f>
        <v>Register to receive your accreditation at the Altice Arena. Your lanyard and wristband are your passport to Web Summit, so collect them early and enjoy the day’s talks. 
You can register at the Altice Arena &amp; FIL in the main registration area from 8.30am to 5pm.
If you need more information about registration go to websummit.com/essentials/registration. </v>
      </c>
      <c r="C792" s="10" t="str">
        <f>IFERROR(__xludf.DUMMYFUNCTION("""COMPUTED_VALUE"""),"Registration")</f>
        <v>Registration</v>
      </c>
      <c r="D792" s="10" t="str">
        <f>IFERROR(__xludf.DUMMYFUNCTION("""COMPUTED_VALUE"""),"")</f>
        <v/>
      </c>
      <c r="E792" s="10" t="str">
        <f>IFERROR(__xludf.DUMMYFUNCTION("""COMPUTED_VALUE"""),"")</f>
        <v/>
      </c>
      <c r="F792" s="10" t="str">
        <f>IFERROR(__xludf.DUMMYFUNCTION("""COMPUTED_VALUE"""),"2019/11/07 08:30:00")</f>
        <v>2019/11/07 08:30:00</v>
      </c>
      <c r="G792" s="10" t="str">
        <f>IFERROR(__xludf.DUMMYFUNCTION("""COMPUTED_VALUE"""),"2019/11/07 17:00:00")</f>
        <v>2019/11/07 17:00:00</v>
      </c>
      <c r="H792" s="10" t="str">
        <f>IFERROR(__xludf.DUMMYFUNCTION("""COMPUTED_VALUE"""),"016c9ca4-d0c4-4522-a75c-08048f76c16f")</f>
        <v>016c9ca4-d0c4-4522-a75c-08048f76c16f</v>
      </c>
      <c r="I792" s="10" t="str">
        <f>IFERROR(__xludf.DUMMYFUNCTION("""COMPUTED_VALUE"""),"016c9ca4-d0c4-4522-a75c-08048f76c16f")</f>
        <v>016c9ca4-d0c4-4522-a75c-08048f76c16f</v>
      </c>
    </row>
    <row r="793">
      <c r="A793" s="10" t="str">
        <f>IFERROR(__xludf.DUMMYFUNCTION("""COMPUTED_VALUE"""),"Is design thinking overrated? How Garmin survived disruption")</f>
        <v>Is design thinking overrated? How Garmin survived disruption</v>
      </c>
      <c r="B793" s="10" t="str">
        <f>IFERROR(__xludf.DUMMYFUNCTION("""COMPUTED_VALUE"""),"Garmin, a company once synonymous with sat navs, has not only survived disruption but is projected to reach record revenue in 2019. Join Chief Product Architect Wai Lee as he shares his journey of incubating new products, leading internal startups and the"&amp;" role of design at the company; while along the way offering insights that can be applied to any industry.")</f>
        <v>Garmin, a company once synonymous with sat navs, has not only survived disruption but is projected to reach record revenue in 2019. Join Chief Product Architect Wai Lee as he shares his journey of incubating new products, leading internal startups and the role of design at the company; while along the way offering insights that can be applied to any industry.</v>
      </c>
      <c r="C793" s="10" t="str">
        <f>IFERROR(__xludf.DUMMYFUNCTION("""COMPUTED_VALUE"""),"creatiff")</f>
        <v>creatiff</v>
      </c>
      <c r="D793" s="10" t="str">
        <f>IFERROR(__xludf.DUMMYFUNCTION("""COMPUTED_VALUE"""),"Wai Lee")</f>
        <v>Wai Lee</v>
      </c>
      <c r="E793" s="10" t="str">
        <f>IFERROR(__xludf.DUMMYFUNCTION("""COMPUTED_VALUE"""),"Wai Lee")</f>
        <v>Wai Lee</v>
      </c>
      <c r="F793" s="10" t="str">
        <f>IFERROR(__xludf.DUMMYFUNCTION("""COMPUTED_VALUE"""),"2019/11/05 12:25:00")</f>
        <v>2019/11/05 12:25:00</v>
      </c>
      <c r="G793" s="10" t="str">
        <f>IFERROR(__xludf.DUMMYFUNCTION("""COMPUTED_VALUE"""),"2019/11/05 12:45:00")</f>
        <v>2019/11/05 12:45:00</v>
      </c>
      <c r="H793" s="10" t="str">
        <f>IFERROR(__xludf.DUMMYFUNCTION("""COMPUTED_VALUE"""),"bfc4c186-abd3-475d-b5d7-ed59f92d97d2")</f>
        <v>bfc4c186-abd3-475d-b5d7-ed59f92d97d2</v>
      </c>
      <c r="I793" s="10" t="str">
        <f>IFERROR(__xludf.DUMMYFUNCTION("""COMPUTED_VALUE"""),"bfc4c186-abd3-475d-b5d7-ed59f92d97d2")</f>
        <v>bfc4c186-abd3-475d-b5d7-ed59f92d97d2</v>
      </c>
    </row>
    <row r="794">
      <c r="A794" s="10" t="str">
        <f>IFERROR(__xludf.DUMMYFUNCTION("""COMPUTED_VALUE"""),"Four key components: The modern growth marketing strategy")</f>
        <v>Four key components: The modern growth marketing strategy</v>
      </c>
      <c r="B794" s="10" t="str">
        <f>IFERROR(__xludf.DUMMYFUNCTION("""COMPUTED_VALUE"""),"Hear from Singular's COO and co-founder, on how some of the most advanced growth marketing teams like Amazon, Lyft and Airbnb are building out their strategy and how they are turning one of the industry's biggest challenges, data explosion, into one of th"&amp;"eir key competitive advantages.")</f>
        <v>Hear from Singular's COO and co-founder, on how some of the most advanced growth marketing teams like Amazon, Lyft and Airbnb are building out their strategy and how they are turning one of the industry's biggest challenges, data explosion, into one of their key competitive advantages.</v>
      </c>
      <c r="C794" s="10" t="str">
        <f>IFERROR(__xludf.DUMMYFUNCTION("""COMPUTED_VALUE"""),"Growth Summit")</f>
        <v>Growth Summit</v>
      </c>
      <c r="D794" s="10" t="str">
        <f>IFERROR(__xludf.DUMMYFUNCTION("""COMPUTED_VALUE"""),"Susan Kuo")</f>
        <v>Susan Kuo</v>
      </c>
      <c r="E794" s="10" t="str">
        <f>IFERROR(__xludf.DUMMYFUNCTION("""COMPUTED_VALUE"""),"Susan Kuo")</f>
        <v>Susan Kuo</v>
      </c>
      <c r="F794" s="10" t="str">
        <f>IFERROR(__xludf.DUMMYFUNCTION("""COMPUTED_VALUE"""),"2019/11/07 15:04:00")</f>
        <v>2019/11/07 15:04:00</v>
      </c>
      <c r="G794" s="10" t="str">
        <f>IFERROR(__xludf.DUMMYFUNCTION("""COMPUTED_VALUE"""),"2019/11/07 15:15:00")</f>
        <v>2019/11/07 15:15:00</v>
      </c>
      <c r="H794" s="10" t="str">
        <f>IFERROR(__xludf.DUMMYFUNCTION("""COMPUTED_VALUE"""),"5c234518-ff3f-4dcb-ade9-0188febd7d55")</f>
        <v>5c234518-ff3f-4dcb-ade9-0188febd7d55</v>
      </c>
      <c r="I794" s="10" t="str">
        <f>IFERROR(__xludf.DUMMYFUNCTION("""COMPUTED_VALUE"""),"5c234518-ff3f-4dcb-ade9-0188febd7d55")</f>
        <v>5c234518-ff3f-4dcb-ade9-0188febd7d55</v>
      </c>
    </row>
    <row r="795">
      <c r="A795" s="10" t="str">
        <f>IFERROR(__xludf.DUMMYFUNCTION("""COMPUTED_VALUE"""),"Opening remarks")</f>
        <v>Opening remarks</v>
      </c>
      <c r="B795" s="10" t="str">
        <f>IFERROR(__xludf.DUMMYFUNCTION("""COMPUTED_VALUE"""),"")</f>
        <v/>
      </c>
      <c r="C795" s="10" t="str">
        <f>IFERROR(__xludf.DUMMYFUNCTION("""COMPUTED_VALUE"""),"Growth Summit")</f>
        <v>Growth Summit</v>
      </c>
      <c r="D795" s="10" t="str">
        <f>IFERROR(__xludf.DUMMYFUNCTION("""COMPUTED_VALUE"""),"Brendan Yell")</f>
        <v>Brendan Yell</v>
      </c>
      <c r="E795" s="10" t="str">
        <f>IFERROR(__xludf.DUMMYFUNCTION("""COMPUTED_VALUE"""),"Brendan Yell")</f>
        <v>Brendan Yell</v>
      </c>
      <c r="F795" s="10" t="str">
        <f>IFERROR(__xludf.DUMMYFUNCTION("""COMPUTED_VALUE"""),"2019/11/06 12:28:00")</f>
        <v>2019/11/06 12:28:00</v>
      </c>
      <c r="G795" s="10" t="str">
        <f>IFERROR(__xludf.DUMMYFUNCTION("""COMPUTED_VALUE"""),"2019/11/06 12:30:00")</f>
        <v>2019/11/06 12:30:00</v>
      </c>
      <c r="H795" s="10" t="str">
        <f>IFERROR(__xludf.DUMMYFUNCTION("""COMPUTED_VALUE"""),"4052c0c2-50ec-4875-ac66-cf28b2014572")</f>
        <v>4052c0c2-50ec-4875-ac66-cf28b2014572</v>
      </c>
      <c r="I795" s="10" t="str">
        <f>IFERROR(__xludf.DUMMYFUNCTION("""COMPUTED_VALUE"""),"4052c0c2-50ec-4875-ac66-cf28b2014572")</f>
        <v>4052c0c2-50ec-4875-ac66-cf28b2014572</v>
      </c>
    </row>
    <row r="796">
      <c r="A796" s="10" t="str">
        <f>IFERROR(__xludf.DUMMYFUNCTION("""COMPUTED_VALUE"""),"Security and SaaS: Privacy-first culture")</f>
        <v>Security and SaaS: Privacy-first culture</v>
      </c>
      <c r="B796" s="10" t="str">
        <f>IFERROR(__xludf.DUMMYFUNCTION("""COMPUTED_VALUE"""),"A strong and provable security posture is what it takes to do business and to accelerate SaaS sales. Join our speakers for a conversation on when and how SaaS founders can protect their employees, infrastructure and product on the way to the coveted unico"&amp;"rn valuation.")</f>
        <v>A strong and provable security posture is what it takes to do business and to accelerate SaaS sales. Join our speakers for a conversation on when and how SaaS founders can protect their employees, infrastructure and product on the way to the coveted unicorn valuation.</v>
      </c>
      <c r="C796" s="10" t="str">
        <f>IFERROR(__xludf.DUMMYFUNCTION("""COMPUTED_VALUE"""),"SaaS Monster")</f>
        <v>SaaS Monster</v>
      </c>
      <c r="D796" s="10" t="str">
        <f>IFERROR(__xludf.DUMMYFUNCTION("""COMPUTED_VALUE"""),"Calvin French-Owen and Dermot Williams")</f>
        <v>Calvin French-Owen and Dermot Williams</v>
      </c>
      <c r="E796" s="10" t="str">
        <f>IFERROR(__xludf.DUMMYFUNCTION("""COMPUTED_VALUE"""),"Calvin French-Owen,Dermot Williams")</f>
        <v>Calvin French-Owen,Dermot Williams</v>
      </c>
      <c r="F796" s="10" t="str">
        <f>IFERROR(__xludf.DUMMYFUNCTION("""COMPUTED_VALUE"""),"2019/11/06 15:05:00")</f>
        <v>2019/11/06 15:05:00</v>
      </c>
      <c r="G796" s="10" t="str">
        <f>IFERROR(__xludf.DUMMYFUNCTION("""COMPUTED_VALUE"""),"2019/11/06 15:25:00")</f>
        <v>2019/11/06 15:25:00</v>
      </c>
      <c r="H796" s="10" t="str">
        <f>IFERROR(__xludf.DUMMYFUNCTION("""COMPUTED_VALUE"""),"fa77150e-8eb7-4899-9748-0400e23acece")</f>
        <v>fa77150e-8eb7-4899-9748-0400e23acece</v>
      </c>
      <c r="I796" s="10" t="str">
        <f>IFERROR(__xludf.DUMMYFUNCTION("""COMPUTED_VALUE"""),"fa77150e-8eb7-4899-9748-0400e23acece")</f>
        <v>fa77150e-8eb7-4899-9748-0400e23acece</v>
      </c>
    </row>
    <row r="797">
      <c r="A797" s="10" t="str">
        <f>IFERROR(__xludf.DUMMYFUNCTION("""COMPUTED_VALUE"""),"Q+A with Francis Davidson")</f>
        <v>Q+A with Francis Davidson</v>
      </c>
      <c r="B797" s="10" t="str">
        <f>IFERROR(__xludf.DUMMYFUNCTION("""COMPUTED_VALUE"""),"")</f>
        <v/>
      </c>
      <c r="C797" s="10" t="str">
        <f>IFERROR(__xludf.DUMMYFUNCTION("""COMPUTED_VALUE"""),"Q + A")</f>
        <v>Q + A</v>
      </c>
      <c r="D797" s="10" t="str">
        <f>IFERROR(__xludf.DUMMYFUNCTION("""COMPUTED_VALUE"""),"Francis Davidson")</f>
        <v>Francis Davidson</v>
      </c>
      <c r="E797" s="10" t="str">
        <f>IFERROR(__xludf.DUMMYFUNCTION("""COMPUTED_VALUE"""),"Francis Davidson")</f>
        <v>Francis Davidson</v>
      </c>
      <c r="F797" s="10" t="str">
        <f>IFERROR(__xludf.DUMMYFUNCTION("""COMPUTED_VALUE"""),"2019/11/06 12:00:00")</f>
        <v>2019/11/06 12:00:00</v>
      </c>
      <c r="G797" s="10" t="str">
        <f>IFERROR(__xludf.DUMMYFUNCTION("""COMPUTED_VALUE"""),"2019/11/06 12:20:00")</f>
        <v>2019/11/06 12:20:00</v>
      </c>
      <c r="H797" s="10" t="str">
        <f>IFERROR(__xludf.DUMMYFUNCTION("""COMPUTED_VALUE"""),"9bdeee20-e64d-4fba-85cd-d7ea678871df")</f>
        <v>9bdeee20-e64d-4fba-85cd-d7ea678871df</v>
      </c>
      <c r="I797" s="10" t="str">
        <f>IFERROR(__xludf.DUMMYFUNCTION("""COMPUTED_VALUE"""),"9bdeee20-e64d-4fba-85cd-d7ea678871df")</f>
        <v>9bdeee20-e64d-4fba-85cd-d7ea678871df</v>
      </c>
    </row>
    <row r="798">
      <c r="A798" s="10" t="str">
        <f>IFERROR(__xludf.DUMMYFUNCTION("""COMPUTED_VALUE"""),"Timing a revolution in computing at Ayar Labs ")</f>
        <v>Timing a revolution in computing at Ayar Labs </v>
      </c>
      <c r="B798" s="10" t="str">
        <f>IFERROR(__xludf.DUMMYFUNCTION("""COMPUTED_VALUE"""),"Ayar Labs is transforming the computing industry by bringing optical communications inside computers. Co-founder Alex will share how bringing their product to market at the right time, while the computing industry is undergoing a transformation, has made "&amp;"all the difference in attracting customers.")</f>
        <v>Ayar Labs is transforming the computing industry by bringing optical communications inside computers. Co-founder Alex will share how bringing their product to market at the right time, while the computing industry is undergoing a transformation, has made all the difference in attracting customers.</v>
      </c>
      <c r="C798" s="10" t="str">
        <f>IFERROR(__xludf.DUMMYFUNCTION("""COMPUTED_VALUE"""),"Growth Summit")</f>
        <v>Growth Summit</v>
      </c>
      <c r="D798" s="10" t="str">
        <f>IFERROR(__xludf.DUMMYFUNCTION("""COMPUTED_VALUE"""),"Alex Wright-Gladstein")</f>
        <v>Alex Wright-Gladstein</v>
      </c>
      <c r="E798" s="10" t="str">
        <f>IFERROR(__xludf.DUMMYFUNCTION("""COMPUTED_VALUE"""),"Alex Wright-Gladstein")</f>
        <v>Alex Wright-Gladstein</v>
      </c>
      <c r="F798" s="10" t="str">
        <f>IFERROR(__xludf.DUMMYFUNCTION("""COMPUTED_VALUE"""),"2019/11/06 14:31:00")</f>
        <v>2019/11/06 14:31:00</v>
      </c>
      <c r="G798" s="10" t="str">
        <f>IFERROR(__xludf.DUMMYFUNCTION("""COMPUTED_VALUE"""),"2019/11/06 14:42:00")</f>
        <v>2019/11/06 14:42:00</v>
      </c>
      <c r="H798" s="10" t="str">
        <f>IFERROR(__xludf.DUMMYFUNCTION("""COMPUTED_VALUE"""),"21e57548-dbd6-4dc2-ad55-1979ab61a4a8")</f>
        <v>21e57548-dbd6-4dc2-ad55-1979ab61a4a8</v>
      </c>
      <c r="I798" s="10" t="str">
        <f>IFERROR(__xludf.DUMMYFUNCTION("""COMPUTED_VALUE"""),"21e57548-dbd6-4dc2-ad55-1979ab61a4a8")</f>
        <v>21e57548-dbd6-4dc2-ad55-1979ab61a4a8</v>
      </c>
    </row>
    <row r="799">
      <c r="A799" s="10" t="str">
        <f>IFERROR(__xludf.DUMMYFUNCTION("""COMPUTED_VALUE"""),"Join Samsung NEXT to learn how to build, grow, and scale your business")</f>
        <v>Join Samsung NEXT to learn how to build, grow, and scale your business</v>
      </c>
      <c r="B799" s="10"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 ")</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 </v>
      </c>
      <c r="C799" s="10" t="str">
        <f>IFERROR(__xludf.DUMMYFUNCTION("""COMPUTED_VALUE"""),"Samsung NEXT, E130, FIL 1")</f>
        <v>Samsung NEXT, E130, FIL 1</v>
      </c>
      <c r="D799" s="10" t="str">
        <f>IFERROR(__xludf.DUMMYFUNCTION("""COMPUTED_VALUE"""),"")</f>
        <v/>
      </c>
      <c r="E799" s="10" t="str">
        <f>IFERROR(__xludf.DUMMYFUNCTION("""COMPUTED_VALUE"""),"")</f>
        <v/>
      </c>
      <c r="F799" s="10" t="str">
        <f>IFERROR(__xludf.DUMMYFUNCTION("""COMPUTED_VALUE"""),"2019/11/06 10:15:00")</f>
        <v>2019/11/06 10:15:00</v>
      </c>
      <c r="G799" s="10" t="str">
        <f>IFERROR(__xludf.DUMMYFUNCTION("""COMPUTED_VALUE"""),"2019/11/06 16:15:00")</f>
        <v>2019/11/06 16:15:00</v>
      </c>
      <c r="H799" s="10" t="str">
        <f>IFERROR(__xludf.DUMMYFUNCTION("""COMPUTED_VALUE"""),"3eff2ffd-3f80-4c21-b36b-45f6f4199206")</f>
        <v>3eff2ffd-3f80-4c21-b36b-45f6f4199206</v>
      </c>
      <c r="I799" s="10" t="str">
        <f>IFERROR(__xludf.DUMMYFUNCTION("""COMPUTED_VALUE"""),"3eff2ffd-3f80-4c21-b36b-45f6f4199206")</f>
        <v>3eff2ffd-3f80-4c21-b36b-45f6f4199206</v>
      </c>
    </row>
    <row r="800">
      <c r="A800" s="10" t="str">
        <f>IFERROR(__xludf.DUMMYFUNCTION("""COMPUTED_VALUE"""),"Entertainment 2030")</f>
        <v>Entertainment 2030</v>
      </c>
      <c r="B800" s="10" t="str">
        <f>IFERROR(__xludf.DUMMYFUNCTION("""COMPUTED_VALUE"""),"This panel will look at the future of entertainment from gaming and VR to film and music. Find out where new innovations will take us from three industry leaders.")</f>
        <v>This panel will look at the future of entertainment from gaming and VR to film and music. Find out where new innovations will take us from three industry leaders.</v>
      </c>
      <c r="C800" s="10" t="str">
        <f>IFERROR(__xludf.DUMMYFUNCTION("""COMPUTED_VALUE"""),"ContentMakers")</f>
        <v>ContentMakers</v>
      </c>
      <c r="D800" s="10" t="str">
        <f>IFERROR(__xludf.DUMMYFUNCTION("""COMPUTED_VALUE"""),"Tommy Palm, Eugene Chung, José Woldring and Liam Proud")</f>
        <v>Tommy Palm, Eugene Chung, José Woldring and Liam Proud</v>
      </c>
      <c r="E800" s="10" t="str">
        <f>IFERROR(__xludf.DUMMYFUNCTION("""COMPUTED_VALUE"""),"Tommy Palm,Eugene Chung,José Woldring,Liam Proud")</f>
        <v>Tommy Palm,Eugene Chung,José Woldring,Liam Proud</v>
      </c>
      <c r="F800" s="10" t="str">
        <f>IFERROR(__xludf.DUMMYFUNCTION("""COMPUTED_VALUE"""),"2019/11/07 15:20:00")</f>
        <v>2019/11/07 15:20:00</v>
      </c>
      <c r="G800" s="10" t="str">
        <f>IFERROR(__xludf.DUMMYFUNCTION("""COMPUTED_VALUE"""),"2019/11/07 15:40:00")</f>
        <v>2019/11/07 15:40:00</v>
      </c>
      <c r="H800" s="10" t="str">
        <f>IFERROR(__xludf.DUMMYFUNCTION("""COMPUTED_VALUE"""),"b0b3dd2f-1038-4cd8-a954-b0fb385b2dee")</f>
        <v>b0b3dd2f-1038-4cd8-a954-b0fb385b2dee</v>
      </c>
      <c r="I800" s="10" t="str">
        <f>IFERROR(__xludf.DUMMYFUNCTION("""COMPUTED_VALUE"""),"b0b3dd2f-1038-4cd8-a954-b0fb385b2dee")</f>
        <v>b0b3dd2f-1038-4cd8-a954-b0fb385b2dee</v>
      </c>
    </row>
    <row r="801">
      <c r="A801" s="10" t="str">
        <f>IFERROR(__xludf.DUMMYFUNCTION("""COMPUTED_VALUE"""),"Opening remarks")</f>
        <v>Opening remarks</v>
      </c>
      <c r="B801" s="10" t="str">
        <f>IFERROR(__xludf.DUMMYFUNCTION("""COMPUTED_VALUE"""),"")</f>
        <v/>
      </c>
      <c r="C801" s="10" t="str">
        <f>IFERROR(__xludf.DUMMYFUNCTION("""COMPUTED_VALUE"""),"Venture stage")</f>
        <v>Venture stage</v>
      </c>
      <c r="D801" s="10" t="str">
        <f>IFERROR(__xludf.DUMMYFUNCTION("""COMPUTED_VALUE"""),"David Kelnar")</f>
        <v>David Kelnar</v>
      </c>
      <c r="E801" s="10" t="str">
        <f>IFERROR(__xludf.DUMMYFUNCTION("""COMPUTED_VALUE"""),"David Kelnar")</f>
        <v>David Kelnar</v>
      </c>
      <c r="F801" s="10" t="str">
        <f>IFERROR(__xludf.DUMMYFUNCTION("""COMPUTED_VALUE"""),"2019/11/07 10:30:00")</f>
        <v>2019/11/07 10:30:00</v>
      </c>
      <c r="G801" s="10" t="str">
        <f>IFERROR(__xludf.DUMMYFUNCTION("""COMPUTED_VALUE"""),"2019/11/07 10:45:00")</f>
        <v>2019/11/07 10:45:00</v>
      </c>
      <c r="H801" s="10" t="str">
        <f>IFERROR(__xludf.DUMMYFUNCTION("""COMPUTED_VALUE"""),"a08b6371-e0da-4b86-aaa9-1ada21e477a3")</f>
        <v>a08b6371-e0da-4b86-aaa9-1ada21e477a3</v>
      </c>
      <c r="I801" s="10" t="str">
        <f>IFERROR(__xludf.DUMMYFUNCTION("""COMPUTED_VALUE"""),"a08b6371-e0da-4b86-aaa9-1ada21e477a3")</f>
        <v>a08b6371-e0da-4b86-aaa9-1ada21e477a3</v>
      </c>
    </row>
    <row r="802">
      <c r="A802" s="10" t="str">
        <f>IFERROR(__xludf.DUMMYFUNCTION("""COMPUTED_VALUE"""),"Opening remarks")</f>
        <v>Opening remarks</v>
      </c>
      <c r="B802" s="10" t="str">
        <f>IFERROR(__xludf.DUMMYFUNCTION("""COMPUTED_VALUE"""),"")</f>
        <v/>
      </c>
      <c r="C802" s="10" t="str">
        <f>IFERROR(__xludf.DUMMYFUNCTION("""COMPUTED_VALUE"""),"Centre Stage")</f>
        <v>Centre Stage</v>
      </c>
      <c r="D802" s="10" t="str">
        <f>IFERROR(__xludf.DUMMYFUNCTION("""COMPUTED_VALUE"""),"Paddy Cosgrave")</f>
        <v>Paddy Cosgrave</v>
      </c>
      <c r="E802" s="10" t="str">
        <f>IFERROR(__xludf.DUMMYFUNCTION("""COMPUTED_VALUE"""),"Paddy Cosgrave")</f>
        <v>Paddy Cosgrave</v>
      </c>
      <c r="F802" s="10" t="str">
        <f>IFERROR(__xludf.DUMMYFUNCTION("""COMPUTED_VALUE"""),"2019/11/05 13:50:00")</f>
        <v>2019/11/05 13:50:00</v>
      </c>
      <c r="G802" s="10" t="str">
        <f>IFERROR(__xludf.DUMMYFUNCTION("""COMPUTED_VALUE"""),"2019/11/05 14:00:00")</f>
        <v>2019/11/05 14:00:00</v>
      </c>
      <c r="H802" s="10" t="str">
        <f>IFERROR(__xludf.DUMMYFUNCTION("""COMPUTED_VALUE"""),"16886558-af9f-4e02-9596-3585f14d0455")</f>
        <v>16886558-af9f-4e02-9596-3585f14d0455</v>
      </c>
      <c r="I802" s="10" t="str">
        <f>IFERROR(__xludf.DUMMYFUNCTION("""COMPUTED_VALUE"""),"16886558-af9f-4e02-9596-3585f14d0455")</f>
        <v>16886558-af9f-4e02-9596-3585f14d0455</v>
      </c>
    </row>
    <row r="803">
      <c r="A803" s="10" t="str">
        <f>IFERROR(__xludf.DUMMYFUNCTION("""COMPUTED_VALUE"""),"Lunch break")</f>
        <v>Lunch break</v>
      </c>
      <c r="B803" s="10" t="str">
        <f>IFERROR(__xludf.DUMMYFUNCTION("""COMPUTED_VALUE"""),"")</f>
        <v/>
      </c>
      <c r="C803" s="10" t="str">
        <f>IFERROR(__xludf.DUMMYFUNCTION("""COMPUTED_VALUE"""),"Auto/Tech &amp; TalkRobot")</f>
        <v>Auto/Tech &amp; TalkRobot</v>
      </c>
      <c r="D803" s="10" t="str">
        <f>IFERROR(__xludf.DUMMYFUNCTION("""COMPUTED_VALUE"""),"")</f>
        <v/>
      </c>
      <c r="E803" s="10" t="str">
        <f>IFERROR(__xludf.DUMMYFUNCTION("""COMPUTED_VALUE"""),"")</f>
        <v/>
      </c>
      <c r="F803" s="10" t="str">
        <f>IFERROR(__xludf.DUMMYFUNCTION("""COMPUTED_VALUE"""),"2019/11/07 13:15:00")</f>
        <v>2019/11/07 13:15:00</v>
      </c>
      <c r="G803" s="10" t="str">
        <f>IFERROR(__xludf.DUMMYFUNCTION("""COMPUTED_VALUE"""),"2019/11/07 14:00:00")</f>
        <v>2019/11/07 14:00:00</v>
      </c>
      <c r="H803" s="10" t="str">
        <f>IFERROR(__xludf.DUMMYFUNCTION("""COMPUTED_VALUE"""),"2329764e-2047-4a7c-bf60-96b7010adea9")</f>
        <v>2329764e-2047-4a7c-bf60-96b7010adea9</v>
      </c>
      <c r="I803" s="10" t="str">
        <f>IFERROR(__xludf.DUMMYFUNCTION("""COMPUTED_VALUE"""),"2329764e-2047-4a7c-bf60-96b7010adea9")</f>
        <v>2329764e-2047-4a7c-bf60-96b7010adea9</v>
      </c>
    </row>
    <row r="804">
      <c r="A804" s="10" t="str">
        <f>IFERROR(__xludf.DUMMYFUNCTION("""COMPUTED_VALUE"""),"Startup Showcase")</f>
        <v>Startup Showcase</v>
      </c>
      <c r="B804" s="10" t="str">
        <f>IFERROR(__xludf.DUMMYFUNCTION("""COMPUTED_VALUE"""),"On this brand new stage, expect quickfire presentations where startups will showcase their solutions to the future's biggest challenges. This hour focuses on media &amp; communication, covering topics like adtech, marketing products, and journalism platforms;"&amp;" as well as communication-related areas, such as chatbots, messaging platforms, and conversational AI.")</f>
        <v>On this brand new stage, expect quickfire presentations where startups will showcase their solutions to the future's biggest challenges. This hour focuses on media &amp; communication, covering topics like adtech, marketing products, and journalism platforms; as well as communication-related areas, such as chatbots, messaging platforms, and conversational AI.</v>
      </c>
      <c r="C804" s="10" t="str">
        <f>IFERROR(__xludf.DUMMYFUNCTION("""COMPUTED_VALUE"""),"Startup Showcase 3")</f>
        <v>Startup Showcase 3</v>
      </c>
      <c r="D804" s="10" t="str">
        <f>IFERROR(__xludf.DUMMYFUNCTION("""COMPUTED_VALUE"""),"Michael Borisov, Clément CHRISTOL, Shogo Ota, Gionata Poggi, Soliman Abaza, Alexander Pobereznichenko, Nikolai Kharin, Gianfranco Fedele, Ciro Fiorillo, Mehdi Aïda, Oleksandr Lastovskyy, Lisa Wäntig, Aleksei Klabukov, Haris Zacharatos, Paulo D'Alberti, An"&amp;"a Cláudia Laureano de Sousa, Antonio Baccari, Douglas Daniel Elias Santos, Ryo Kikuchi, Shogo Ota, Adam Miziołek, Rinat Shamsiev, Manu Casals, Rosse Gates, Francesco Turri, Sophie BIZOT, Danylo Podhornyy, Elizaveta Uvarova, Alexander Dummett, Ben Moe, Ger"&amp;"gely Dzsida, Dmytro Grechko, Giorgio Barbaglia, Yurii Lipatov, Vladimir Rigenco, Xavier Alabart, Tammam Shaibani, Toka Samir, Omar Perez, Eduardo Gazzinelli, Andrew Hope, Carmine Pappagallo, Bryan colligan, Tom Barnes and Ivan Ivanka")</f>
        <v>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Tom Barnes and Ivan Ivanka</v>
      </c>
      <c r="E804" s="10" t="str">
        <f>IFERROR(__xludf.DUMMYFUNCTION("""COMPUTED_VALUE"""),"Michael Borisov,Clément CHRISTOL,Shogo Ota,Gionata Poggi,Soliman Abaza,Alexander Pobereznichenko,Nikolai Kharin,Gianfranco Fedele,Ciro Fiorillo,Mehdi Aïda,Oleksandr Lastovskyy,Lisa Wäntig,Aleksei Klabukov,Haris Zacharatos,Paulo D'Alberti,Ana Cláudia Laure"&amp;"ano de Sousa,Antonio Baccari,Douglas Daniel Elias Santos,Ryo Kikuchi,Shogo Ota,Adam Miziołek,Rinat Shamsiev,Manu Casals,Rosse Gates,Francesco Turri,Sophie BIZOT,Danylo Podhornyy,Elizaveta Uvarova,Alexander Dummett,Ben Moe,Gergely Dzsida,Dmytro Grechko,Gio"&amp;"rgio Barbaglia,Yurii Lipatov,Vladimir Rigenco,Xavier Alabart,Tammam Shaibani,Toka Samir,Omar Perez,Eduardo Gazzinelli,Andrew Hope,Carmine Pappagallo,Bryan colligan,Tom Barnes,Ivan Ivanka")</f>
        <v>Michael Borisov,Clément CHRISTOL,Shogo Ota,Gionata Poggi,Soliman Abaza,Alexander Pobereznichenko,Nikolai Kharin,Gianfranco Fedele,Ciro Fiorillo,Mehdi Aïda,Oleksandr Lastovskyy,Lisa Wäntig,Aleksei Klabukov,Haris Zacharatos,Paulo D'Alberti,Ana Cláudia Laureano de Sousa,Antonio Baccari,Douglas Daniel Elias Santos,Ryo Kikuchi,Shogo Ota,Adam Miziołek,Rinat Shamsiev,Manu Casals,Rosse Gates,Francesco Turri,Sophie BIZOT,Danylo Podhornyy,Elizaveta Uvarova,Alexander Dummett,Ben Moe,Gergely Dzsida,Dmytro Grechko,Giorgio Barbaglia,Yurii Lipatov,Vladimir Rigenco,Xavier Alabart,Tammam Shaibani,Toka Samir,Omar Perez,Eduardo Gazzinelli,Andrew Hope,Carmine Pappagallo,Bryan colligan,Tom Barnes,Ivan Ivanka</v>
      </c>
      <c r="F804" s="10" t="str">
        <f>IFERROR(__xludf.DUMMYFUNCTION("""COMPUTED_VALUE"""),"2019/11/07 10:15:00")</f>
        <v>2019/11/07 10:15:00</v>
      </c>
      <c r="G804" s="10" t="str">
        <f>IFERROR(__xludf.DUMMYFUNCTION("""COMPUTED_VALUE"""),"2019/11/07 11:15:00")</f>
        <v>2019/11/07 11:15:00</v>
      </c>
      <c r="H804" s="10" t="str">
        <f>IFERROR(__xludf.DUMMYFUNCTION("""COMPUTED_VALUE"""),"284c97d7-3cfe-4a29-bb1c-e3911c144ea4")</f>
        <v>284c97d7-3cfe-4a29-bb1c-e3911c144ea4</v>
      </c>
      <c r="I804" s="10" t="str">
        <f>IFERROR(__xludf.DUMMYFUNCTION("""COMPUTED_VALUE"""),"284c97d7-3cfe-4a29-bb1c-e3911c144ea4")</f>
        <v>284c97d7-3cfe-4a29-bb1c-e3911c144ea4</v>
      </c>
    </row>
    <row r="805">
      <c r="A805" s="10" t="str">
        <f>IFERROR(__xludf.DUMMYFUNCTION("""COMPUTED_VALUE"""),"Society and shareholders: Finding the right balance")</f>
        <v>Society and shareholders: Finding the right balance</v>
      </c>
      <c r="B805" s="10" t="str">
        <f>IFERROR(__xludf.DUMMYFUNCTION("""COMPUTED_VALUE"""),"The recent Business Roundtable statement on the purpose of a company represents a potentially seismic shift in how companies relate to society. Many companies are trending away from focusing purely on return for shareholders to a more socially responsible"&amp;" business model. In this session we will hear from experts across the spectrum about how to find the right balance between profit making and social purpose.")</f>
        <v>The recent Business Roundtable statement on the purpose of a company represents a potentially seismic shift in how companies relate to society. Many companies are trending away from focusing purely on return for shareholders to a more socially responsible business model. In this session we will hear from experts across the spectrum about how to find the right balance between profit making and social purpose.</v>
      </c>
      <c r="C805" s="10" t="str">
        <f>IFERROR(__xludf.DUMMYFUNCTION("""COMPUTED_VALUE"""),"Future Societies")</f>
        <v>Future Societies</v>
      </c>
      <c r="D805" s="10" t="str">
        <f>IFERROR(__xludf.DUMMYFUNCTION("""COMPUTED_VALUE"""),"Franz Heukamp, Natasha Good, Alicia Tillman, Peter Mühlmann and Anie Akpe")</f>
        <v>Franz Heukamp, Natasha Good, Alicia Tillman, Peter Mühlmann and Anie Akpe</v>
      </c>
      <c r="E805" s="10" t="str">
        <f>IFERROR(__xludf.DUMMYFUNCTION("""COMPUTED_VALUE"""),"Franz Heukamp,Natasha Good,Alicia Tillman,Peter Mühlmann,Anie Akpe")</f>
        <v>Franz Heukamp,Natasha Good,Alicia Tillman,Peter Mühlmann,Anie Akpe</v>
      </c>
      <c r="F805" s="10" t="str">
        <f>IFERROR(__xludf.DUMMYFUNCTION("""COMPUTED_VALUE"""),"2019/11/06 11:10:00")</f>
        <v>2019/11/06 11:10:00</v>
      </c>
      <c r="G805" s="10" t="str">
        <f>IFERROR(__xludf.DUMMYFUNCTION("""COMPUTED_VALUE"""),"2019/11/06 11:30:00")</f>
        <v>2019/11/06 11:30:00</v>
      </c>
      <c r="H805" s="10" t="str">
        <f>IFERROR(__xludf.DUMMYFUNCTION("""COMPUTED_VALUE"""),"1b62a93c-63ff-48b0-a029-413e0398df72")</f>
        <v>1b62a93c-63ff-48b0-a029-413e0398df72</v>
      </c>
      <c r="I805" s="10" t="str">
        <f>IFERROR(__xludf.DUMMYFUNCTION("""COMPUTED_VALUE"""),"1b62a93c-63ff-48b0-a029-413e0398df72")</f>
        <v>1b62a93c-63ff-48b0-a029-413e0398df72</v>
      </c>
    </row>
    <row r="806">
      <c r="A806" s="10" t="str">
        <f>IFERROR(__xludf.DUMMYFUNCTION("""COMPUTED_VALUE"""),"Why add a service mesh to your containers?")</f>
        <v>Why add a service mesh to your containers?</v>
      </c>
      <c r="B806" s="10" t="str">
        <f>IFERROR(__xludf.DUMMYFUNCTION("""COMPUTED_VALUE"""),"A service mesh adds new qualities to Kubernetes and other container orchestrations. It connects, secures, observes and controls service invocations in a language agnostic way that doesn't require any code changes. In this session we will explain the value"&amp;" of using microservices and introduce service meshes from the ground up, analyze why it makes sense to use them on top of Kubernetes, and describe how it improves your infrastructure by providing cross-cutting concerns like traffic shifting, error injecti"&amp;"on for chaos engineering or observability.")</f>
        <v>A service mesh adds new qualities to Kubernetes and other container orchestrations. It connects, secures, observes and controls service invocations in a language agnostic way that doesn't require any code changes. In this session we will explain the value of using microservices and introduce service meshes from the ground up, analyze why it makes sense to use them on top of Kubernetes, and describe how it improves your infrastructure by providing cross-cutting concerns like traffic shifting, error injection for chaos engineering or observability.</v>
      </c>
      <c r="C806" s="10" t="str">
        <f>IFERROR(__xludf.DUMMYFUNCTION("""COMPUTED_VALUE"""),"AWS Developer Workshops")</f>
        <v>AWS Developer Workshops</v>
      </c>
      <c r="D806" s="10" t="str">
        <f>IFERROR(__xludf.DUMMYFUNCTION("""COMPUTED_VALUE"""),"")</f>
        <v/>
      </c>
      <c r="E806" s="10" t="str">
        <f>IFERROR(__xludf.DUMMYFUNCTION("""COMPUTED_VALUE"""),"")</f>
        <v/>
      </c>
      <c r="F806" s="10" t="str">
        <f>IFERROR(__xludf.DUMMYFUNCTION("""COMPUTED_VALUE"""),"2019/11/07 13:00:00")</f>
        <v>2019/11/07 13:00:00</v>
      </c>
      <c r="G806" s="10" t="str">
        <f>IFERROR(__xludf.DUMMYFUNCTION("""COMPUTED_VALUE"""),"2019/11/07 13:50:00")</f>
        <v>2019/11/07 13:50:00</v>
      </c>
      <c r="H806" s="10" t="str">
        <f>IFERROR(__xludf.DUMMYFUNCTION("""COMPUTED_VALUE"""),"467b9d46-f461-4c8d-a4bf-1ec4673e2ebe")</f>
        <v>467b9d46-f461-4c8d-a4bf-1ec4673e2ebe</v>
      </c>
      <c r="I806" s="10" t="str">
        <f>IFERROR(__xludf.DUMMYFUNCTION("""COMPUTED_VALUE"""),"467b9d46-f461-4c8d-a4bf-1ec4673e2ebe")</f>
        <v>467b9d46-f461-4c8d-a4bf-1ec4673e2ebe</v>
      </c>
    </row>
    <row r="807">
      <c r="A807" s="10" t="str">
        <f>IFERROR(__xludf.DUMMYFUNCTION("""COMPUTED_VALUE"""),"Neither blue nor red: Pink ocean")</f>
        <v>Neither blue nor red: Pink ocean</v>
      </c>
      <c r="B807" s="10" t="str">
        <f>IFERROR(__xludf.DUMMYFUNCTION("""COMPUTED_VALUE"""),"How has Bnext (the Spanish leader neobank) reached 300k users in just 18 months? The way they grew was by choosing an out of the ordinary strategy in the banking and fintech sector, and WOM is key in every single thing they’ve done.")</f>
        <v>How has Bnext (the Spanish leader neobank) reached 300k users in just 18 months? The way they grew was by choosing an out of the ordinary strategy in the banking and fintech sector, and WOM is key in every single thing they’ve done.</v>
      </c>
      <c r="C807" s="10" t="str">
        <f>IFERROR(__xludf.DUMMYFUNCTION("""COMPUTED_VALUE"""),"Growth Summit")</f>
        <v>Growth Summit</v>
      </c>
      <c r="D807" s="10" t="str">
        <f>IFERROR(__xludf.DUMMYFUNCTION("""COMPUTED_VALUE"""),"Guillermo Vicandi")</f>
        <v>Guillermo Vicandi</v>
      </c>
      <c r="E807" s="10" t="str">
        <f>IFERROR(__xludf.DUMMYFUNCTION("""COMPUTED_VALUE"""),"Guillermo Vicandi")</f>
        <v>Guillermo Vicandi</v>
      </c>
      <c r="F807" s="10" t="str">
        <f>IFERROR(__xludf.DUMMYFUNCTION("""COMPUTED_VALUE"""),"2019/11/07 11:14:00")</f>
        <v>2019/11/07 11:14:00</v>
      </c>
      <c r="G807" s="10" t="str">
        <f>IFERROR(__xludf.DUMMYFUNCTION("""COMPUTED_VALUE"""),"2019/11/07 11:18:00")</f>
        <v>2019/11/07 11:18:00</v>
      </c>
      <c r="H807" s="10" t="str">
        <f>IFERROR(__xludf.DUMMYFUNCTION("""COMPUTED_VALUE"""),"f67cd1c6-5d17-469f-91f0-6f11195e690b")</f>
        <v>f67cd1c6-5d17-469f-91f0-6f11195e690b</v>
      </c>
      <c r="I807" s="10" t="str">
        <f>IFERROR(__xludf.DUMMYFUNCTION("""COMPUTED_VALUE"""),"f67cd1c6-5d17-469f-91f0-6f11195e690b")</f>
        <v>f67cd1c6-5d17-469f-91f0-6f11195e690b</v>
      </c>
    </row>
    <row r="808">
      <c r="A808" s="10" t="str">
        <f>IFERROR(__xludf.DUMMYFUNCTION("""COMPUTED_VALUE"""),"Putting the ""justice"" in criminal justice reform")</f>
        <v>Putting the "justice" in criminal justice reform</v>
      </c>
      <c r="B808" s="10" t="str">
        <f>IFERROR(__xludf.DUMMYFUNCTION("""COMPUTED_VALUE"""),"Increasing prison populations, a growth in recidivism, and the explosion of private prisons have all contributed to the crisis in criminal justice, especially in the US. This panel will attempt to figure out how we can make the system fair again and put t"&amp;"he justice back into criminal justice.")</f>
        <v>Increasing prison populations, a growth in recidivism, and the explosion of private prisons have all contributed to the crisis in criminal justice, especially in the US. This panel will attempt to figure out how we can make the system fair again and put the justice back into criminal justice.</v>
      </c>
      <c r="C808" s="10" t="str">
        <f>IFERROR(__xludf.DUMMYFUNCTION("""COMPUTED_VALUE"""),"Future Societies")</f>
        <v>Future Societies</v>
      </c>
      <c r="D808" s="10" t="str">
        <f>IFERROR(__xludf.DUMMYFUNCTION("""COMPUTED_VALUE"""),"Daniel Yanisse, Julia Salasky and James Ball")</f>
        <v>Daniel Yanisse, Julia Salasky and James Ball</v>
      </c>
      <c r="E808" s="10" t="str">
        <f>IFERROR(__xludf.DUMMYFUNCTION("""COMPUTED_VALUE"""),"Daniel Yanisse,Julia Salasky,James Ball")</f>
        <v>Daniel Yanisse,Julia Salasky,James Ball</v>
      </c>
      <c r="F808" s="10" t="str">
        <f>IFERROR(__xludf.DUMMYFUNCTION("""COMPUTED_VALUE"""),"2019/11/07 14:40:00")</f>
        <v>2019/11/07 14:40:00</v>
      </c>
      <c r="G808" s="10" t="str">
        <f>IFERROR(__xludf.DUMMYFUNCTION("""COMPUTED_VALUE"""),"2019/11/07 15:00:00")</f>
        <v>2019/11/07 15:00:00</v>
      </c>
      <c r="H808" s="10" t="str">
        <f>IFERROR(__xludf.DUMMYFUNCTION("""COMPUTED_VALUE"""),"55919ada-7139-47a7-8c18-1b580f1fcd81")</f>
        <v>55919ada-7139-47a7-8c18-1b580f1fcd81</v>
      </c>
      <c r="I808" s="10" t="str">
        <f>IFERROR(__xludf.DUMMYFUNCTION("""COMPUTED_VALUE"""),"55919ada-7139-47a7-8c18-1b580f1fcd81")</f>
        <v>55919ada-7139-47a7-8c18-1b580f1fcd81</v>
      </c>
    </row>
    <row r="809">
      <c r="A809" s="10" t="str">
        <f>IFERROR(__xludf.DUMMYFUNCTION("""COMPUTED_VALUE"""),"Startup Showcase")</f>
        <v>Startup Showcase</v>
      </c>
      <c r="B809" s="10" t="str">
        <f>IFERROR(__xludf.DUMMYFUNCTION("""COMPUTED_VALUE"""),"On this brand new stage, expect quickfire presentations where startups will showcase their solutions to the future's biggest challenges. This hour focuses on the future of retail, covering topics like customer engagement, personalised shopping experiences"&amp;", interactive retail, and ecommerce infrastructure.
")</f>
        <v>On this brand new stage, expect quickfire presentations where startups will showcase their solutions to the future's biggest challenges. This hour focuses on the future of retail, covering topics like customer engagement, personalised shopping experiences, interactive retail, and ecommerce infrastructure.
</v>
      </c>
      <c r="C809" s="10" t="str">
        <f>IFERROR(__xludf.DUMMYFUNCTION("""COMPUTED_VALUE"""),"Startup Showcase 3")</f>
        <v>Startup Showcase 3</v>
      </c>
      <c r="D809" s="10" t="str">
        <f>IFERROR(__xludf.DUMMYFUNCTION("""COMPUTED_VALUE"""),"Lais de Oliveira, André Borges, Alexey Chekhvalov, Sothea Nim, Eduardo Ide, Karim Boukarabila, Massimiliano Meneghello, Carolina Albarran, Tiago Baptista, Carolina Delfini Junqueira Franco, Pedro Marques, Stephan Zimmermann, Giovanna Weiss, SALIM ZAKHOUR,"&amp;" Guy Reiffers, Alexey Kobzev, Pedro Alves, Peter Horvath, ROMUALDO LOPES, Jakub Minks, Yury Shishkin, Ralph Haddad, Gabriella Weiss, Maria Clara Limoncic, Sergey Bannykh, Lynn Healy-Goulet, DANIEL BRAGA, Philippe Tarrare, Kevin Houle, Giovanni Spiller, Vi"&amp;"ncent Dethier, Georgy Gorgonov, Pavel Boyko, A. Kieran Gale, Klaus-Dieter Feld, João Lee, Shelmaa Oubari, Alex Chekhvalov, Vitaly Klimov, Maria Kahale, Valter Costa, Juan Carrillo, Yevhenii Derkach, Dipen Panchal, Lucas Malanda, Miguel Costa, Svetlana Pan"&amp;"chenko, Francesco Pio Fiorito, SHADY BOU AKL and Fernando Luca de Tena Smith")</f>
        <v>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SHADY BOU AKL and Fernando Luca de Tena Smith</v>
      </c>
      <c r="E809" s="10" t="str">
        <f>IFERROR(__xludf.DUMMYFUNCTION("""COMPUTED_VALUE"""),"Lais de Oliveira,André Borges,Alexey Chekhvalov,Sothea Nim,Eduardo Ide,Karim Boukarabila,Massimiliano Meneghello,Carolina Albarran,Tiago Baptista,Carolina Delfini Junqueira Franco,Pedro Marques,Stephan Zimmermann,Giovanna Weiss,SALIM ZAKHOUR,Guy Reiffers,"&amp;"Alexey Kobzev,Pedro Alves,Peter Horvath,ROMUALDO LOPES,Jakub Minks,Yury Shishkin,Ralph Haddad,Gabriella Weiss,Maria Clara Limoncic,Sergey Bannykh,Lynn Healy-Goulet,DANIEL BRAGA,Philippe Tarrare,Kevin Houle,Giovanni Spiller,Vincent Dethier,Georgy Gorgonov,"&amp;"Pavel Boyko,A. Kieran Gale,Klaus-Dieter Feld,João Lee,Shelmaa Oubari,Alex Chekhvalov,Vitaly Klimov,Maria Kahale,Valter Costa,Juan Carrillo,Yevhenii Derkach,Dipen Panchal,Lucas Malanda,Miguel Costa,Svetlana Panchenko,Francesco Pio Fiorito,SHADY BOU AKL,Fer"&amp;"nando Luca de Tena Smith")</f>
        <v>Lais de Oliveira,André Borges,Alexey Chekhvalov,Sothea Nim,Eduardo Ide,Karim Boukarabila,Massimiliano Meneghello,Carolina Albarran,Tiago Baptista,Carolina Delfini Junqueira Franco,Pedro Marques,Stephan Zimmermann,Giovanna Weiss,SALIM ZAKHOUR,Guy Reiffers,Alexey Kobzev,Pedro Alves,Peter Horvath,ROMUALDO LOPES,Jakub Minks,Yury Shishkin,Ralph Haddad,Gabriella Weiss,Maria Clara Limoncic,Sergey Bannykh,Lynn Healy-Goulet,DANIEL BRAGA,Philippe Tarrare,Kevin Houle,Giovanni Spiller,Vincent Dethier,Georgy Gorgonov,Pavel Boyko,A. Kieran Gale,Klaus-Dieter Feld,João Lee,Shelmaa Oubari,Alex Chekhvalov,Vitaly Klimov,Maria Kahale,Valter Costa,Juan Carrillo,Yevhenii Derkach,Dipen Panchal,Lucas Malanda,Miguel Costa,Svetlana Panchenko,Francesco Pio Fiorito,SHADY BOU AKL,Fernando Luca de Tena Smith</v>
      </c>
      <c r="F809" s="10" t="str">
        <f>IFERROR(__xludf.DUMMYFUNCTION("""COMPUTED_VALUE"""),"2019/11/06 14:15:00")</f>
        <v>2019/11/06 14:15:00</v>
      </c>
      <c r="G809" s="10" t="str">
        <f>IFERROR(__xludf.DUMMYFUNCTION("""COMPUTED_VALUE"""),"2019/11/06 15:15:00")</f>
        <v>2019/11/06 15:15:00</v>
      </c>
      <c r="H809" s="10" t="str">
        <f>IFERROR(__xludf.DUMMYFUNCTION("""COMPUTED_VALUE"""),"466196c8-eefb-4282-825a-2920c0713b5c")</f>
        <v>466196c8-eefb-4282-825a-2920c0713b5c</v>
      </c>
      <c r="I809" s="10" t="str">
        <f>IFERROR(__xludf.DUMMYFUNCTION("""COMPUTED_VALUE"""),"466196c8-eefb-4282-825a-2920c0713b5c")</f>
        <v>466196c8-eefb-4282-825a-2920c0713b5c</v>
      </c>
    </row>
    <row r="810">
      <c r="A810" s="10" t="str">
        <f>IFERROR(__xludf.DUMMYFUNCTION("""COMPUTED_VALUE"""),"Your Home in 2025")</f>
        <v>Your Home in 2025</v>
      </c>
      <c r="B810" s="10" t="str">
        <f>IFERROR(__xludf.DUMMYFUNCTION("""COMPUTED_VALUE"""),"What turns a house into a home? Samsung believes a new wave of innovation will transform our increasingly connected houses into truly smart homes of the future.")</f>
        <v>What turns a house into a home? Samsung believes a new wave of innovation will transform our increasingly connected houses into truly smart homes of the future.</v>
      </c>
      <c r="C810" s="10" t="str">
        <f>IFERROR(__xludf.DUMMYFUNCTION("""COMPUTED_VALUE"""),"Centre Stage")</f>
        <v>Centre Stage</v>
      </c>
      <c r="D810" s="10" t="str">
        <f>IFERROR(__xludf.DUMMYFUNCTION("""COMPUTED_VALUE"""),"David Eun")</f>
        <v>David Eun</v>
      </c>
      <c r="E810" s="10" t="str">
        <f>IFERROR(__xludf.DUMMYFUNCTION("""COMPUTED_VALUE"""),"David Eun")</f>
        <v>David Eun</v>
      </c>
      <c r="F810" s="10" t="str">
        <f>IFERROR(__xludf.DUMMYFUNCTION("""COMPUTED_VALUE"""),"2019/11/05 12:35:00")</f>
        <v>2019/11/05 12:35:00</v>
      </c>
      <c r="G810" s="10" t="str">
        <f>IFERROR(__xludf.DUMMYFUNCTION("""COMPUTED_VALUE"""),"2019/11/05 13:00:00")</f>
        <v>2019/11/05 13:00:00</v>
      </c>
      <c r="H810" s="10" t="str">
        <f>IFERROR(__xludf.DUMMYFUNCTION("""COMPUTED_VALUE"""),"55cc8fc2-2f0e-49dd-bc33-3ae6c6263206")</f>
        <v>55cc8fc2-2f0e-49dd-bc33-3ae6c6263206</v>
      </c>
      <c r="I810" s="10" t="str">
        <f>IFERROR(__xludf.DUMMYFUNCTION("""COMPUTED_VALUE"""),"55cc8fc2-2f0e-49dd-bc33-3ae6c6263206")</f>
        <v>55cc8fc2-2f0e-49dd-bc33-3ae6c6263206</v>
      </c>
    </row>
    <row r="811">
      <c r="A811" s="10" t="str">
        <f>IFERROR(__xludf.DUMMYFUNCTION("""COMPUTED_VALUE"""),"Are we AI-ready?")</f>
        <v>Are we AI-ready?</v>
      </c>
      <c r="B811" s="10" t="str">
        <f>IFERROR(__xludf.DUMMYFUNCTION("""COMPUTED_VALUE"""),"Jean-François Gagné, the co-founder and CEO of Element AI, in conversation with Tim Stevens of CNET, discuss a practical view of entrepreneurial challenges and pivots with the AI future.")</f>
        <v>Jean-François Gagné, the co-founder and CEO of Element AI, in conversation with Tim Stevens of CNET, discuss a practical view of entrepreneurial challenges and pivots with the AI future.</v>
      </c>
      <c r="C811" s="24" t="str">
        <f>IFERROR(__xludf.DUMMYFUNCTION("""COMPUTED_VALUE"""),"binate.io")</f>
        <v>binate.io</v>
      </c>
      <c r="D811" s="10" t="str">
        <f>IFERROR(__xludf.DUMMYFUNCTION("""COMPUTED_VALUE"""),"Jean-François Gagné and Tim Stevens")</f>
        <v>Jean-François Gagné and Tim Stevens</v>
      </c>
      <c r="E811" s="10" t="str">
        <f>IFERROR(__xludf.DUMMYFUNCTION("""COMPUTED_VALUE"""),"Jean-François Gagné,Tim Stevens")</f>
        <v>Jean-François Gagné,Tim Stevens</v>
      </c>
      <c r="F811" s="10" t="str">
        <f>IFERROR(__xludf.DUMMYFUNCTION("""COMPUTED_VALUE"""),"2019/11/06 14:25:00")</f>
        <v>2019/11/06 14:25:00</v>
      </c>
      <c r="G811" s="10" t="str">
        <f>IFERROR(__xludf.DUMMYFUNCTION("""COMPUTED_VALUE"""),"2019/11/06 14:45:00")</f>
        <v>2019/11/06 14:45:00</v>
      </c>
      <c r="H811" s="10" t="str">
        <f>IFERROR(__xludf.DUMMYFUNCTION("""COMPUTED_VALUE"""),"723e8585-eb70-4302-b1c5-a977bfb2a9da")</f>
        <v>723e8585-eb70-4302-b1c5-a977bfb2a9da</v>
      </c>
      <c r="I811" s="10" t="str">
        <f>IFERROR(__xludf.DUMMYFUNCTION("""COMPUTED_VALUE"""),"723e8585-eb70-4302-b1c5-a977bfb2a9da")</f>
        <v>723e8585-eb70-4302-b1c5-a977bfb2a9da</v>
      </c>
    </row>
    <row r="812">
      <c r="A812" s="10" t="str">
        <f>IFERROR(__xludf.DUMMYFUNCTION("""COMPUTED_VALUE"""),"Re-imagining the global transport ecosystem")</f>
        <v>Re-imagining the global transport ecosystem</v>
      </c>
      <c r="B812" s="10" t="str">
        <f>IFERROR(__xludf.DUMMYFUNCTION("""COMPUTED_VALUE"""),"Going out to collect your food hasn't been in vogue for some time. What innovations are taking place on the global circuit?")</f>
        <v>Going out to collect your food hasn't been in vogue for some time. What innovations are taking place on the global circuit?</v>
      </c>
      <c r="C812" s="10" t="str">
        <f>IFERROR(__xludf.DUMMYFUNCTION("""COMPUTED_VALUE"""),"Auto/Tech &amp; TalkRobot")</f>
        <v>Auto/Tech &amp; TalkRobot</v>
      </c>
      <c r="D812" s="10" t="str">
        <f>IFERROR(__xludf.DUMMYFUNCTION("""COMPUTED_VALUE"""),"Markus Villig, Carlos Moyses and Tim Stevens")</f>
        <v>Markus Villig, Carlos Moyses and Tim Stevens</v>
      </c>
      <c r="E812" s="10" t="str">
        <f>IFERROR(__xludf.DUMMYFUNCTION("""COMPUTED_VALUE"""),"Markus Villig,Carlos Moyses,Tim Stevens")</f>
        <v>Markus Villig,Carlos Moyses,Tim Stevens</v>
      </c>
      <c r="F812" s="10" t="str">
        <f>IFERROR(__xludf.DUMMYFUNCTION("""COMPUTED_VALUE"""),"2019/11/05 12:20:00")</f>
        <v>2019/11/05 12:20:00</v>
      </c>
      <c r="G812" s="10" t="str">
        <f>IFERROR(__xludf.DUMMYFUNCTION("""COMPUTED_VALUE"""),"2019/11/05 12:40:00")</f>
        <v>2019/11/05 12:40:00</v>
      </c>
      <c r="H812" s="10" t="str">
        <f>IFERROR(__xludf.DUMMYFUNCTION("""COMPUTED_VALUE"""),"90cdbb60-825d-4005-87ff-0852810ba234")</f>
        <v>90cdbb60-825d-4005-87ff-0852810ba234</v>
      </c>
      <c r="I812" s="10" t="str">
        <f>IFERROR(__xludf.DUMMYFUNCTION("""COMPUTED_VALUE"""),"90cdbb60-825d-4005-87ff-0852810ba234")</f>
        <v>90cdbb60-825d-4005-87ff-0852810ba234</v>
      </c>
    </row>
    <row r="813">
      <c r="A813" s="10" t="str">
        <f>IFERROR(__xludf.DUMMYFUNCTION("""COMPUTED_VALUE"""),"Startup Showcase")</f>
        <v>Startup Showcase</v>
      </c>
      <c r="B813" s="10" t="str">
        <f>IFERROR(__xludf.DUMMYFUNCTION("""COMPUTED_VALUE"""),"On this brand new stage, expect quickfire presentations where startups will showcase their solutions to the future's biggest challenges. This hour focuses on security, covering topics like cybersecurity, trust and privacy, consumer safety, data compliance"&amp;", 2FA innovations, and worker safety and safetytech.
")</f>
        <v>On this brand new stage, expect quickfire presentations where startups will showcase their solutions to the future's biggest challenges. This hour focuses on security, covering topics like cybersecurity, trust and privacy, consumer safety, data compliance, 2FA innovations, and worker safety and safetytech.
</v>
      </c>
      <c r="C813" s="10" t="str">
        <f>IFERROR(__xludf.DUMMYFUNCTION("""COMPUTED_VALUE"""),"Startup Showcase 2")</f>
        <v>Startup Showcase 2</v>
      </c>
      <c r="D813" s="10" t="str">
        <f>IFERROR(__xludf.DUMMYFUNCTION("""COMPUTED_VALUE"""),"Tianyu Pu, Luigi Fidelio, Carlos Faria, Marc Mackenbach, Christopher Ramstedt, Dmitry Shimanskiy, Simone Giacco, Marina Bochenkova, Aleksandr  Beshkenadze, ARNAUD LAPREVOTE, Cristian Badea, Lev Bass, Kiran Bhagotra, Floris van der Grinten, Charlotte Sling"&amp;"sby, Jose Figueiredo, Dmitry Panenkov, Anne-Claire Mittelberger, Robert Reynolds, Sandrine Ponceblanc, Gorka Lorenzo, Chloe Colin, Mikus Losans, Ela Neagu, Nigel Hopkinson, Justin Travis, Antoine Dumas-Martin, Maria Cots, Evgeny Scherbak, Anastasiia Shmat"&amp;"ina, Fabian Ruesing, Simonetta d'Ottaviano, Alexander Stoehr, Javier Gutiérrez, Erik Wåhlin, Michael Larsen, Marco Piludu, Timea Totok, VIncent Hoonings, Emmanuelle Dubourg, Arturs Rasnacis, Pierre Grönberg, Kay Slagman, Matthew McClaskey, Miriam Meazza, "&amp;"Joris Coenen, Brenda61i8 wilson Van horn, Pedro Cruz, Dmitry Malkov and Damiaan Twelker")</f>
        <v>Tianyu Pu, Luigi Fidelio, Carlos Faria, Marc Mackenbach, Christopher Ramstedt, Dmitry Shimanskiy, Simone Giacco, Marina Bochenkova, Aleksandr  Beshkenadze, ARNAUD LAPREVOTE, Cristian Badea, Lev Bass, Kiran Bhagotra, Floris van der Grinten, Charlotte Slingsby, Jose Figueiredo, Dmitry Panenkov, Anne-Claire Mittelberger, Robert Reynolds, Sandrine Ponceblanc, Gorka Lorenzo, Chloe Colin, Mikus Losans, Ela Neagu, Nigel Hopkinson, Justin Travis, Antoine Dumas-Martin, Maria Cots, Evgeny Scherbak, Anastasiia Shmatina, Fabian Ruesing, Simonetta d'Ottaviano, Alexander Stoehr, Javier Gutiérrez, Erik Wåhlin, Michael Larsen, Marco Piludu, Timea Totok, VIncent Hoonings, Emmanuelle Dubourg, Arturs Rasnacis, Pierre Grönberg, Kay Slagman, Matthew McClaskey, Miriam Meazza, Joris Coenen, Brenda61i8 wilson Van horn, Pedro Cruz, Dmitry Malkov and Damiaan Twelker</v>
      </c>
      <c r="E813" s="10" t="str">
        <f>IFERROR(__xludf.DUMMYFUNCTION("""COMPUTED_VALUE"""),"Tianyu Pu,Luigi Fidelio,Carlos Faria,Marc Mackenbach,Christopher Ramstedt,Dmitry Shimanskiy,Simone Giacco,Marina Bochenkova,Aleksandr  Beshkenadze,ARNAUD LAPREVOTE,Cristian Badea,Lev Bass,Kiran Bhagotra,Floris van der Grinten,Charlotte Slingsby,Jose Figue"&amp;"iredo,Dmitry Panenkov,Anne-Claire Mittelberger,Robert Reynolds,Sandrine Ponceblanc,Gorka Lorenzo,Chloe Colin,Mikus Losans,Ela Neagu,Nigel Hopkinson,Justin Travis,Antoine Dumas-Martin,Maria Cots,Evgeny Scherbak,Anastasiia Shmatina,Fabian Ruesing,Simonetta "&amp;"d'Ottaviano,Alexander Stoehr,Javier Gutiérrez,Erik Wåhlin,Michael Larsen,Marco Piludu,Timea Totok,VIncent Hoonings,Emmanuelle Dubourg,Arturs Rasnacis,Pierre Grönberg,Kay Slagman,Matthew McClaskey,Miriam Meazza,Joris Coenen,Brenda61i8 wilson Van horn,Pedro"&amp;" Cruz,Dmitry Malkov,Damiaan Twelker")</f>
        <v>Tianyu Pu,Luigi Fidelio,Carlos Faria,Marc Mackenbach,Christopher Ramstedt,Dmitry Shimanskiy,Simone Giacco,Marina Bochenkova,Aleksandr  Beshkenadze,ARNAUD LAPREVOTE,Cristian Badea,Lev Bass,Kiran Bhagotra,Floris van der Grinten,Charlotte Slingsby,Jose Figueiredo,Dmitry Panenkov,Anne-Claire Mittelberger,Robert Reynolds,Sandrine Ponceblanc,Gorka Lorenzo,Chloe Colin,Mikus Losans,Ela Neagu,Nigel Hopkinson,Justin Travis,Antoine Dumas-Martin,Maria Cots,Evgeny Scherbak,Anastasiia Shmatina,Fabian Ruesing,Simonetta d'Ottaviano,Alexander Stoehr,Javier Gutiérrez,Erik Wåhlin,Michael Larsen,Marco Piludu,Timea Totok,VIncent Hoonings,Emmanuelle Dubourg,Arturs Rasnacis,Pierre Grönberg,Kay Slagman,Matthew McClaskey,Miriam Meazza,Joris Coenen,Brenda61i8 wilson Van horn,Pedro Cruz,Dmitry Malkov,Damiaan Twelker</v>
      </c>
      <c r="F813" s="10" t="str">
        <f>IFERROR(__xludf.DUMMYFUNCTION("""COMPUTED_VALUE"""),"2019/11/07 10:15:00")</f>
        <v>2019/11/07 10:15:00</v>
      </c>
      <c r="G813" s="10" t="str">
        <f>IFERROR(__xludf.DUMMYFUNCTION("""COMPUTED_VALUE"""),"2019/11/07 11:15:00")</f>
        <v>2019/11/07 11:15:00</v>
      </c>
      <c r="H813" s="10" t="str">
        <f>IFERROR(__xludf.DUMMYFUNCTION("""COMPUTED_VALUE"""),"045dccf9-90f0-43d8-9eb6-4b2d6b845415")</f>
        <v>045dccf9-90f0-43d8-9eb6-4b2d6b845415</v>
      </c>
      <c r="I813" s="10" t="str">
        <f>IFERROR(__xludf.DUMMYFUNCTION("""COMPUTED_VALUE"""),"045dccf9-90f0-43d8-9eb6-4b2d6b845415")</f>
        <v>045dccf9-90f0-43d8-9eb6-4b2d6b845415</v>
      </c>
    </row>
    <row r="814">
      <c r="A814" s="10" t="str">
        <f>IFERROR(__xludf.DUMMYFUNCTION("""COMPUTED_VALUE"""),"Startup Showcase")</f>
        <v>Startup Showcase</v>
      </c>
      <c r="B814" s="10" t="str">
        <f>IFERROR(__xludf.DUMMYFUNCTION("""COMPUTED_VALUE"""),"On this brand new stage, expect quickfire presentations where startups will showcase their solutions to the future's biggest challenges. Meet the startups that are breaking, shaping, and reimagining what's possible in industries from enterprise software s"&amp;"olutions to AI &amp; machine learning. You know the problems, come see the solutions. ")</f>
        <v>On this brand new stage, expect quickfire presentations where startups will showcase their solutions to the future's biggest challenges. Meet the startups that are breaking, shaping, and reimagining what's possible in industries from enterprise software solutions to AI &amp; machine learning. You know the problems, come see the solutions. </v>
      </c>
      <c r="C814" s="10" t="str">
        <f>IFERROR(__xludf.DUMMYFUNCTION("""COMPUTED_VALUE"""),"Startup Showcase 2")</f>
        <v>Startup Showcase 2</v>
      </c>
      <c r="D814" s="10" t="str">
        <f>IFERROR(__xludf.DUMMYFUNCTION("""COMPUTED_VALUE"""),"James Downing, Kevin Feeney, Gero Keil, Cyril Dané, Fredrik Kronlid, Luisa Piló, Evgen Verzun, Carmen Ortega, Arash Asady, Anna Zieciak, Sina Roshan, Alvaro Gonzalez, Alon Cohn, Anthony Quirk, Joseph Benguira, Daniel Sozonov, Gary Gimenez, Kieran Conlon, "&amp;"Janderson Araujo, Simone Gabbriellini, Hossein Moradgholi, Tommaso Frigerio, Holly Pope, Eileen Owen Tan, Dario Rodriguez, Steven Betito, Peter Suma, Antonio Procopio, Milad Zabihi, Abigail Seward, Gregory Zerbib, Anton Morozov, MARCELO BASTOS, Mahdi El A"&amp;"zhari, Luke Feeney, Munique Martins, Georgina Pierson, David Hjelm, Zeyad Wanis, Wassim Samad, Thilo Hüllmann, Denys Smalianyi, Peter Ausum, ILya PavLov, Yevhenia Dzyuba, Kitty Jose, Joris Dekkers, Andreas Krona, Henrik Fabrin and Sergei Menshchikov")</f>
        <v>James Downing, Kevin Feeney, Gero Keil, Cyril Dané, Fredrik Kronlid, Luisa Piló, Evgen Verzun, Carmen Ortega, Arash Asady, Anna Zieciak, Sina Roshan, Alvaro Gonzalez, Alon Cohn, Anthony Quirk, Joseph Benguira, Daniel Sozonov, Gary Gimenez, Kieran Conlon, Janderson Araujo, Simone Gabbriellini, Hossein Moradgholi, Tommaso Frigerio, Holly Pope, Eileen Owen Tan, Dario Rodriguez, Steven Betito, Peter Suma, Antonio Procopio, Milad Zabihi, Abigail Seward, Gregory Zerbib, Anton Morozov, MARCELO BASTOS, Mahdi El Azhari, Luke Feeney, Munique Martins, Georgina Pierson, David Hjelm, Zeyad Wanis, Wassim Samad, Thilo Hüllmann, Denys Smalianyi, Peter Ausum, ILya PavLov, Yevhenia Dzyuba, Kitty Jose, Joris Dekkers, Andreas Krona, Henrik Fabrin and Sergei Menshchikov</v>
      </c>
      <c r="E814" s="10" t="str">
        <f>IFERROR(__xludf.DUMMYFUNCTION("""COMPUTED_VALUE"""),"James Downing,Kevin Feeney,Gero Keil,Cyril Dané,Fredrik Kronlid,Luisa Piló,Evgen Verzun,Carmen Ortega,Arash Asady,Anna Zieciak,Sina Roshan,Alvaro Gonzalez,Alon Cohn,Anthony Quirk,Joseph Benguira,Daniel Sozonov,Gary Gimenez,Kieran Conlon,Janderson Araujo,S"&amp;"imone Gabbriellini,Hossein Moradgholi,Tommaso Frigerio,Holly Pope,Eileen Owen Tan,Dario Rodriguez,Steven Betito,Peter Suma,Antonio Procopio,Milad Zabihi,Abigail Seward,Gregory Zerbib,Anton Morozov,MARCELO BASTOS,Mahdi El Azhari,Luke Feeney,Munique Martins"&amp;",Georgina Pierson,David Hjelm,Zeyad Wanis,Wassim Samad,Thilo Hüllmann,Denys Smalianyi,Peter Ausum,ILya PavLov,Yevhenia Dzyuba,Kitty Jose,Joris Dekkers,Andreas Krona,Henrik Fabrin,Sergei Menshchikov")</f>
        <v>James Downing,Kevin Feeney,Gero Keil,Cyril Dané,Fredrik Kronlid,Luisa Piló,Evgen Verzun,Carmen Ortega,Arash Asady,Anna Zieciak,Sina Roshan,Alvaro Gonzalez,Alon Cohn,Anthony Quirk,Joseph Benguira,Daniel Sozonov,Gary Gimenez,Kieran Conlon,Janderson Araujo,Simone Gabbriellini,Hossein Moradgholi,Tommaso Frigerio,Holly Pope,Eileen Owen Tan,Dario Rodriguez,Steven Betito,Peter Suma,Antonio Procopio,Milad Zabihi,Abigail Seward,Gregory Zerbib,Anton Morozov,MARCELO BASTOS,Mahdi El Azhari,Luke Feeney,Munique Martins,Georgina Pierson,David Hjelm,Zeyad Wanis,Wassim Samad,Thilo Hüllmann,Denys Smalianyi,Peter Ausum,ILya PavLov,Yevhenia Dzyuba,Kitty Jose,Joris Dekkers,Andreas Krona,Henrik Fabrin,Sergei Menshchikov</v>
      </c>
      <c r="F814" s="10" t="str">
        <f>IFERROR(__xludf.DUMMYFUNCTION("""COMPUTED_VALUE"""),"2019/11/06 11:15:00")</f>
        <v>2019/11/06 11:15:00</v>
      </c>
      <c r="G814" s="10" t="str">
        <f>IFERROR(__xludf.DUMMYFUNCTION("""COMPUTED_VALUE"""),"2019/11/06 12:15:00")</f>
        <v>2019/11/06 12:15:00</v>
      </c>
      <c r="H814" s="10" t="str">
        <f>IFERROR(__xludf.DUMMYFUNCTION("""COMPUTED_VALUE"""),"7810d056-e781-43b0-8250-0da0567c8770")</f>
        <v>7810d056-e781-43b0-8250-0da0567c8770</v>
      </c>
      <c r="I814" s="10" t="str">
        <f>IFERROR(__xludf.DUMMYFUNCTION("""COMPUTED_VALUE"""),"7810d056-e781-43b0-8250-0da0567c8770")</f>
        <v>7810d056-e781-43b0-8250-0da0567c8770</v>
      </c>
    </row>
    <row r="815">
      <c r="A815" s="10" t="str">
        <f>IFERROR(__xludf.DUMMYFUNCTION("""COMPUTED_VALUE"""),"PITCH group round 17")</f>
        <v>PITCH group round 17</v>
      </c>
      <c r="B815" s="10" t="str">
        <f>IFERROR(__xludf.DUMMYFUNCTION("""COMPUTED_VALUE"""),"")</f>
        <v/>
      </c>
      <c r="C815" s="10" t="str">
        <f>IFERROR(__xludf.DUMMYFUNCTION("""COMPUTED_VALUE"""),"PITCH 2")</f>
        <v>PITCH 2</v>
      </c>
      <c r="D815" s="10" t="str">
        <f>IFERROR(__xludf.DUMMYFUNCTION("""COMPUTED_VALUE"""),"Zach Coelius, Michael Szalontay, Yamilette Cano, Henri Baker, Patricia Alves, Tal Ben-Simon, Erika Vincent, Christoph Hantschk, Alexander Zaytsev, Alberto Noronha, Leah Cohen and Rosse Gates")</f>
        <v>Zach Coelius, Michael Szalontay, Yamilette Cano, Henri Baker, Patricia Alves, Tal Ben-Simon, Erika Vincent, Christoph Hantschk, Alexander Zaytsev, Alberto Noronha, Leah Cohen and Rosse Gates</v>
      </c>
      <c r="E815" s="10" t="str">
        <f>IFERROR(__xludf.DUMMYFUNCTION("""COMPUTED_VALUE"""),"Zach Coelius,Michael Szalontay,Yamilette Cano,Henri Baker,Patricia Alves,Tal Ben-Simon,Erika Vincent,Christoph Hantschk,Alexander Zaytsev,Alberto Noronha,Leah Cohen,Rosse Gates")</f>
        <v>Zach Coelius,Michael Szalontay,Yamilette Cano,Henri Baker,Patricia Alves,Tal Ben-Simon,Erika Vincent,Christoph Hantschk,Alexander Zaytsev,Alberto Noronha,Leah Cohen,Rosse Gates</v>
      </c>
      <c r="F815" s="10" t="str">
        <f>IFERROR(__xludf.DUMMYFUNCTION("""COMPUTED_VALUE"""),"2019/11/05 15:00:00")</f>
        <v>2019/11/05 15:00:00</v>
      </c>
      <c r="G815" s="10" t="str">
        <f>IFERROR(__xludf.DUMMYFUNCTION("""COMPUTED_VALUE"""),"2019/11/05 16:00:00")</f>
        <v>2019/11/05 16:00:00</v>
      </c>
      <c r="H815" s="10" t="str">
        <f>IFERROR(__xludf.DUMMYFUNCTION("""COMPUTED_VALUE"""),"b56b7382-a780-45bb-bbed-be2650c0d816")</f>
        <v>b56b7382-a780-45bb-bbed-be2650c0d816</v>
      </c>
      <c r="I815" s="10" t="str">
        <f>IFERROR(__xludf.DUMMYFUNCTION("""COMPUTED_VALUE"""),"b56b7382-a780-45bb-bbed-be2650c0d816")</f>
        <v>b56b7382-a780-45bb-bbed-be2650c0d816</v>
      </c>
    </row>
    <row r="816">
      <c r="A816" s="10" t="str">
        <f>IFERROR(__xludf.DUMMYFUNCTION("""COMPUTED_VALUE"""),"ATM 1")</f>
        <v>ATM 1</v>
      </c>
      <c r="B816" s="10" t="str">
        <f>IFERROR(__xludf.DUMMYFUNCTION("""COMPUTED_VALUE"""),"")</f>
        <v/>
      </c>
      <c r="C816" s="10" t="str">
        <f>IFERROR(__xludf.DUMMYFUNCTION("""COMPUTED_VALUE"""),"ATM - 1 - Nov 5")</f>
        <v>ATM - 1 - Nov 5</v>
      </c>
      <c r="D816" s="10" t="str">
        <f>IFERROR(__xludf.DUMMYFUNCTION("""COMPUTED_VALUE"""),"")</f>
        <v/>
      </c>
      <c r="E816" s="10" t="str">
        <f>IFERROR(__xludf.DUMMYFUNCTION("""COMPUTED_VALUE"""),"")</f>
        <v/>
      </c>
      <c r="F816" s="10" t="str">
        <f>IFERROR(__xludf.DUMMYFUNCTION("""COMPUTED_VALUE"""),"2019/11/05 20:01:00")</f>
        <v>2019/11/05 20:01:00</v>
      </c>
      <c r="G816" s="10" t="str">
        <f>IFERROR(__xludf.DUMMYFUNCTION("""COMPUTED_VALUE"""),"2019/11/06 00:00:00")</f>
        <v>2019/11/06 00:00:00</v>
      </c>
      <c r="H816" s="10" t="str">
        <f>IFERROR(__xludf.DUMMYFUNCTION("""COMPUTED_VALUE"""),"41a2f613-2292-4723-8afe-54929650cf9d")</f>
        <v>41a2f613-2292-4723-8afe-54929650cf9d</v>
      </c>
      <c r="I816" s="10" t="str">
        <f>IFERROR(__xludf.DUMMYFUNCTION("""COMPUTED_VALUE"""),"41a2f613-2292-4723-8afe-54929650cf9d")</f>
        <v>41a2f613-2292-4723-8afe-54929650cf9d</v>
      </c>
    </row>
    <row r="817">
      <c r="A817" s="10" t="str">
        <f>IFERROR(__xludf.DUMMYFUNCTION("""COMPUTED_VALUE"""),"PITCH group round 1")</f>
        <v>PITCH group round 1</v>
      </c>
      <c r="B817" s="10" t="str">
        <f>IFERROR(__xludf.DUMMYFUNCTION("""COMPUTED_VALUE"""),"")</f>
        <v/>
      </c>
      <c r="C817" s="10" t="str">
        <f>IFERROR(__xludf.DUMMYFUNCTION("""COMPUTED_VALUE"""),"")</f>
        <v/>
      </c>
      <c r="D817" s="10" t="str">
        <f>IFERROR(__xludf.DUMMYFUNCTION("""COMPUTED_VALUE"""),"Mada Seghete Sophia Tran
Ekaterina Holt
Marcus Fehling
Ilya Gelfenbeyn
Miguel Santo
Pedro Pestana Christoph Weigl Roman Prytkov Alan Hickey Evgeny Grankin Bernd Oostrum
")</f>
        <v>Mada Seghete Sophia Tran
Ekaterina Holt
Marcus Fehling
Ilya Gelfenbeyn
Miguel Santo
Pedro Pestana Christoph Weigl Roman Prytkov Alan Hickey Evgeny Grankin Bernd Oostrum
</v>
      </c>
      <c r="E817" s="10" t="str">
        <f>IFERROR(__xludf.DUMMYFUNCTION("""COMPUTED_VALUE"""),"Mada Seghete Sophia Tran
Ekaterina Holt
Marcus Fehling
Ilya Gelfenbeyn
Miguel Santo
Pedro Pestana Christoph Weigl Roman Prytkov Alan Hickey Evgeny Grankin Bernd Oostrum
")</f>
        <v>Mada Seghete Sophia Tran
Ekaterina Holt
Marcus Fehling
Ilya Gelfenbeyn
Miguel Santo
Pedro Pestana Christoph Weigl Roman Prytkov Alan Hickey Evgeny Grankin Bernd Oostrum
</v>
      </c>
      <c r="F817" s="10" t="str">
        <f>IFERROR(__xludf.DUMMYFUNCTION("""COMPUTED_VALUE"""),"")</f>
        <v/>
      </c>
      <c r="G817" s="10" t="str">
        <f>IFERROR(__xludf.DUMMYFUNCTION("""COMPUTED_VALUE"""),"")</f>
        <v/>
      </c>
      <c r="H817" s="10" t="str">
        <f>IFERROR(__xludf.DUMMYFUNCTION("""COMPUTED_VALUE"""),"18111f03-badb-5b59-8030-0e6576495afe")</f>
        <v>18111f03-badb-5b59-8030-0e6576495afe</v>
      </c>
      <c r="I817" s="10" t="str">
        <f>IFERROR(__xludf.DUMMYFUNCTION("""COMPUTED_VALUE"""),"18111f03-badb-5b59-8030-0e6576495afe")</f>
        <v>18111f03-badb-5b59-8030-0e6576495afe</v>
      </c>
    </row>
    <row r="818">
      <c r="A818" s="10" t="str">
        <f>IFERROR(__xludf.DUMMYFUNCTION("""COMPUTED_VALUE"""),"Starling's story: Challenging the challengers")</f>
        <v>Starling's story: Challenging the challengers</v>
      </c>
      <c r="B818" s="10" t="str">
        <f>IFERROR(__xludf.DUMMYFUNCTION("""COMPUTED_VALUE"""),"Starling Bank are not fazed by the competitive fintech market. Should they be? As challenger banks and payment platforms begin to crop up everywhere, is it still possible to be a one-bank-fits all?")</f>
        <v>Starling Bank are not fazed by the competitive fintech market. Should they be? As challenger banks and payment platforms begin to crop up everywhere, is it still possible to be a one-bank-fits all?</v>
      </c>
      <c r="C818" s="10" t="str">
        <f>IFERROR(__xludf.DUMMYFUNCTION("""COMPUTED_VALUE"""),"MoneyConf")</f>
        <v>MoneyConf</v>
      </c>
      <c r="D818" s="10" t="str">
        <f>IFERROR(__xludf.DUMMYFUNCTION("""COMPUTED_VALUE"""),"Anne Boden and Oscar Williams-Grut")</f>
        <v>Anne Boden and Oscar Williams-Grut</v>
      </c>
      <c r="E818" s="10" t="str">
        <f>IFERROR(__xludf.DUMMYFUNCTION("""COMPUTED_VALUE"""),"Anne Boden,Oscar Williams-Grut")</f>
        <v>Anne Boden,Oscar Williams-Grut</v>
      </c>
      <c r="F818" s="10" t="str">
        <f>IFERROR(__xludf.DUMMYFUNCTION("""COMPUTED_VALUE"""),"2019/11/07 11:00:00")</f>
        <v>2019/11/07 11:00:00</v>
      </c>
      <c r="G818" s="10" t="str">
        <f>IFERROR(__xludf.DUMMYFUNCTION("""COMPUTED_VALUE"""),"2019/11/07 11:20:00")</f>
        <v>2019/11/07 11:20:00</v>
      </c>
      <c r="H818" s="10" t="str">
        <f>IFERROR(__xludf.DUMMYFUNCTION("""COMPUTED_VALUE"""),"7c33185b-a132-4653-8d48-9e406aa8662c")</f>
        <v>7c33185b-a132-4653-8d48-9e406aa8662c</v>
      </c>
      <c r="I818" s="10" t="str">
        <f>IFERROR(__xludf.DUMMYFUNCTION("""COMPUTED_VALUE"""),"7c33185b-a132-4653-8d48-9e406aa8662c")</f>
        <v>7c33185b-a132-4653-8d48-9e406aa8662c</v>
      </c>
    </row>
    <row r="819">
      <c r="A819" s="10" t="str">
        <f>IFERROR(__xludf.DUMMYFUNCTION("""COMPUTED_VALUE"""),"Why redefining cars isn't enough")</f>
        <v>Why redefining cars isn't enough</v>
      </c>
      <c r="B819" s="10" t="str">
        <f>IFERROR(__xludf.DUMMYFUNCTION("""COMPUTED_VALUE"""),"We've seen the plans and watched the machines in motion, but do we need to redefine the role of the driver? In this fireside Andreas Schaff of Byton will discuss the future of driving from a different angle.")</f>
        <v>We've seen the plans and watched the machines in motion, but do we need to redefine the role of the driver? In this fireside Andreas Schaff of Byton will discuss the future of driving from a different angle.</v>
      </c>
      <c r="C819" s="10" t="str">
        <f>IFERROR(__xludf.DUMMYFUNCTION("""COMPUTED_VALUE"""),"Auto/Tech &amp; TalkRobot")</f>
        <v>Auto/Tech &amp; TalkRobot</v>
      </c>
      <c r="D819" s="10" t="str">
        <f>IFERROR(__xludf.DUMMYFUNCTION("""COMPUTED_VALUE"""),"Andreas Schaaf")</f>
        <v>Andreas Schaaf</v>
      </c>
      <c r="E819" s="10" t="str">
        <f>IFERROR(__xludf.DUMMYFUNCTION("""COMPUTED_VALUE"""),"Andreas Schaaf")</f>
        <v>Andreas Schaaf</v>
      </c>
      <c r="F819" s="10" t="str">
        <f>IFERROR(__xludf.DUMMYFUNCTION("""COMPUTED_VALUE"""),"2019/11/07 12:15:00")</f>
        <v>2019/11/07 12:15:00</v>
      </c>
      <c r="G819" s="10" t="str">
        <f>IFERROR(__xludf.DUMMYFUNCTION("""COMPUTED_VALUE"""),"2019/11/07 12:35:00")</f>
        <v>2019/11/07 12:35:00</v>
      </c>
      <c r="H819" s="10" t="str">
        <f>IFERROR(__xludf.DUMMYFUNCTION("""COMPUTED_VALUE"""),"6a813eed-5f83-4aee-81e7-0883257bd1a6")</f>
        <v>6a813eed-5f83-4aee-81e7-0883257bd1a6</v>
      </c>
      <c r="I819" s="10" t="str">
        <f>IFERROR(__xludf.DUMMYFUNCTION("""COMPUTED_VALUE"""),"6a813eed-5f83-4aee-81e7-0883257bd1a6")</f>
        <v>6a813eed-5f83-4aee-81e7-0883257bd1a6</v>
      </c>
    </row>
    <row r="820">
      <c r="A820" s="10" t="str">
        <f>IFERROR(__xludf.DUMMYFUNCTION("""COMPUTED_VALUE"""),"Akon and AKOIN team share their crypto empowerment plan for Africa and beyond")</f>
        <v>Akon and AKOIN team share their crypto empowerment plan for Africa and beyond</v>
      </c>
      <c r="B820" s="10" t="str">
        <f>IFERROR(__xludf.DUMMYFUNCTION("""COMPUTED_VALUE"""),"")</f>
        <v/>
      </c>
      <c r="C820" s="10" t="str">
        <f>IFERROR(__xludf.DUMMYFUNCTION("""COMPUTED_VALUE"""),"")</f>
        <v/>
      </c>
      <c r="D820" s="10" t="str">
        <f>IFERROR(__xludf.DUMMYFUNCTION("""COMPUTED_VALUE"""),"Akon and  Jon Karas
")</f>
        <v>Akon and  Jon Karas
</v>
      </c>
      <c r="E820" s="10" t="str">
        <f>IFERROR(__xludf.DUMMYFUNCTION("""COMPUTED_VALUE"""),"Akon, Jon Karas
")</f>
        <v>Akon, Jon Karas
</v>
      </c>
      <c r="F820" s="10" t="str">
        <f>IFERROR(__xludf.DUMMYFUNCTION("""COMPUTED_VALUE"""),"")</f>
        <v/>
      </c>
      <c r="G820" s="10" t="str">
        <f>IFERROR(__xludf.DUMMYFUNCTION("""COMPUTED_VALUE"""),"")</f>
        <v/>
      </c>
      <c r="H820" s="10" t="str">
        <f>IFERROR(__xludf.DUMMYFUNCTION("""COMPUTED_VALUE"""),"636b461b-0bae-5595-b206-1e0a2945e92a")</f>
        <v>636b461b-0bae-5595-b206-1e0a2945e92a</v>
      </c>
      <c r="I820" s="10" t="str">
        <f>IFERROR(__xludf.DUMMYFUNCTION("""COMPUTED_VALUE"""),"636b461b-0bae-5595-b206-1e0a2945e92a")</f>
        <v>636b461b-0bae-5595-b206-1e0a2945e92a</v>
      </c>
    </row>
    <row r="821">
      <c r="A821" s="10" t="str">
        <f>IFERROR(__xludf.DUMMYFUNCTION("""COMPUTED_VALUE"""),"Opening remarks")</f>
        <v>Opening remarks</v>
      </c>
      <c r="B821" s="10" t="str">
        <f>IFERROR(__xludf.DUMMYFUNCTION("""COMPUTED_VALUE"""),"opening remarks")</f>
        <v>opening remarks</v>
      </c>
      <c r="C821" s="10" t="str">
        <f>IFERROR(__xludf.DUMMYFUNCTION("""COMPUTED_VALUE"""),"Auto/Tech &amp; TalkRobot")</f>
        <v>Auto/Tech &amp; TalkRobot</v>
      </c>
      <c r="D821" s="10" t="str">
        <f>IFERROR(__xludf.DUMMYFUNCTION("""COMPUTED_VALUE"""),"João Azevedo Coutinho")</f>
        <v>João Azevedo Coutinho</v>
      </c>
      <c r="E821" s="10" t="str">
        <f>IFERROR(__xludf.DUMMYFUNCTION("""COMPUTED_VALUE"""),"João Azevedo Coutinho")</f>
        <v>João Azevedo Coutinho</v>
      </c>
      <c r="F821" s="10" t="str">
        <f>IFERROR(__xludf.DUMMYFUNCTION("""COMPUTED_VALUE"""),"2019/11/07 11:00:00")</f>
        <v>2019/11/07 11:00:00</v>
      </c>
      <c r="G821" s="10" t="str">
        <f>IFERROR(__xludf.DUMMYFUNCTION("""COMPUTED_VALUE"""),"2019/11/07 11:15:00")</f>
        <v>2019/11/07 11:15:00</v>
      </c>
      <c r="H821" s="10" t="str">
        <f>IFERROR(__xludf.DUMMYFUNCTION("""COMPUTED_VALUE"""),"88eb473d-6fb5-41b8-9ef9-860b01fbf65c")</f>
        <v>88eb473d-6fb5-41b8-9ef9-860b01fbf65c</v>
      </c>
      <c r="I821" s="10" t="str">
        <f>IFERROR(__xludf.DUMMYFUNCTION("""COMPUTED_VALUE"""),"88eb473d-6fb5-41b8-9ef9-860b01fbf65c")</f>
        <v>88eb473d-6fb5-41b8-9ef9-860b01fbf65c</v>
      </c>
    </row>
    <row r="822">
      <c r="A822" s="10" t="str">
        <f>IFERROR(__xludf.DUMMYFUNCTION("""COMPUTED_VALUE"""),"Q&amp;A with Garrett McNamara")</f>
        <v>Q&amp;A with Garrett McNamara</v>
      </c>
      <c r="B822" s="10" t="str">
        <f>IFERROR(__xludf.DUMMYFUNCTION("""COMPUTED_VALUE"""),"")</f>
        <v/>
      </c>
      <c r="C822" s="10" t="str">
        <f>IFERROR(__xludf.DUMMYFUNCTION("""COMPUTED_VALUE"""),"Q + A")</f>
        <v>Q + A</v>
      </c>
      <c r="D822" s="10" t="str">
        <f>IFERROR(__xludf.DUMMYFUNCTION("""COMPUTED_VALUE"""),"Garrett McNamara")</f>
        <v>Garrett McNamara</v>
      </c>
      <c r="E822" s="10" t="str">
        <f>IFERROR(__xludf.DUMMYFUNCTION("""COMPUTED_VALUE"""),"Garrett McNamara")</f>
        <v>Garrett McNamara</v>
      </c>
      <c r="F822" s="10" t="str">
        <f>IFERROR(__xludf.DUMMYFUNCTION("""COMPUTED_VALUE"""),"2019/11/05 14:30:00")</f>
        <v>2019/11/05 14:30:00</v>
      </c>
      <c r="G822" s="10" t="str">
        <f>IFERROR(__xludf.DUMMYFUNCTION("""COMPUTED_VALUE"""),"2019/11/05 14:45:00")</f>
        <v>2019/11/05 14:45:00</v>
      </c>
      <c r="H822" s="10" t="str">
        <f>IFERROR(__xludf.DUMMYFUNCTION("""COMPUTED_VALUE"""),"eff5c796-43de-42c0-b9ff-1befa3a74233")</f>
        <v>eff5c796-43de-42c0-b9ff-1befa3a74233</v>
      </c>
      <c r="I822" s="10" t="str">
        <f>IFERROR(__xludf.DUMMYFUNCTION("""COMPUTED_VALUE"""),"eff5c796-43de-42c0-b9ff-1befa3a74233")</f>
        <v>eff5c796-43de-42c0-b9ff-1befa3a74233</v>
      </c>
    </row>
    <row r="823">
      <c r="A823" s="10" t="str">
        <f>IFERROR(__xludf.DUMMYFUNCTION("""COMPUTED_VALUE"""),"Are we facing water wars?")</f>
        <v>Are we facing water wars?</v>
      </c>
      <c r="B823" s="10" t="str">
        <f>IFERROR(__xludf.DUMMYFUNCTION("""COMPUTED_VALUE"""),"We live on a big blue green ball. But there's no world without water. What can be done to protect and preserve the global supply? Is the glass half full or half empty? And how will global politics play out if there's not enough to go round? ")</f>
        <v>We live on a big blue green ball. But there's no world without water. What can be done to protect and preserve the global supply? Is the glass half full or half empty? And how will global politics play out if there's not enough to go round? </v>
      </c>
      <c r="C823" s="10" t="str">
        <f>IFERROR(__xludf.DUMMYFUNCTION("""COMPUTED_VALUE"""),"planet:tech ")</f>
        <v>planet:tech </v>
      </c>
      <c r="D823" s="10" t="str">
        <f>IFERROR(__xludf.DUMMYFUNCTION("""COMPUTED_VALUE"""),"Paul O'Callaghan, Drew Fitzgerald, Jay Iyengar and Tom Finn")</f>
        <v>Paul O'Callaghan, Drew Fitzgerald, Jay Iyengar and Tom Finn</v>
      </c>
      <c r="E823" s="10" t="str">
        <f>IFERROR(__xludf.DUMMYFUNCTION("""COMPUTED_VALUE"""),"Paul O'Callaghan,Drew Fitzgerald,Jay Iyengar,Tom Finn")</f>
        <v>Paul O'Callaghan,Drew Fitzgerald,Jay Iyengar,Tom Finn</v>
      </c>
      <c r="F823" s="10" t="str">
        <f>IFERROR(__xludf.DUMMYFUNCTION("""COMPUTED_VALUE"""),"2019/11/05 11:35:00")</f>
        <v>2019/11/05 11:35:00</v>
      </c>
      <c r="G823" s="10" t="str">
        <f>IFERROR(__xludf.DUMMYFUNCTION("""COMPUTED_VALUE"""),"2019/11/05 12:00:00")</f>
        <v>2019/11/05 12:00:00</v>
      </c>
      <c r="H823" s="10" t="str">
        <f>IFERROR(__xludf.DUMMYFUNCTION("""COMPUTED_VALUE"""),"2e4653af-79b7-4112-a60a-b02ca569ebaa")</f>
        <v>2e4653af-79b7-4112-a60a-b02ca569ebaa</v>
      </c>
      <c r="I823" s="10" t="str">
        <f>IFERROR(__xludf.DUMMYFUNCTION("""COMPUTED_VALUE"""),"2e4653af-79b7-4112-a60a-b02ca569ebaa")</f>
        <v>2e4653af-79b7-4112-a60a-b02ca569ebaa</v>
      </c>
    </row>
    <row r="824">
      <c r="A824" s="10" t="str">
        <f>IFERROR(__xludf.DUMMYFUNCTION("""COMPUTED_VALUE"""),"The secret number is 49")</f>
        <v>The secret number is 49</v>
      </c>
      <c r="B824" s="10" t="str">
        <f>IFERROR(__xludf.DUMMYFUNCTION("""COMPUTED_VALUE"""),"Ariel Garten will share insights on how her 49th attempt at pitching to investors turned into funding her seed round. With no experience in fundraising she was able to build a company and personally raised the first $18.9M with the help of dedication and "&amp;"meditation. ")</f>
        <v>Ariel Garten will share insights on how her 49th attempt at pitching to investors turned into funding her seed round. With no experience in fundraising she was able to build a company and personally raised the first $18.9M with the help of dedication and meditation. </v>
      </c>
      <c r="C824" s="10" t="str">
        <f>IFERROR(__xludf.DUMMYFUNCTION("""COMPUTED_VALUE"""),"Startup University")</f>
        <v>Startup University</v>
      </c>
      <c r="D824" s="10" t="str">
        <f>IFERROR(__xludf.DUMMYFUNCTION("""COMPUTED_VALUE"""),"Ariel Garten")</f>
        <v>Ariel Garten</v>
      </c>
      <c r="E824" s="10" t="str">
        <f>IFERROR(__xludf.DUMMYFUNCTION("""COMPUTED_VALUE"""),"Ariel Garten")</f>
        <v>Ariel Garten</v>
      </c>
      <c r="F824" s="10" t="str">
        <f>IFERROR(__xludf.DUMMYFUNCTION("""COMPUTED_VALUE"""),"2019/11/06 12:55:00")</f>
        <v>2019/11/06 12:55:00</v>
      </c>
      <c r="G824" s="10" t="str">
        <f>IFERROR(__xludf.DUMMYFUNCTION("""COMPUTED_VALUE"""),"2019/11/06 13:15:00")</f>
        <v>2019/11/06 13:15:00</v>
      </c>
      <c r="H824" s="10" t="str">
        <f>IFERROR(__xludf.DUMMYFUNCTION("""COMPUTED_VALUE"""),"b64dfed5-7be1-4c1d-b5fa-abe44528a406")</f>
        <v>b64dfed5-7be1-4c1d-b5fa-abe44528a406</v>
      </c>
      <c r="I824" s="10" t="str">
        <f>IFERROR(__xludf.DUMMYFUNCTION("""COMPUTED_VALUE"""),"b64dfed5-7be1-4c1d-b5fa-abe44528a406")</f>
        <v>b64dfed5-7be1-4c1d-b5fa-abe44528a406</v>
      </c>
    </row>
    <row r="825">
      <c r="A825" s="10" t="str">
        <f>IFERROR(__xludf.DUMMYFUNCTION("""COMPUTED_VALUE"""),"How our first million connected vehicles and machines support our customers’ business")</f>
        <v>How our first million connected vehicles and machines support our customers’ business</v>
      </c>
      <c r="B825" s="10" t="str">
        <f>IFERROR(__xludf.DUMMYFUNCTION("""COMPUTED_VALUE"""),"Join Volvo's Anna Westerberg as she discusses how connected customer assets gives our customers increased efficiency, safer traffic and better environment, benefits for the whole society.")</f>
        <v>Join Volvo's Anna Westerberg as she discusses how connected customer assets gives our customers increased efficiency, safer traffic and better environment, benefits for the whole society.</v>
      </c>
      <c r="C825" s="10" t="str">
        <f>IFERROR(__xludf.DUMMYFUNCTION("""COMPUTED_VALUE"""),"Auto/Tech &amp; TalkRobot")</f>
        <v>Auto/Tech &amp; TalkRobot</v>
      </c>
      <c r="D825" s="10" t="str">
        <f>IFERROR(__xludf.DUMMYFUNCTION("""COMPUTED_VALUE"""),"Anna Westerberg")</f>
        <v>Anna Westerberg</v>
      </c>
      <c r="E825" s="10" t="str">
        <f>IFERROR(__xludf.DUMMYFUNCTION("""COMPUTED_VALUE"""),"Anna Westerberg")</f>
        <v>Anna Westerberg</v>
      </c>
      <c r="F825" s="10" t="str">
        <f>IFERROR(__xludf.DUMMYFUNCTION("""COMPUTED_VALUE"""),"2019/11/05 10:45:00")</f>
        <v>2019/11/05 10:45:00</v>
      </c>
      <c r="G825" s="10" t="str">
        <f>IFERROR(__xludf.DUMMYFUNCTION("""COMPUTED_VALUE"""),"2019/11/05 11:00:00")</f>
        <v>2019/11/05 11:00:00</v>
      </c>
      <c r="H825" s="10" t="str">
        <f>IFERROR(__xludf.DUMMYFUNCTION("""COMPUTED_VALUE"""),"aa45042f-9e31-402a-954f-b94a0f7d0aa2")</f>
        <v>aa45042f-9e31-402a-954f-b94a0f7d0aa2</v>
      </c>
      <c r="I825" s="10" t="str">
        <f>IFERROR(__xludf.DUMMYFUNCTION("""COMPUTED_VALUE"""),"aa45042f-9e31-402a-954f-b94a0f7d0aa2")</f>
        <v>aa45042f-9e31-402a-954f-b94a0f7d0aa2</v>
      </c>
    </row>
    <row r="826">
      <c r="A826" s="10" t="str">
        <f>IFERROR(__xludf.DUMMYFUNCTION("""COMPUTED_VALUE"""),"Daring to go beyond customer centricity")</f>
        <v>Daring to go beyond customer centricity</v>
      </c>
      <c r="B826" s="10" t="str">
        <f>IFERROR(__xludf.DUMMYFUNCTION("""COMPUTED_VALUE"""),"IKEA's retail business is transforming — let's hear how this home furnishing company is developing data-driven domestic bliss.")</f>
        <v>IKEA's retail business is transforming — let's hear how this home furnishing company is developing data-driven domestic bliss.</v>
      </c>
      <c r="C826" s="10" t="str">
        <f>IFERROR(__xludf.DUMMYFUNCTION("""COMPUTED_VALUE"""),"PandaConf")</f>
        <v>PandaConf</v>
      </c>
      <c r="D826" s="10" t="str">
        <f>IFERROR(__xludf.DUMMYFUNCTION("""COMPUTED_VALUE"""),"Barbara Martin Coppola")</f>
        <v>Barbara Martin Coppola</v>
      </c>
      <c r="E826" s="10" t="str">
        <f>IFERROR(__xludf.DUMMYFUNCTION("""COMPUTED_VALUE"""),"Barbara Martin Coppola")</f>
        <v>Barbara Martin Coppola</v>
      </c>
      <c r="F826" s="10" t="str">
        <f>IFERROR(__xludf.DUMMYFUNCTION("""COMPUTED_VALUE"""),"2019/11/05 11:25:00")</f>
        <v>2019/11/05 11:25:00</v>
      </c>
      <c r="G826" s="10" t="str">
        <f>IFERROR(__xludf.DUMMYFUNCTION("""COMPUTED_VALUE"""),"2019/11/05 11:45:00")</f>
        <v>2019/11/05 11:45:00</v>
      </c>
      <c r="H826" s="10" t="str">
        <f>IFERROR(__xludf.DUMMYFUNCTION("""COMPUTED_VALUE"""),"17001da9-e844-4173-8ba0-6bbb8349e0ef")</f>
        <v>17001da9-e844-4173-8ba0-6bbb8349e0ef</v>
      </c>
      <c r="I826" s="10" t="str">
        <f>IFERROR(__xludf.DUMMYFUNCTION("""COMPUTED_VALUE"""),"17001da9-e844-4173-8ba0-6bbb8349e0ef")</f>
        <v>17001da9-e844-4173-8ba0-6bbb8349e0ef</v>
      </c>
    </row>
    <row r="827">
      <c r="A827" s="10" t="str">
        <f>IFERROR(__xludf.DUMMYFUNCTION("""COMPUTED_VALUE"""),"Registration")</f>
        <v>Registration</v>
      </c>
      <c r="B827" s="10" t="str">
        <f>IFERROR(__xludf.DUMMYFUNCTION("""COMPUTED_VALUE"""),"Register to receive your accreditation at the Altice Arena. Your lanyard and wristband are your passport to Web Summit, so collect them early and enjoy the day’s talks. 
You can register at the Altice Arena &amp; FIL in the main registration area from 8.30"&amp;"am to 5pm.
If you need more information about registration go to websummit.com/essentials/registration. ")</f>
        <v>Register to receive your accreditation at the Altice Arena. Your lanyard and wristband are your passport to Web Summit, so collect them early and enjoy the day’s talks. 
You can register at the Altice Arena &amp; FIL in the main registration area from 8.30am to 5pm.
If you need more information about registration go to websummit.com/essentials/registration. </v>
      </c>
      <c r="C827" s="10" t="str">
        <f>IFERROR(__xludf.DUMMYFUNCTION("""COMPUTED_VALUE"""),"Registration")</f>
        <v>Registration</v>
      </c>
      <c r="D827" s="10" t="str">
        <f>IFERROR(__xludf.DUMMYFUNCTION("""COMPUTED_VALUE"""),"")</f>
        <v/>
      </c>
      <c r="E827" s="10" t="str">
        <f>IFERROR(__xludf.DUMMYFUNCTION("""COMPUTED_VALUE"""),"")</f>
        <v/>
      </c>
      <c r="F827" s="10" t="str">
        <f>IFERROR(__xludf.DUMMYFUNCTION("""COMPUTED_VALUE"""),"2019/11/06 08:30:00")</f>
        <v>2019/11/06 08:30:00</v>
      </c>
      <c r="G827" s="10" t="str">
        <f>IFERROR(__xludf.DUMMYFUNCTION("""COMPUTED_VALUE"""),"2019/11/06 17:00:00")</f>
        <v>2019/11/06 17:00:00</v>
      </c>
      <c r="H827" s="10" t="str">
        <f>IFERROR(__xludf.DUMMYFUNCTION("""COMPUTED_VALUE"""),"a6b204d5-0819-404b-96d5-682cf7a9f67c")</f>
        <v>a6b204d5-0819-404b-96d5-682cf7a9f67c</v>
      </c>
      <c r="I827" s="10" t="str">
        <f>IFERROR(__xludf.DUMMYFUNCTION("""COMPUTED_VALUE"""),"a6b204d5-0819-404b-96d5-682cf7a9f67c")</f>
        <v>a6b204d5-0819-404b-96d5-682cf7a9f67c</v>
      </c>
    </row>
    <row r="828">
      <c r="A828" s="10" t="str">
        <f>IFERROR(__xludf.DUMMYFUNCTION("""COMPUTED_VALUE"""),"Build-a-bank: Designing the future of finance")</f>
        <v>Build-a-bank: Designing the future of finance</v>
      </c>
      <c r="B828" s="10" t="str">
        <f>IFERROR(__xludf.DUMMYFUNCTION("""COMPUTED_VALUE"""),"From physical interactions to user interfaces, banks have been notoriously slow on the development of design solutions for their consumers. In this talk, three design experts will discuss the importance of a seamless, engaging and memorable banking experi"&amp;"ence - both on and offline.  ")</f>
        <v>From physical interactions to user interfaces, banks have been notoriously slow on the development of design solutions for their consumers. In this talk, three design experts will discuss the importance of a seamless, engaging and memorable banking experience - both on and offline.  </v>
      </c>
      <c r="C828" s="10" t="str">
        <f>IFERROR(__xludf.DUMMYFUNCTION("""COMPUTED_VALUE"""),"MoneyConf")</f>
        <v>MoneyConf</v>
      </c>
      <c r="D828" s="10" t="str">
        <f>IFERROR(__xludf.DUMMYFUNCTION("""COMPUTED_VALUE"""),"Tim Kobe, Luis Uguina, Ilker Altıntaş and Ania Poullain-Majchrzak")</f>
        <v>Tim Kobe, Luis Uguina, Ilker Altıntaş and Ania Poullain-Majchrzak</v>
      </c>
      <c r="E828" s="10" t="str">
        <f>IFERROR(__xludf.DUMMYFUNCTION("""COMPUTED_VALUE"""),"Tim Kobe,Luis Uguina,Ilker Altıntaş,Ania Poullain-Majchrzak")</f>
        <v>Tim Kobe,Luis Uguina,Ilker Altıntaş,Ania Poullain-Majchrzak</v>
      </c>
      <c r="F828" s="10" t="str">
        <f>IFERROR(__xludf.DUMMYFUNCTION("""COMPUTED_VALUE"""),"2019/11/06 14:00:00")</f>
        <v>2019/11/06 14:00:00</v>
      </c>
      <c r="G828" s="10" t="str">
        <f>IFERROR(__xludf.DUMMYFUNCTION("""COMPUTED_VALUE"""),"2019/11/06 14:20:00")</f>
        <v>2019/11/06 14:20:00</v>
      </c>
      <c r="H828" s="10" t="str">
        <f>IFERROR(__xludf.DUMMYFUNCTION("""COMPUTED_VALUE"""),"04201e3d-9c27-47dc-8f9f-a7be028ef320")</f>
        <v>04201e3d-9c27-47dc-8f9f-a7be028ef320</v>
      </c>
      <c r="I828" s="10" t="str">
        <f>IFERROR(__xludf.DUMMYFUNCTION("""COMPUTED_VALUE"""),"04201e3d-9c27-47dc-8f9f-a7be028ef320")</f>
        <v>04201e3d-9c27-47dc-8f9f-a7be028ef320</v>
      </c>
    </row>
    <row r="829">
      <c r="A829" s="10" t="str">
        <f>IFERROR(__xludf.DUMMYFUNCTION("""COMPUTED_VALUE"""),"The transformative power of technology and digitisation")</f>
        <v>The transformative power of technology and digitisation</v>
      </c>
      <c r="B829" s="10" t="str">
        <f>IFERROR(__xludf.DUMMYFUNCTION("""COMPUTED_VALUE"""),"")</f>
        <v/>
      </c>
      <c r="C829" s="10" t="str">
        <f>IFERROR(__xludf.DUMMYFUNCTION("""COMPUTED_VALUE"""),"")</f>
        <v/>
      </c>
      <c r="D829" s="10" t="str">
        <f>IFERROR(__xludf.DUMMYFUNCTION("""COMPUTED_VALUE"""),"Margrethe Vestager")</f>
        <v>Margrethe Vestager</v>
      </c>
      <c r="E829" s="10" t="str">
        <f>IFERROR(__xludf.DUMMYFUNCTION("""COMPUTED_VALUE"""),"Margrethe Vestager")</f>
        <v>Margrethe Vestager</v>
      </c>
      <c r="F829" s="10" t="str">
        <f>IFERROR(__xludf.DUMMYFUNCTION("""COMPUTED_VALUE"""),"")</f>
        <v/>
      </c>
      <c r="G829" s="10" t="str">
        <f>IFERROR(__xludf.DUMMYFUNCTION("""COMPUTED_VALUE"""),"")</f>
        <v/>
      </c>
      <c r="H829" s="10" t="str">
        <f>IFERROR(__xludf.DUMMYFUNCTION("""COMPUTED_VALUE"""),"63d007e0-739e-5514-9f19-10d7f2270186")</f>
        <v>63d007e0-739e-5514-9f19-10d7f2270186</v>
      </c>
      <c r="I829" s="10" t="str">
        <f>IFERROR(__xludf.DUMMYFUNCTION("""COMPUTED_VALUE"""),"63d007e0-739e-5514-9f19-10d7f2270186")</f>
        <v>63d007e0-739e-5514-9f19-10d7f2270186</v>
      </c>
    </row>
    <row r="830">
      <c r="A830" s="10" t="str">
        <f>IFERROR(__xludf.DUMMYFUNCTION("""COMPUTED_VALUE"""),"Featured venue: Peixaria Restaurante")</f>
        <v>Featured venue: Peixaria Restaurante</v>
      </c>
      <c r="B830" s="10" t="str">
        <f>IFERROR(__xludf.DUMMYFUNCTION("""COMPUTED_VALUE"""),"If you've been wondering where the best grilled fish and seafood in Lisbon is, look no further. Peixaria restaurant is rumoured to knock all other competition out of the water.  
Night Summit deals: 
20% discount on all drinks")</f>
        <v>If you've been wondering where the best grilled fish and seafood in Lisbon is, look no further. Peixaria restaurant is rumoured to knock all other competition out of the water.  
Night Summit deals: 
20% discount on all drinks</v>
      </c>
      <c r="C830" s="10" t="str">
        <f>IFERROR(__xludf.DUMMYFUNCTION("""COMPUTED_VALUE"""),"Peixaria Restaurante")</f>
        <v>Peixaria Restaurante</v>
      </c>
      <c r="D830" s="10" t="str">
        <f>IFERROR(__xludf.DUMMYFUNCTION("""COMPUTED_VALUE"""),"")</f>
        <v/>
      </c>
      <c r="E830" s="10" t="str">
        <f>IFERROR(__xludf.DUMMYFUNCTION("""COMPUTED_VALUE"""),"")</f>
        <v/>
      </c>
      <c r="F830" s="10" t="str">
        <f>IFERROR(__xludf.DUMMYFUNCTION("""COMPUTED_VALUE"""),"2019/11/04 20:00:00")</f>
        <v>2019/11/04 20:00:00</v>
      </c>
      <c r="G830" s="10" t="str">
        <f>IFERROR(__xludf.DUMMYFUNCTION("""COMPUTED_VALUE"""),"2019/11/04 23:00:00")</f>
        <v>2019/11/04 23:00:00</v>
      </c>
      <c r="H830" s="10" t="str">
        <f>IFERROR(__xludf.DUMMYFUNCTION("""COMPUTED_VALUE"""),"d01dee45-0022-451b-8afa-bcc45241d6b8")</f>
        <v>d01dee45-0022-451b-8afa-bcc45241d6b8</v>
      </c>
      <c r="I830" s="10" t="str">
        <f>IFERROR(__xludf.DUMMYFUNCTION("""COMPUTED_VALUE"""),"d01dee45-0022-451b-8afa-bcc45241d6b8")</f>
        <v>d01dee45-0022-451b-8afa-bcc45241d6b8</v>
      </c>
    </row>
    <row r="831">
      <c r="A831" s="10" t="str">
        <f>IFERROR(__xludf.DUMMYFUNCTION("""COMPUTED_VALUE"""),"Unboxing your future smartphone")</f>
        <v>Unboxing your future smartphone</v>
      </c>
      <c r="B831" s="10" t="str">
        <f>IFERROR(__xludf.DUMMYFUNCTION("""COMPUTED_VALUE"""),"A group of the world’s leading unboxers will walk us through their first experience with some of the most exciting tech products from around the globe.")</f>
        <v>A group of the world’s leading unboxers will walk us through their first experience with some of the most exciting tech products from around the globe.</v>
      </c>
      <c r="C831" s="10" t="str">
        <f>IFERROR(__xludf.DUMMYFUNCTION("""COMPUTED_VALUE"""),"Centre Stage")</f>
        <v>Centre Stage</v>
      </c>
      <c r="D831" s="10" t="str">
        <f>IFERROR(__xludf.DUMMYFUNCTION("""COMPUTED_VALUE"""),"Kris Carlon, Tom Honeyands, Jacklyn Dallas, Eli Etherton and Lindsey Turrentine")</f>
        <v>Kris Carlon, Tom Honeyands, Jacklyn Dallas, Eli Etherton and Lindsey Turrentine</v>
      </c>
      <c r="E831" s="10" t="str">
        <f>IFERROR(__xludf.DUMMYFUNCTION("""COMPUTED_VALUE"""),"Kris Carlon,Tom Honeyands,Jacklyn Dallas,Eli Etherton,Lindsey Turrentine")</f>
        <v>Kris Carlon,Tom Honeyands,Jacklyn Dallas,Eli Etherton,Lindsey Turrentine</v>
      </c>
      <c r="F831" s="10" t="str">
        <f>IFERROR(__xludf.DUMMYFUNCTION("""COMPUTED_VALUE"""),"2019/11/06 11:55:00")</f>
        <v>2019/11/06 11:55:00</v>
      </c>
      <c r="G831" s="10" t="str">
        <f>IFERROR(__xludf.DUMMYFUNCTION("""COMPUTED_VALUE"""),"2019/11/06 12:20:00")</f>
        <v>2019/11/06 12:20:00</v>
      </c>
      <c r="H831" s="10" t="str">
        <f>IFERROR(__xludf.DUMMYFUNCTION("""COMPUTED_VALUE"""),"a0ce662b-cb37-41b9-9e74-9e0b781f25bc")</f>
        <v>a0ce662b-cb37-41b9-9e74-9e0b781f25bc</v>
      </c>
      <c r="I831" s="10" t="str">
        <f>IFERROR(__xludf.DUMMYFUNCTION("""COMPUTED_VALUE"""),"a0ce662b-cb37-41b9-9e74-9e0b781f25bc")</f>
        <v>a0ce662b-cb37-41b9-9e74-9e0b781f25bc</v>
      </c>
    </row>
    <row r="832">
      <c r="A832" s="10" t="str">
        <f>IFERROR(__xludf.DUMMYFUNCTION("""COMPUTED_VALUE"""),"UI and the future of the customer experience")</f>
        <v>UI and the future of the customer experience</v>
      </c>
      <c r="B832" s="10" t="str">
        <f>IFERROR(__xludf.DUMMYFUNCTION("""COMPUTED_VALUE"""),"A panel of industry experts outline their vision for the evolving role of UI in the relationship between a brand and its customers.  They'll outline best practice guidelines that every company can follow.")</f>
        <v>A panel of industry experts outline their vision for the evolving role of UI in the relationship between a brand and its customers.  They'll outline best practice guidelines that every company can follow.</v>
      </c>
      <c r="C832" s="10" t="str">
        <f>IFERROR(__xludf.DUMMYFUNCTION("""COMPUTED_VALUE"""),"creatiff")</f>
        <v>creatiff</v>
      </c>
      <c r="D832" s="10" t="str">
        <f>IFERROR(__xludf.DUMMYFUNCTION("""COMPUTED_VALUE"""),"Olga Madejska, Georg Petschnigg, Hector Ouilhet and Katie Deighton")</f>
        <v>Olga Madejska, Georg Petschnigg, Hector Ouilhet and Katie Deighton</v>
      </c>
      <c r="E832" s="10" t="str">
        <f>IFERROR(__xludf.DUMMYFUNCTION("""COMPUTED_VALUE"""),"Olga Madejska,Georg Petschnigg,Hector Ouilhet,Katie Deighton")</f>
        <v>Olga Madejska,Georg Petschnigg,Hector Ouilhet,Katie Deighton</v>
      </c>
      <c r="F832" s="10" t="str">
        <f>IFERROR(__xludf.DUMMYFUNCTION("""COMPUTED_VALUE"""),"2019/11/05 11:55:00")</f>
        <v>2019/11/05 11:55:00</v>
      </c>
      <c r="G832" s="10" t="str">
        <f>IFERROR(__xludf.DUMMYFUNCTION("""COMPUTED_VALUE"""),"2019/11/05 12:20:00")</f>
        <v>2019/11/05 12:20:00</v>
      </c>
      <c r="H832" s="10" t="str">
        <f>IFERROR(__xludf.DUMMYFUNCTION("""COMPUTED_VALUE"""),"58eb2fcd-42b4-4cca-9c6e-24d2309f15e7")</f>
        <v>58eb2fcd-42b4-4cca-9c6e-24d2309f15e7</v>
      </c>
      <c r="I832" s="10" t="str">
        <f>IFERROR(__xludf.DUMMYFUNCTION("""COMPUTED_VALUE"""),"58eb2fcd-42b4-4cca-9c6e-24d2309f15e7")</f>
        <v>58eb2fcd-42b4-4cca-9c6e-24d2309f15e7</v>
      </c>
    </row>
    <row r="833">
      <c r="A833" s="10" t="str">
        <f>IFERROR(__xludf.DUMMYFUNCTION("""COMPUTED_VALUE"""),"Abandon your black mirror: Conquering tech addiction")</f>
        <v>Abandon your black mirror: Conquering tech addiction</v>
      </c>
      <c r="B833" s="10" t="str">
        <f>IFERROR(__xludf.DUMMYFUNCTION("""COMPUTED_VALUE"""),"Endless scrolling, constant texting, and living our lives staring at phones. These are some of the signs of tech addiction. So much of modern life is spent gazing at that black mirror. In this session we hear from two leading proponents of getting people "&amp;"off their phones and out into the real world.")</f>
        <v>Endless scrolling, constant texting, and living our lives staring at phones. These are some of the signs of tech addiction. So much of modern life is spent gazing at that black mirror. In this session we hear from two leading proponents of getting people off their phones and out into the real world.</v>
      </c>
      <c r="C833" s="10" t="str">
        <f>IFERROR(__xludf.DUMMYFUNCTION("""COMPUTED_VALUE"""),"Centre Stage")</f>
        <v>Centre Stage</v>
      </c>
      <c r="D833" s="10" t="str">
        <f>IFERROR(__xludf.DUMMYFUNCTION("""COMPUTED_VALUE"""),"Justin McLeod, Dame Til Wykes and Katie Collins")</f>
        <v>Justin McLeod, Dame Til Wykes and Katie Collins</v>
      </c>
      <c r="E833" s="10" t="str">
        <f>IFERROR(__xludf.DUMMYFUNCTION("""COMPUTED_VALUE"""),"Justin McLeod,Dame Til Wykes,Katie Collins")</f>
        <v>Justin McLeod,Dame Til Wykes,Katie Collins</v>
      </c>
      <c r="F833" s="10" t="str">
        <f>IFERROR(__xludf.DUMMYFUNCTION("""COMPUTED_VALUE"""),"2019/11/07 15:10:00")</f>
        <v>2019/11/07 15:10:00</v>
      </c>
      <c r="G833" s="10" t="str">
        <f>IFERROR(__xludf.DUMMYFUNCTION("""COMPUTED_VALUE"""),"2019/11/07 15:35:00")</f>
        <v>2019/11/07 15:35:00</v>
      </c>
      <c r="H833" s="10" t="str">
        <f>IFERROR(__xludf.DUMMYFUNCTION("""COMPUTED_VALUE"""),"b8851ff5-4de5-4971-8890-ea640e4b052f")</f>
        <v>b8851ff5-4de5-4971-8890-ea640e4b052f</v>
      </c>
      <c r="I833" s="10" t="str">
        <f>IFERROR(__xludf.DUMMYFUNCTION("""COMPUTED_VALUE"""),"b8851ff5-4de5-4971-8890-ea640e4b052f")</f>
        <v>b8851ff5-4de5-4971-8890-ea640e4b052f</v>
      </c>
    </row>
    <row r="834">
      <c r="A834" s="10" t="str">
        <f>IFERROR(__xludf.DUMMYFUNCTION("""COMPUTED_VALUE"""),"Startup Showcase")</f>
        <v>Startup Showcase</v>
      </c>
      <c r="B834" s="10"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v>
      </c>
      <c r="C834" s="10" t="str">
        <f>IFERROR(__xludf.DUMMYFUNCTION("""COMPUTED_VALUE"""),"Startup Showcase 2")</f>
        <v>Startup Showcase 2</v>
      </c>
      <c r="D834" s="10" t="str">
        <f>IFERROR(__xludf.DUMMYFUNCTION("""COMPUTED_VALUE"""),"IGOR OVCHARENKO, Gabriel Ayala, Mike Bonfigli, Stratos Apostolidis, Szymon Paroszkiewicz, Dimitry Nikiforov, Alma Gangsburg , Lukasz Lopacinski, David Conde, Krzysztof Bulski, Daniel Rachid Monici, Oliver Werneyer, Alina Kornienko, Bruno Soares, Gaya Rabe"&amp;"llo, David Scott Turner, Erich Schudt, Giannis Tsolaridis, Juan Carlos Lopez Diaz, Valeriy Krasnikov, Konrad Gładkowski, Edouard Beauvois, Den Melnykov, Karina Revenco, Marta Kaleńska - Jaśkiewicz, Afonso Vieira, Alexandr Priezzhev, Edouard Beauvois, Adam"&amp;" Jones, Fred Gegoux, Christoph Erb, Kevin Cash, Elio Martinez, Denys Kyrychenko, Henning Wagner, Soohan Han, Damien Labrunie, Ivo Luhse, Radomir Studzinski, David Carvajal, André Flórido, Cora Vinagre Sendino, Felix Niederer, Dmytro Dziubenko, Matthew Tre"&amp;"tt, Dimitrios Tsangalidis, Peko Wan, Elena Romanova, Samuel Lathey and Andreas Harpas")</f>
        <v>IGOR OVCHARENKO, Gabriel Ayala, Mike Bonfigli, Stratos Apostolidis, Szymon Paroszkiewicz, Dimitry Nikiforov, Alma Gangsburg , Lukasz Lopacinski, David Conde, Krzysztof Bulski, Daniel Rachid Monici, Oliver Werneyer, Alina Kornienko, Bruno Soares, Gaya Rabello, David Scott Turner, Erich Schudt, Giannis Tsolaridis, Juan Carlos Lopez Diaz, Valeriy Krasnikov, Konrad Gładkowski, Edouard Beauvois, Den Melnykov, Karina Revenco, Marta Kaleńska - Jaśkiewicz, Afonso Vieira, Alexandr Priezzhev, Edouard Beauvois, Adam Jones, Fred Gegoux, Christoph Erb, Kevin Cash, Elio Martinez, Denys Kyrychenko, Henning Wagner, Soohan Han, Damien Labrunie, Ivo Luhse, Radomir Studzinski, David Carvajal, André Flórido, Cora Vinagre Sendino, Felix Niederer, Dmytro Dziubenko, Matthew Trett, Dimitrios Tsangalidis, Peko Wan, Elena Romanova, Samuel Lathey and Andreas Harpas</v>
      </c>
      <c r="E834" s="10" t="str">
        <f>IFERROR(__xludf.DUMMYFUNCTION("""COMPUTED_VALUE"""),"IGOR OVCHARENKO,Gabriel Ayala,Mike Bonfigli,Stratos Apostolidis,Szymon Paroszkiewicz,Dimitry Nikiforov,Alma Gangsburg ,Lukasz Lopacinski,David Conde,Krzysztof Bulski,Daniel Rachid Monici,Oliver Werneyer,Alina Kornienko,Bruno Soares,Gaya Rabello,David Scot"&amp;"t Turner,Erich Schudt,Giannis Tsolaridis,Juan Carlos Lopez Diaz,Valeriy Krasnikov,Konrad Gładkowski,Edouard Beauvois,Den Melnykov,Karina Revenco,Marta Kaleńska - Jaśkiewicz,Afonso Vieira,Alexandr Priezzhev,Edouard Beauvois,Adam Jones,Fred Gegoux,Christoph"&amp;" Erb,Kevin Cash,Elio Martinez,Denys Kyrychenko,Henning Wagner,Soohan Han,Damien Labrunie,Ivo Luhse,Radomir Studzinski,David Carvajal,André Flórido,Cora Vinagre Sendino,Felix Niederer,Dmytro Dziubenko,Matthew Trett,Dimitrios Tsangalidis,Peko Wan,Elena Roma"&amp;"nova,Samuel Lathey,Andreas Harpas")</f>
        <v>IGOR OVCHARENKO,Gabriel Ayala,Mike Bonfigli,Stratos Apostolidis,Szymon Paroszkiewicz,Dimitry Nikiforov,Alma Gangsburg ,Lukasz Lopacinski,David Conde,Krzysztof Bulski,Daniel Rachid Monici,Oliver Werneyer,Alina Kornienko,Bruno Soares,Gaya Rabello,David Scott Turner,Erich Schudt,Giannis Tsolaridis,Juan Carlos Lopez Diaz,Valeriy Krasnikov,Konrad Gładkowski,Edouard Beauvois,Den Melnykov,Karina Revenco,Marta Kaleńska - Jaśkiewicz,Afonso Vieira,Alexandr Priezzhev,Edouard Beauvois,Adam Jones,Fred Gegoux,Christoph Erb,Kevin Cash,Elio Martinez,Denys Kyrychenko,Henning Wagner,Soohan Han,Damien Labrunie,Ivo Luhse,Radomir Studzinski,David Carvajal,André Flórido,Cora Vinagre Sendino,Felix Niederer,Dmytro Dziubenko,Matthew Trett,Dimitrios Tsangalidis,Peko Wan,Elena Romanova,Samuel Lathey,Andreas Harpas</v>
      </c>
      <c r="F834" s="10" t="str">
        <f>IFERROR(__xludf.DUMMYFUNCTION("""COMPUTED_VALUE"""),"2019/11/06 14:15:00")</f>
        <v>2019/11/06 14:15:00</v>
      </c>
      <c r="G834" s="10" t="str">
        <f>IFERROR(__xludf.DUMMYFUNCTION("""COMPUTED_VALUE"""),"2019/11/06 15:15:00")</f>
        <v>2019/11/06 15:15:00</v>
      </c>
      <c r="H834" s="10" t="str">
        <f>IFERROR(__xludf.DUMMYFUNCTION("""COMPUTED_VALUE"""),"e88fb1c9-9a40-4ee8-8628-69b8fefa5ef5")</f>
        <v>e88fb1c9-9a40-4ee8-8628-69b8fefa5ef5</v>
      </c>
      <c r="I834" s="10" t="str">
        <f>IFERROR(__xludf.DUMMYFUNCTION("""COMPUTED_VALUE"""),"e88fb1c9-9a40-4ee8-8628-69b8fefa5ef5")</f>
        <v>e88fb1c9-9a40-4ee8-8628-69b8fefa5ef5</v>
      </c>
    </row>
    <row r="835">
      <c r="A835" s="10" t="str">
        <f>IFERROR(__xludf.DUMMYFUNCTION("""COMPUTED_VALUE"""),"Is IPO the ultimate sign of success?")</f>
        <v>Is IPO the ultimate sign of success?</v>
      </c>
      <c r="B835" s="10" t="str">
        <f>IFERROR(__xludf.DUMMYFUNCTION("""COMPUTED_VALUE"""),"Highly valued companies are staying private for longer. How do we motivate growth stage founders when the path to exit is prolonged? Private equity exits used to be both stigmatised and inaccessible for most startups. No longer. They're now becoming a go-"&amp;"to strategy, accounting for almost one-fifth of VC exits. Will this last or should IPOs be the ultimate goal for founders and investors?")</f>
        <v>Highly valued companies are staying private for longer. How do we motivate growth stage founders when the path to exit is prolonged? Private equity exits used to be both stigmatised and inaccessible for most startups. No longer. They're now becoming a go-to strategy, accounting for almost one-fifth of VC exits. Will this last or should IPOs be the ultimate goal for founders and investors?</v>
      </c>
      <c r="C835" s="10" t="str">
        <f>IFERROR(__xludf.DUMMYFUNCTION("""COMPUTED_VALUE"""),"Venture stage")</f>
        <v>Venture stage</v>
      </c>
      <c r="D835" s="10" t="str">
        <f>IFERROR(__xludf.DUMMYFUNCTION("""COMPUTED_VALUE"""),"Nizar Tarhuni, Ravi Viswanathan and Alex Irwin-Hunt")</f>
        <v>Nizar Tarhuni, Ravi Viswanathan and Alex Irwin-Hunt</v>
      </c>
      <c r="E835" s="10" t="str">
        <f>IFERROR(__xludf.DUMMYFUNCTION("""COMPUTED_VALUE"""),"Nizar Tarhuni,Ravi Viswanathan,Alex Irwin-Hunt")</f>
        <v>Nizar Tarhuni,Ravi Viswanathan,Alex Irwin-Hunt</v>
      </c>
      <c r="F835" s="10" t="str">
        <f>IFERROR(__xludf.DUMMYFUNCTION("""COMPUTED_VALUE"""),"2019/11/07 12:20:00")</f>
        <v>2019/11/07 12:20:00</v>
      </c>
      <c r="G835" s="10" t="str">
        <f>IFERROR(__xludf.DUMMYFUNCTION("""COMPUTED_VALUE"""),"2019/11/07 12:45:00")</f>
        <v>2019/11/07 12:45:00</v>
      </c>
      <c r="H835" s="10" t="str">
        <f>IFERROR(__xludf.DUMMYFUNCTION("""COMPUTED_VALUE"""),"6307bcaa-8a28-46cc-8ef4-6531d91e25d3")</f>
        <v>6307bcaa-8a28-46cc-8ef4-6531d91e25d3</v>
      </c>
      <c r="I835" s="10" t="str">
        <f>IFERROR(__xludf.DUMMYFUNCTION("""COMPUTED_VALUE"""),"6307bcaa-8a28-46cc-8ef4-6531d91e25d3")</f>
        <v>6307bcaa-8a28-46cc-8ef4-6531d91e25d3</v>
      </c>
    </row>
    <row r="836">
      <c r="A836" s="10" t="str">
        <f>IFERROR(__xludf.DUMMYFUNCTION("""COMPUTED_VALUE"""),"Building a European champion in five years")</f>
        <v>Building a European champion in five years</v>
      </c>
      <c r="B836" s="10" t="str">
        <f>IFERROR(__xludf.DUMMYFUNCTION("""COMPUTED_VALUE"""),"How can you build a European champion in 5 years? Firmin, co-founder and CEO at PayFit, will address the five key lessons you need to succeed on a B2B market. ")</f>
        <v>How can you build a European champion in 5 years? Firmin, co-founder and CEO at PayFit, will address the five key lessons you need to succeed on a B2B market. </v>
      </c>
      <c r="C836" s="10" t="str">
        <f>IFERROR(__xludf.DUMMYFUNCTION("""COMPUTED_VALUE"""),"Growth Summit")</f>
        <v>Growth Summit</v>
      </c>
      <c r="D836" s="10" t="str">
        <f>IFERROR(__xludf.DUMMYFUNCTION("""COMPUTED_VALUE"""),"Firmin Zocchetto")</f>
        <v>Firmin Zocchetto</v>
      </c>
      <c r="E836" s="10" t="str">
        <f>IFERROR(__xludf.DUMMYFUNCTION("""COMPUTED_VALUE"""),"Firmin Zocchetto")</f>
        <v>Firmin Zocchetto</v>
      </c>
      <c r="F836" s="10" t="str">
        <f>IFERROR(__xludf.DUMMYFUNCTION("""COMPUTED_VALUE"""),"2019/11/05 14:53:00")</f>
        <v>2019/11/05 14:53:00</v>
      </c>
      <c r="G836" s="10" t="str">
        <f>IFERROR(__xludf.DUMMYFUNCTION("""COMPUTED_VALUE"""),"2019/11/05 15:04:00")</f>
        <v>2019/11/05 15:04:00</v>
      </c>
      <c r="H836" s="10" t="str">
        <f>IFERROR(__xludf.DUMMYFUNCTION("""COMPUTED_VALUE"""),"99f588af-9185-44f9-90d2-7b770aefa8b5")</f>
        <v>99f588af-9185-44f9-90d2-7b770aefa8b5</v>
      </c>
      <c r="I836" s="10" t="str">
        <f>IFERROR(__xludf.DUMMYFUNCTION("""COMPUTED_VALUE"""),"99f588af-9185-44f9-90d2-7b770aefa8b5")</f>
        <v>99f588af-9185-44f9-90d2-7b770aefa8b5</v>
      </c>
    </row>
    <row r="837">
      <c r="A837" s="10" t="str">
        <f>IFERROR(__xludf.DUMMYFUNCTION("""COMPUTED_VALUE"""),"Using the Silicon Valley playbook to take on big tech")</f>
        <v>Using the Silicon Valley playbook to take on big tech</v>
      </c>
      <c r="B837" s="10" t="str">
        <f>IFERROR(__xludf.DUMMYFUNCTION("""COMPUTED_VALUE"""),"Founder of DFINITY, Dominic outlines how the company combined the NASA and Silicon Valley playbooks to build the Internet Computer that promises to reverse Big Tech’s monopolisation of the internet. Dominic will explain how the science behind landing men "&amp;"on the moon and building the most valuable tech companies powered the growth of DFINITY.")</f>
        <v>Founder of DFINITY, Dominic outlines how the company combined the NASA and Silicon Valley playbooks to build the Internet Computer that promises to reverse Big Tech’s monopolisation of the internet. Dominic will explain how the science behind landing men on the moon and building the most valuable tech companies powered the growth of DFINITY.</v>
      </c>
      <c r="C837" s="10" t="str">
        <f>IFERROR(__xludf.DUMMYFUNCTION("""COMPUTED_VALUE"""),"Growth Summit")</f>
        <v>Growth Summit</v>
      </c>
      <c r="D837" s="10" t="str">
        <f>IFERROR(__xludf.DUMMYFUNCTION("""COMPUTED_VALUE"""),"Dominic Williams")</f>
        <v>Dominic Williams</v>
      </c>
      <c r="E837" s="10" t="str">
        <f>IFERROR(__xludf.DUMMYFUNCTION("""COMPUTED_VALUE"""),"Dominic Williams")</f>
        <v>Dominic Williams</v>
      </c>
      <c r="F837" s="10" t="str">
        <f>IFERROR(__xludf.DUMMYFUNCTION("""COMPUTED_VALUE"""),"2019/11/05 15:26:00")</f>
        <v>2019/11/05 15:26:00</v>
      </c>
      <c r="G837" s="10" t="str">
        <f>IFERROR(__xludf.DUMMYFUNCTION("""COMPUTED_VALUE"""),"2019/11/05 15:37:00")</f>
        <v>2019/11/05 15:37:00</v>
      </c>
      <c r="H837" s="10" t="str">
        <f>IFERROR(__xludf.DUMMYFUNCTION("""COMPUTED_VALUE"""),"579fc4f0-9bc4-443c-9fe1-d3b348b2076b")</f>
        <v>579fc4f0-9bc4-443c-9fe1-d3b348b2076b</v>
      </c>
      <c r="I837" s="10" t="str">
        <f>IFERROR(__xludf.DUMMYFUNCTION("""COMPUTED_VALUE"""),"579fc4f0-9bc4-443c-9fe1-d3b348b2076b")</f>
        <v>579fc4f0-9bc4-443c-9fe1-d3b348b2076b</v>
      </c>
    </row>
    <row r="838">
      <c r="A838" s="10" t="str">
        <f>IFERROR(__xludf.DUMMYFUNCTION("""COMPUTED_VALUE"""),"Building and funding your first idea")</f>
        <v>Building and funding your first idea</v>
      </c>
      <c r="B838" s="10" t="str">
        <f>IFERROR(__xludf.DUMMYFUNCTION("""COMPUTED_VALUE"""),"They say you can't build a house without a foundation. And for startups, the foundation is a problem that needs solving. What's the secret to turning the seed of an idea into a company that gains traction in a hurry?")</f>
        <v>They say you can't build a house without a foundation. And for startups, the foundation is a problem that needs solving. What's the secret to turning the seed of an idea into a company that gains traction in a hurry?</v>
      </c>
      <c r="C838" s="10" t="str">
        <f>IFERROR(__xludf.DUMMYFUNCTION("""COMPUTED_VALUE"""),"Venture stage")</f>
        <v>Venture stage</v>
      </c>
      <c r="D838" s="10" t="str">
        <f>IFERROR(__xludf.DUMMYFUNCTION("""COMPUTED_VALUE"""),"Hussein Kanji, Nic Brisbourne, Francesca Warner and Britta Muzyk-Tikovsky")</f>
        <v>Hussein Kanji, Nic Brisbourne, Francesca Warner and Britta Muzyk-Tikovsky</v>
      </c>
      <c r="E838" s="10" t="str">
        <f>IFERROR(__xludf.DUMMYFUNCTION("""COMPUTED_VALUE"""),"Hussein Kanji,Nic Brisbourne,Francesca Warner,Britta Muzyk-Tikovsky")</f>
        <v>Hussein Kanji,Nic Brisbourne,Francesca Warner,Britta Muzyk-Tikovsky</v>
      </c>
      <c r="F838" s="10" t="str">
        <f>IFERROR(__xludf.DUMMYFUNCTION("""COMPUTED_VALUE"""),"2019/11/06 11:25:00")</f>
        <v>2019/11/06 11:25:00</v>
      </c>
      <c r="G838" s="10" t="str">
        <f>IFERROR(__xludf.DUMMYFUNCTION("""COMPUTED_VALUE"""),"2019/11/06 11:45:00")</f>
        <v>2019/11/06 11:45:00</v>
      </c>
      <c r="H838" s="10" t="str">
        <f>IFERROR(__xludf.DUMMYFUNCTION("""COMPUTED_VALUE"""),"016337c4-5fff-43e8-97b4-b781e3bd9939")</f>
        <v>016337c4-5fff-43e8-97b4-b781e3bd9939</v>
      </c>
      <c r="I838" s="10" t="str">
        <f>IFERROR(__xludf.DUMMYFUNCTION("""COMPUTED_VALUE"""),"016337c4-5fff-43e8-97b4-b781e3bd9939")</f>
        <v>016337c4-5fff-43e8-97b4-b781e3bd9939</v>
      </c>
    </row>
    <row r="839">
      <c r="A839" s="10" t="str">
        <f>IFERROR(__xludf.DUMMYFUNCTION("""COMPUTED_VALUE"""),"How BestDoctor multiplied business by 500%")</f>
        <v>How BestDoctor multiplied business by 500%</v>
      </c>
      <c r="B839" s="10" t="str">
        <f>IFERROR(__xludf.DUMMYFUNCTION("""COMPUTED_VALUE"""),"Hear from BestDoctor's CEO, Mark Sanevich, on the company’s background in creating the best customer service on the Russian insurance market. This year the company scaled up business by five and are now creating the healthcare ecosystem of the future.")</f>
        <v>Hear from BestDoctor's CEO, Mark Sanevich, on the company’s background in creating the best customer service on the Russian insurance market. This year the company scaled up business by five and are now creating the healthcare ecosystem of the future.</v>
      </c>
      <c r="C839" s="10" t="str">
        <f>IFERROR(__xludf.DUMMYFUNCTION("""COMPUTED_VALUE"""),"Growth Summit")</f>
        <v>Growth Summit</v>
      </c>
      <c r="D839" s="10" t="str">
        <f>IFERROR(__xludf.DUMMYFUNCTION("""COMPUTED_VALUE"""),"Mark Sanevich")</f>
        <v>Mark Sanevich</v>
      </c>
      <c r="E839" s="10" t="str">
        <f>IFERROR(__xludf.DUMMYFUNCTION("""COMPUTED_VALUE"""),"Mark Sanevich")</f>
        <v>Mark Sanevich</v>
      </c>
      <c r="F839" s="10" t="str">
        <f>IFERROR(__xludf.DUMMYFUNCTION("""COMPUTED_VALUE"""),"2019/11/05 10:10:00")</f>
        <v>2019/11/05 10:10:00</v>
      </c>
      <c r="G839" s="10" t="str">
        <f>IFERROR(__xludf.DUMMYFUNCTION("""COMPUTED_VALUE"""),"2019/11/05 10:14:00")</f>
        <v>2019/11/05 10:14:00</v>
      </c>
      <c r="H839" s="10" t="str">
        <f>IFERROR(__xludf.DUMMYFUNCTION("""COMPUTED_VALUE"""),"3f00f51a-fc0a-45fd-ac87-cb17c0685214")</f>
        <v>3f00f51a-fc0a-45fd-ac87-cb17c0685214</v>
      </c>
      <c r="I839" s="10" t="str">
        <f>IFERROR(__xludf.DUMMYFUNCTION("""COMPUTED_VALUE"""),"3f00f51a-fc0a-45fd-ac87-cb17c0685214")</f>
        <v>3f00f51a-fc0a-45fd-ac87-cb17c0685214</v>
      </c>
    </row>
    <row r="840">
      <c r="A840" s="10" t="str">
        <f>IFERROR(__xludf.DUMMYFUNCTION("""COMPUTED_VALUE"""),"Behind the paywall: Making money in media")</f>
        <v>Behind the paywall: Making money in media</v>
      </c>
      <c r="B840" s="10" t="str">
        <f>IFERROR(__xludf.DUMMYFUNCTION("""COMPUTED_VALUE"""),"Is there still money to be made in media?  ")</f>
        <v>Is there still money to be made in media?  </v>
      </c>
      <c r="C840" s="10" t="str">
        <f>IFERROR(__xludf.DUMMYFUNCTION("""COMPUTED_VALUE"""),"PandaConf")</f>
        <v>PandaConf</v>
      </c>
      <c r="D840" s="10" t="str">
        <f>IFERROR(__xludf.DUMMYFUNCTION("""COMPUTED_VALUE"""),"Brendan Eich, Yaron Galai and Kit Eaton")</f>
        <v>Brendan Eich, Yaron Galai and Kit Eaton</v>
      </c>
      <c r="E840" s="10" t="str">
        <f>IFERROR(__xludf.DUMMYFUNCTION("""COMPUTED_VALUE"""),"Brendan Eich,Yaron Galai,Kit Eaton")</f>
        <v>Brendan Eich,Yaron Galai,Kit Eaton</v>
      </c>
      <c r="F840" s="10" t="str">
        <f>IFERROR(__xludf.DUMMYFUNCTION("""COMPUTED_VALUE"""),"2019/11/06 12:10:00")</f>
        <v>2019/11/06 12:10:00</v>
      </c>
      <c r="G840" s="10" t="str">
        <f>IFERROR(__xludf.DUMMYFUNCTION("""COMPUTED_VALUE"""),"2019/11/06 12:30:00")</f>
        <v>2019/11/06 12:30:00</v>
      </c>
      <c r="H840" s="10" t="str">
        <f>IFERROR(__xludf.DUMMYFUNCTION("""COMPUTED_VALUE"""),"ed625704-266c-45fc-b093-337bcd4e6c90")</f>
        <v>ed625704-266c-45fc-b093-337bcd4e6c90</v>
      </c>
      <c r="I840" s="10" t="str">
        <f>IFERROR(__xludf.DUMMYFUNCTION("""COMPUTED_VALUE"""),"ed625704-266c-45fc-b093-337bcd4e6c90")</f>
        <v>ed625704-266c-45fc-b093-337bcd4e6c90</v>
      </c>
    </row>
    <row r="841">
      <c r="A841" s="10" t="str">
        <f>IFERROR(__xludf.DUMMYFUNCTION("""COMPUTED_VALUE"""),"The egg and the chicken: Product-market fit &amp; product-investor fit")</f>
        <v>The egg and the chicken: Product-market fit &amp; product-investor fit</v>
      </c>
      <c r="B841" s="10" t="str">
        <f>IFERROR(__xludf.DUMMYFUNCTION("""COMPUTED_VALUE"""),"Khaled Sehly, co-founder and managing director of AirWayBill will be sharing his insights on how to get an investor to see your product-market fit after raising $3m in tech, coming from pharmaceutical marketing.")</f>
        <v>Khaled Sehly, co-founder and managing director of AirWayBill will be sharing his insights on how to get an investor to see your product-market fit after raising $3m in tech, coming from pharmaceutical marketing.</v>
      </c>
      <c r="C841" s="10" t="str">
        <f>IFERROR(__xludf.DUMMYFUNCTION("""COMPUTED_VALUE"""),"Growth Summit")</f>
        <v>Growth Summit</v>
      </c>
      <c r="D841" s="10" t="str">
        <f>IFERROR(__xludf.DUMMYFUNCTION("""COMPUTED_VALUE"""),"Khaled Sehly")</f>
        <v>Khaled Sehly</v>
      </c>
      <c r="E841" s="10" t="str">
        <f>IFERROR(__xludf.DUMMYFUNCTION("""COMPUTED_VALUE"""),"Khaled Sehly")</f>
        <v>Khaled Sehly</v>
      </c>
      <c r="F841" s="10" t="str">
        <f>IFERROR(__xludf.DUMMYFUNCTION("""COMPUTED_VALUE"""),"2019/11/07 11:26:00")</f>
        <v>2019/11/07 11:26:00</v>
      </c>
      <c r="G841" s="10" t="str">
        <f>IFERROR(__xludf.DUMMYFUNCTION("""COMPUTED_VALUE"""),"2019/11/07 11:30:00")</f>
        <v>2019/11/07 11:30:00</v>
      </c>
      <c r="H841" s="10" t="str">
        <f>IFERROR(__xludf.DUMMYFUNCTION("""COMPUTED_VALUE"""),"63f9b21c-dcf4-4d78-aff7-6eb09765cf6d")</f>
        <v>63f9b21c-dcf4-4d78-aff7-6eb09765cf6d</v>
      </c>
      <c r="I841" s="10" t="str">
        <f>IFERROR(__xludf.DUMMYFUNCTION("""COMPUTED_VALUE"""),"63f9b21c-dcf4-4d78-aff7-6eb09765cf6d")</f>
        <v>63f9b21c-dcf4-4d78-aff7-6eb09765cf6d</v>
      </c>
    </row>
    <row r="842">
      <c r="A842" s="10" t="str">
        <f>IFERROR(__xludf.DUMMYFUNCTION("""COMPUTED_VALUE"""),"Why neglecting culture may kill your business")</f>
        <v>Why neglecting culture may kill your business</v>
      </c>
      <c r="B842" s="10" t="str">
        <f>IFERROR(__xludf.DUMMYFUNCTION("""COMPUTED_VALUE"""),"Co-founder and CEO of Taxfix, Mathis will explain how he's learned that the right company culture can boost your business.")</f>
        <v>Co-founder and CEO of Taxfix, Mathis will explain how he's learned that the right company culture can boost your business.</v>
      </c>
      <c r="C842" s="10" t="str">
        <f>IFERROR(__xludf.DUMMYFUNCTION("""COMPUTED_VALUE"""),"Growth Summit")</f>
        <v>Growth Summit</v>
      </c>
      <c r="D842" s="10" t="str">
        <f>IFERROR(__xludf.DUMMYFUNCTION("""COMPUTED_VALUE"""),"Mathis Buechi")</f>
        <v>Mathis Buechi</v>
      </c>
      <c r="E842" s="10" t="str">
        <f>IFERROR(__xludf.DUMMYFUNCTION("""COMPUTED_VALUE"""),"Mathis Buechi")</f>
        <v>Mathis Buechi</v>
      </c>
      <c r="F842" s="10" t="str">
        <f>IFERROR(__xludf.DUMMYFUNCTION("""COMPUTED_VALUE"""),"2019/11/06 16:43:00")</f>
        <v>2019/11/06 16:43:00</v>
      </c>
      <c r="G842" s="10" t="str">
        <f>IFERROR(__xludf.DUMMYFUNCTION("""COMPUTED_VALUE"""),"2019/11/06 16:54:00")</f>
        <v>2019/11/06 16:54:00</v>
      </c>
      <c r="H842" s="10" t="str">
        <f>IFERROR(__xludf.DUMMYFUNCTION("""COMPUTED_VALUE"""),"35593f54-893a-4b38-bc50-0c1ff0a44dbb")</f>
        <v>35593f54-893a-4b38-bc50-0c1ff0a44dbb</v>
      </c>
      <c r="I842" s="10" t="str">
        <f>IFERROR(__xludf.DUMMYFUNCTION("""COMPUTED_VALUE"""),"35593f54-893a-4b38-bc50-0c1ff0a44dbb")</f>
        <v>35593f54-893a-4b38-bc50-0c1ff0a44dbb</v>
      </c>
    </row>
    <row r="843">
      <c r="A843" s="10" t="str">
        <f>IFERROR(__xludf.DUMMYFUNCTION("""COMPUTED_VALUE"""),"You reap what you sow: How to seed right")</f>
        <v>You reap what you sow: How to seed right</v>
      </c>
      <c r="B843" s="10" t="str">
        <f>IFERROR(__xludf.DUMMYFUNCTION("""COMPUTED_VALUE"""),"If you're an investor, how do you pick which seeds to sow? And if you're looking for seed investment, how do you catch an investor's eye?")</f>
        <v>If you're an investor, how do you pick which seeds to sow? And if you're looking for seed investment, how do you catch an investor's eye?</v>
      </c>
      <c r="C843" s="10" t="str">
        <f>IFERROR(__xludf.DUMMYFUNCTION("""COMPUTED_VALUE"""),"Venture stage")</f>
        <v>Venture stage</v>
      </c>
      <c r="D843" s="10" t="str">
        <f>IFERROR(__xludf.DUMMYFUNCTION("""COMPUTED_VALUE"""),"Jonathan Tower, Bedy Yang, Javier Torremocha, Peter Pham and Ertan Can")</f>
        <v>Jonathan Tower, Bedy Yang, Javier Torremocha, Peter Pham and Ertan Can</v>
      </c>
      <c r="E843" s="10" t="str">
        <f>IFERROR(__xludf.DUMMYFUNCTION("""COMPUTED_VALUE"""),"Jonathan Tower,Bedy Yang,Javier Torremocha,Peter Pham,Ertan Can")</f>
        <v>Jonathan Tower,Bedy Yang,Javier Torremocha,Peter Pham,Ertan Can</v>
      </c>
      <c r="F843" s="10" t="str">
        <f>IFERROR(__xludf.DUMMYFUNCTION("""COMPUTED_VALUE"""),"2019/11/06 14:45:00")</f>
        <v>2019/11/06 14:45:00</v>
      </c>
      <c r="G843" s="10" t="str">
        <f>IFERROR(__xludf.DUMMYFUNCTION("""COMPUTED_VALUE"""),"2019/11/06 15:10:00")</f>
        <v>2019/11/06 15:10:00</v>
      </c>
      <c r="H843" s="10" t="str">
        <f>IFERROR(__xludf.DUMMYFUNCTION("""COMPUTED_VALUE"""),"a7862e22-f059-4a49-8a18-dc514043f73b")</f>
        <v>a7862e22-f059-4a49-8a18-dc514043f73b</v>
      </c>
      <c r="I843" s="10" t="str">
        <f>IFERROR(__xludf.DUMMYFUNCTION("""COMPUTED_VALUE"""),"a7862e22-f059-4a49-8a18-dc514043f73b")</f>
        <v>a7862e22-f059-4a49-8a18-dc514043f73b</v>
      </c>
    </row>
    <row r="844">
      <c r="A844" s="10" t="str">
        <f>IFERROR(__xludf.DUMMYFUNCTION("""COMPUTED_VALUE"""),"The difference between a founder and a leader ")</f>
        <v>The difference between a founder and a leader </v>
      </c>
      <c r="B844" s="10" t="str">
        <f>IFERROR(__xludf.DUMMYFUNCTION("""COMPUTED_VALUE"""),"Is leadership more of a network, than a pinnacle? Recent events have shed light on the problems of too much control from the top. This talk asks about the balance between leading and stepping back, how to reflect on your own performance, avoid burnout, an"&amp;"d attract and retain the best leaders to your team.")</f>
        <v>Is leadership more of a network, than a pinnacle? Recent events have shed light on the problems of too much control from the top. This talk asks about the balance between leading and stepping back, how to reflect on your own performance, avoid burnout, and attract and retain the best leaders to your team.</v>
      </c>
      <c r="C844" s="10" t="str">
        <f>IFERROR(__xludf.DUMMYFUNCTION("""COMPUTED_VALUE"""),"Startup University")</f>
        <v>Startup University</v>
      </c>
      <c r="D844" s="10" t="str">
        <f>IFERROR(__xludf.DUMMYFUNCTION("""COMPUTED_VALUE"""),"André Penha, Alex Chung, Bedy Yang and Alan Griffin")</f>
        <v>André Penha, Alex Chung, Bedy Yang and Alan Griffin</v>
      </c>
      <c r="E844" s="10" t="str">
        <f>IFERROR(__xludf.DUMMYFUNCTION("""COMPUTED_VALUE"""),"André Penha,Alex Chung,Bedy Yang,Alan Griffin")</f>
        <v>André Penha,Alex Chung,Bedy Yang,Alan Griffin</v>
      </c>
      <c r="F844" s="10" t="str">
        <f>IFERROR(__xludf.DUMMYFUNCTION("""COMPUTED_VALUE"""),"2019/11/06 16:00:00")</f>
        <v>2019/11/06 16:00:00</v>
      </c>
      <c r="G844" s="10" t="str">
        <f>IFERROR(__xludf.DUMMYFUNCTION("""COMPUTED_VALUE"""),"2019/11/06 16:20:00")</f>
        <v>2019/11/06 16:20:00</v>
      </c>
      <c r="H844" s="10" t="str">
        <f>IFERROR(__xludf.DUMMYFUNCTION("""COMPUTED_VALUE"""),"17982f30-dc33-4dfc-9a2d-141622a05b74")</f>
        <v>17982f30-dc33-4dfc-9a2d-141622a05b74</v>
      </c>
      <c r="I844" s="10" t="str">
        <f>IFERROR(__xludf.DUMMYFUNCTION("""COMPUTED_VALUE"""),"17982f30-dc33-4dfc-9a2d-141622a05b74")</f>
        <v>17982f30-dc33-4dfc-9a2d-141622a05b74</v>
      </c>
    </row>
    <row r="845">
      <c r="A845" s="10" t="str">
        <f>IFERROR(__xludf.DUMMYFUNCTION("""COMPUTED_VALUE"""),"The commercial value of brand principles in 2019")</f>
        <v>The commercial value of brand principles in 2019</v>
      </c>
      <c r="B845" s="10" t="str">
        <f>IFERROR(__xludf.DUMMYFUNCTION("""COMPUTED_VALUE"""),"From the climate crisis, to Fair-trade, consumers today demand ultimate transparency from their brands.  Our panel explores the growing business advantage of being seen with a clear understanding of the impact which your company is having on the world.  A"&amp;"re tags like sustainability now the ultimate selling point?
")</f>
        <v>From the climate crisis, to Fair-trade, consumers today demand ultimate transparency from their brands.  Our panel explores the growing business advantage of being seen with a clear understanding of the impact which your company is having on the world.  Are tags like sustainability now the ultimate selling point?
</v>
      </c>
      <c r="C845" s="10" t="str">
        <f>IFERROR(__xludf.DUMMYFUNCTION("""COMPUTED_VALUE"""),"creatiff")</f>
        <v>creatiff</v>
      </c>
      <c r="D845" s="10" t="str">
        <f>IFERROR(__xludf.DUMMYFUNCTION("""COMPUTED_VALUE"""),"Sairah Ashman, Fabian Birgfeld, Edwina Dunn and Rog How")</f>
        <v>Sairah Ashman, Fabian Birgfeld, Edwina Dunn and Rog How</v>
      </c>
      <c r="E845" s="10" t="str">
        <f>IFERROR(__xludf.DUMMYFUNCTION("""COMPUTED_VALUE"""),"Sairah Ashman,Fabian Birgfeld,Edwina Dunn,Rog How")</f>
        <v>Sairah Ashman,Fabian Birgfeld,Edwina Dunn,Rog How</v>
      </c>
      <c r="F845" s="10" t="str">
        <f>IFERROR(__xludf.DUMMYFUNCTION("""COMPUTED_VALUE"""),"2019/11/05 14:25:00")</f>
        <v>2019/11/05 14:25:00</v>
      </c>
      <c r="G845" s="10" t="str">
        <f>IFERROR(__xludf.DUMMYFUNCTION("""COMPUTED_VALUE"""),"2019/11/05 14:50:00")</f>
        <v>2019/11/05 14:50:00</v>
      </c>
      <c r="H845" s="10" t="str">
        <f>IFERROR(__xludf.DUMMYFUNCTION("""COMPUTED_VALUE"""),"35134165-554f-4a13-9081-632b2eaf3083")</f>
        <v>35134165-554f-4a13-9081-632b2eaf3083</v>
      </c>
      <c r="I845" s="10" t="str">
        <f>IFERROR(__xludf.DUMMYFUNCTION("""COMPUTED_VALUE"""),"35134165-554f-4a13-9081-632b2eaf3083")</f>
        <v>35134165-554f-4a13-9081-632b2eaf3083</v>
      </c>
    </row>
    <row r="846">
      <c r="A846" s="10" t="str">
        <f>IFERROR(__xludf.DUMMYFUNCTION("""COMPUTED_VALUE"""),"Changing the most inert industry in the world")</f>
        <v>Changing the most inert industry in the world</v>
      </c>
      <c r="B846" s="10" t="str">
        <f>IFERROR(__xludf.DUMMYFUNCTION("""COMPUTED_VALUE"""),"Silos in healthcare are painfully obstructive. They drain money and time, and compromise the quality of patient care. Many have experienced difficulty in bringing change to this inert industry. CEO and co-founder, Joost Bruggeman, explains how Siilo is dr"&amp;"iving change from the bottom up.")</f>
        <v>Silos in healthcare are painfully obstructive. They drain money and time, and compromise the quality of patient care. Many have experienced difficulty in bringing change to this inert industry. CEO and co-founder, Joost Bruggeman, explains how Siilo is driving change from the bottom up.</v>
      </c>
      <c r="C846" s="10" t="str">
        <f>IFERROR(__xludf.DUMMYFUNCTION("""COMPUTED_VALUE"""),"Growth Summit")</f>
        <v>Growth Summit</v>
      </c>
      <c r="D846" s="10" t="str">
        <f>IFERROR(__xludf.DUMMYFUNCTION("""COMPUTED_VALUE"""),"Joost Bruggeman")</f>
        <v>Joost Bruggeman</v>
      </c>
      <c r="E846" s="10" t="str">
        <f>IFERROR(__xludf.DUMMYFUNCTION("""COMPUTED_VALUE"""),"Joost Bruggeman")</f>
        <v>Joost Bruggeman</v>
      </c>
      <c r="F846" s="10" t="str">
        <f>IFERROR(__xludf.DUMMYFUNCTION("""COMPUTED_VALUE"""),"2019/11/05 11:46:00")</f>
        <v>2019/11/05 11:46:00</v>
      </c>
      <c r="G846" s="10" t="str">
        <f>IFERROR(__xludf.DUMMYFUNCTION("""COMPUTED_VALUE"""),"2019/11/05 11:50:00")</f>
        <v>2019/11/05 11:50:00</v>
      </c>
      <c r="H846" s="10" t="str">
        <f>IFERROR(__xludf.DUMMYFUNCTION("""COMPUTED_VALUE"""),"554a21c7-0d4d-45e3-a6bb-c6e3c67ef6ac")</f>
        <v>554a21c7-0d4d-45e3-a6bb-c6e3c67ef6ac</v>
      </c>
      <c r="I846" s="10" t="str">
        <f>IFERROR(__xludf.DUMMYFUNCTION("""COMPUTED_VALUE"""),"554a21c7-0d4d-45e3-a6bb-c6e3c67ef6ac")</f>
        <v>554a21c7-0d4d-45e3-a6bb-c6e3c67ef6ac</v>
      </c>
    </row>
    <row r="847">
      <c r="A847" s="10" t="str">
        <f>IFERROR(__xludf.DUMMYFUNCTION("""COMPUTED_VALUE"""),"The future we build needs to be open")</f>
        <v>The future we build needs to be open</v>
      </c>
      <c r="B847" s="10" t="str">
        <f>IFERROR(__xludf.DUMMYFUNCTION("""COMPUTED_VALUE"""),"How can tech platforms become more intentionally open? The internet has shown us the value and the impact of the open movement - open web, open licenses, open source. But we've also seen that open itself is not enough - open is not equal or accessible for"&amp;" all. How can we, as the innovators of tomorrow, build a future that is open, equitable, and fair?")</f>
        <v>How can tech platforms become more intentionally open? The internet has shown us the value and the impact of the open movement - open web, open licenses, open source. But we've also seen that open itself is not enough - open is not equal or accessible for all. How can we, as the innovators of tomorrow, build a future that is open, equitable, and fair?</v>
      </c>
      <c r="C847" s="10" t="str">
        <f>IFERROR(__xludf.DUMMYFUNCTION("""COMPUTED_VALUE"""),"Centre Stage")</f>
        <v>Centre Stage</v>
      </c>
      <c r="D847" s="10" t="str">
        <f>IFERROR(__xludf.DUMMYFUNCTION("""COMPUTED_VALUE"""),"Katherine Maher")</f>
        <v>Katherine Maher</v>
      </c>
      <c r="E847" s="10" t="str">
        <f>IFERROR(__xludf.DUMMYFUNCTION("""COMPUTED_VALUE"""),"Katherine Maher")</f>
        <v>Katherine Maher</v>
      </c>
      <c r="F847" s="10" t="str">
        <f>IFERROR(__xludf.DUMMYFUNCTION("""COMPUTED_VALUE"""),"2019/11/05 16:40:00")</f>
        <v>2019/11/05 16:40:00</v>
      </c>
      <c r="G847" s="10" t="str">
        <f>IFERROR(__xludf.DUMMYFUNCTION("""COMPUTED_VALUE"""),"2019/11/05 17:00:00")</f>
        <v>2019/11/05 17:00:00</v>
      </c>
      <c r="H847" s="10" t="str">
        <f>IFERROR(__xludf.DUMMYFUNCTION("""COMPUTED_VALUE"""),"1e907ac3-9926-4ad8-85bc-ab11babf09e9")</f>
        <v>1e907ac3-9926-4ad8-85bc-ab11babf09e9</v>
      </c>
      <c r="I847" s="10" t="str">
        <f>IFERROR(__xludf.DUMMYFUNCTION("""COMPUTED_VALUE"""),"1e907ac3-9926-4ad8-85bc-ab11babf09e9")</f>
        <v>1e907ac3-9926-4ad8-85bc-ab11babf09e9</v>
      </c>
    </row>
    <row r="848">
      <c r="A848" s="10" t="str">
        <f>IFERROR(__xludf.DUMMYFUNCTION("""COMPUTED_VALUE"""),"Startup Showcase")</f>
        <v>Startup Showcase</v>
      </c>
      <c r="B848" s="10" t="str">
        <f>IFERROR(__xludf.DUMMYFUNCTION("""COMPUTED_VALUE"""),"On this brand new stage, expect quickfire presentations where startups will showcase their solutions to the future's biggest challenges. This hour focuses on education, covering topics like disruptive education models, online P2P learning, personal develo"&amp;"pment, and up-skilling your workforce.
")</f>
        <v>On this brand new stage, expect quickfire presentations where startups will showcase their solutions to the future's biggest challenges. This hour focuses on education, covering topics like disruptive education models, online P2P learning, personal development, and up-skilling your workforce.
</v>
      </c>
      <c r="C848" s="10" t="str">
        <f>IFERROR(__xludf.DUMMYFUNCTION("""COMPUTED_VALUE"""),"Startup Showcase 3")</f>
        <v>Startup Showcase 3</v>
      </c>
      <c r="D848" s="10" t="str">
        <f>IFERROR(__xludf.DUMMYFUNCTION("""COMPUTED_VALUE"""),"Ana Paula Reis, Sergey Oparin, Noel Gisselsson, Carlos Hornstein, Adam Dalton, Neivien H Shawer, David Métais, Philipp Philippen, Andrius Lideikis, Mark Ferrari, Rafael Hansen, Miguel Neto, Andrew Murphy, Dovydas Van Gucht, Venci Lukanov, Fawaz Alazemi, A"&amp;"lexander Giesecke, Luca Righes, Antoine Macau, Bo Wu, Andreas Grenthe, Tolga Güngör, Thales Gregorio, Sarina Mischa Møller, Yegor Isaev, Nichlas Walsted, Filiz Kocas, Adam Shehata, Rinat Ben Efraim, Akash Kannegulla, Mehmet Can Sobutay, Anastasiia Dmitrie"&amp;"va, Eric Lehmann, Arkadi Jeghiazaryan, Bernat Lopez, Larissa Magalhaes, Nicolai Schork, Timur Seyfelmlyukov, Valentyna Babko, Ramiro Nobre, Kęstutis Rapcevičius, Valerya Carvalho, Yigal Ben Efraim, Umut Elestekin, Marcel Schubert, Daria Kroshkina, Fernand"&amp;"o Cavalher, Allan Vestergaard Hermansen, Jens Seger and Virginie Broncy")</f>
        <v>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Jens Seger and Virginie Broncy</v>
      </c>
      <c r="E848" s="10" t="str">
        <f>IFERROR(__xludf.DUMMYFUNCTION("""COMPUTED_VALUE"""),"Ana Paula Reis,Sergey Oparin,Noel Gisselsson,Carlos Hornstein,Adam Dalton,Neivien H Shawer,David Métais,Philipp Philippen,Andrius Lideikis,Mark Ferrari,Rafael Hansen,Miguel Neto,Andrew Murphy,Dovydas Van Gucht,Venci Lukanov,Fawaz Alazemi,Alexander Gieseck"&amp;"e,Luca Righes,Antoine Macau,Bo Wu,Andreas Grenthe,Tolga Güngör,Thales Gregorio,Sarina Mischa Møller,Yegor Isaev,Nichlas Walsted,Filiz Kocas,Adam Shehata,Rinat Ben Efraim,Akash Kannegulla,Mehmet Can Sobutay,Anastasiia Dmitrieva,Eric Lehmann,Arkadi Jeghiaza"&amp;"ryan,Bernat Lopez,Larissa Magalhaes,Nicolai Schork,Timur Seyfelmlyukov,Valentyna Babko,Ramiro Nobre,Kęstutis Rapcevičius,Valerya Carvalho,Yigal Ben Efraim,Umut Elestekin,Marcel Schubert,Daria Kroshkina,Fernando Cavalher,Allan Vestergaard Hermansen,Jens Se"&amp;"ger,Virginie Broncy")</f>
        <v>Ana Paula Reis,Sergey Oparin,Noel Gisselsson,Carlos Hornstein,Adam Dalton,Neivien H Shawer,David Métais,Philipp Philippen,Andrius Lideikis,Mark Ferrari,Rafael Hansen,Miguel Neto,Andrew Murphy,Dovydas Van Gucht,Venci Lukanov,Fawaz Alazemi,Alexander Giesecke,Luca Righes,Antoine Macau,Bo Wu,Andreas Grenthe,Tolga Güngör,Thales Gregorio,Sarina Mischa Møller,Yegor Isaev,Nichlas Walsted,Filiz Kocas,Adam Shehata,Rinat Ben Efraim,Akash Kannegulla,Mehmet Can Sobutay,Anastasiia Dmitrieva,Eric Lehmann,Arkadi Jeghiazaryan,Bernat Lopez,Larissa Magalhaes,Nicolai Schork,Timur Seyfelmlyukov,Valentyna Babko,Ramiro Nobre,Kęstutis Rapcevičius,Valerya Carvalho,Yigal Ben Efraim,Umut Elestekin,Marcel Schubert,Daria Kroshkina,Fernando Cavalher,Allan Vestergaard Hermansen,Jens Seger,Virginie Broncy</v>
      </c>
      <c r="F848" s="10" t="str">
        <f>IFERROR(__xludf.DUMMYFUNCTION("""COMPUTED_VALUE"""),"2019/11/06 10:15:00")</f>
        <v>2019/11/06 10:15:00</v>
      </c>
      <c r="G848" s="10" t="str">
        <f>IFERROR(__xludf.DUMMYFUNCTION("""COMPUTED_VALUE"""),"2019/11/06 11:15:00")</f>
        <v>2019/11/06 11:15:00</v>
      </c>
      <c r="H848" s="10" t="str">
        <f>IFERROR(__xludf.DUMMYFUNCTION("""COMPUTED_VALUE"""),"9594aa1e-e96d-4c49-b8f0-b63b2e397954")</f>
        <v>9594aa1e-e96d-4c49-b8f0-b63b2e397954</v>
      </c>
      <c r="I848" s="10" t="str">
        <f>IFERROR(__xludf.DUMMYFUNCTION("""COMPUTED_VALUE"""),"9594aa1e-e96d-4c49-b8f0-b63b2e397954")</f>
        <v>9594aa1e-e96d-4c49-b8f0-b63b2e397954</v>
      </c>
    </row>
    <row r="849">
      <c r="A849" s="10" t="str">
        <f>IFERROR(__xludf.DUMMYFUNCTION("""COMPUTED_VALUE"""),"Diageo, data and the consumer experience")</f>
        <v>Diageo, data and the consumer experience</v>
      </c>
      <c r="B849" s="10" t="str">
        <f>IFERROR(__xludf.DUMMYFUNCTION("""COMPUTED_VALUE"""),"Diageo is undertaking a programme to create cultural behavioural change in the way its marketers approach their roles. The role of data and analytics has been enhanced in decision-making.")</f>
        <v>Diageo is undertaking a programme to create cultural behavioural change in the way its marketers approach their roles. The role of data and analytics has been enhanced in decision-making.</v>
      </c>
      <c r="C849" s="10" t="str">
        <f>IFERROR(__xludf.DUMMYFUNCTION("""COMPUTED_VALUE"""),"PandaConf")</f>
        <v>PandaConf</v>
      </c>
      <c r="D849" s="10" t="str">
        <f>IFERROR(__xludf.DUMMYFUNCTION("""COMPUTED_VALUE"""),"Ben Sutherland")</f>
        <v>Ben Sutherland</v>
      </c>
      <c r="E849" s="10" t="str">
        <f>IFERROR(__xludf.DUMMYFUNCTION("""COMPUTED_VALUE"""),"Ben Sutherland")</f>
        <v>Ben Sutherland</v>
      </c>
      <c r="F849" s="10" t="str">
        <f>IFERROR(__xludf.DUMMYFUNCTION("""COMPUTED_VALUE"""),"2019/11/07 12:30:00")</f>
        <v>2019/11/07 12:30:00</v>
      </c>
      <c r="G849" s="10" t="str">
        <f>IFERROR(__xludf.DUMMYFUNCTION("""COMPUTED_VALUE"""),"2019/11/07 12:50:00")</f>
        <v>2019/11/07 12:50:00</v>
      </c>
      <c r="H849" s="10" t="str">
        <f>IFERROR(__xludf.DUMMYFUNCTION("""COMPUTED_VALUE"""),"23c9f22b-e449-4e3f-9c80-d85208806aa2")</f>
        <v>23c9f22b-e449-4e3f-9c80-d85208806aa2</v>
      </c>
      <c r="I849" s="10" t="str">
        <f>IFERROR(__xludf.DUMMYFUNCTION("""COMPUTED_VALUE"""),"23c9f22b-e449-4e3f-9c80-d85208806aa2")</f>
        <v>23c9f22b-e449-4e3f-9c80-d85208806aa2</v>
      </c>
    </row>
    <row r="850">
      <c r="A850" s="10" t="str">
        <f>IFERROR(__xludf.DUMMYFUNCTION("""COMPUTED_VALUE"""),"How automation is disrupting the $45bn market research industry")</f>
        <v>How automation is disrupting the $45bn market research industry</v>
      </c>
      <c r="B850" s="10" t="str">
        <f>IFERROR(__xludf.DUMMYFUNCTION("""COMPUTED_VALUE"""),"Peter, Quantilope's CEO, joins us to talk through the challenges of building a B2B tech platform from scratch and how partnerships can solve the digitisation challenge in finance.")</f>
        <v>Peter, Quantilope's CEO, joins us to talk through the challenges of building a B2B tech platform from scratch and how partnerships can solve the digitisation challenge in finance.</v>
      </c>
      <c r="C850" s="10" t="str">
        <f>IFERROR(__xludf.DUMMYFUNCTION("""COMPUTED_VALUE"""),"Growth Summit")</f>
        <v>Growth Summit</v>
      </c>
      <c r="D850" s="10" t="str">
        <f>IFERROR(__xludf.DUMMYFUNCTION("""COMPUTED_VALUE"""),"Peter Aschmoneit")</f>
        <v>Peter Aschmoneit</v>
      </c>
      <c r="E850" s="10" t="str">
        <f>IFERROR(__xludf.DUMMYFUNCTION("""COMPUTED_VALUE"""),"Peter Aschmoneit")</f>
        <v>Peter Aschmoneit</v>
      </c>
      <c r="F850" s="10" t="str">
        <f>IFERROR(__xludf.DUMMYFUNCTION("""COMPUTED_VALUE"""),"2019/11/06 10:26:00")</f>
        <v>2019/11/06 10:26:00</v>
      </c>
      <c r="G850" s="10" t="str">
        <f>IFERROR(__xludf.DUMMYFUNCTION("""COMPUTED_VALUE"""),"2019/11/06 10:30:00")</f>
        <v>2019/11/06 10:30:00</v>
      </c>
      <c r="H850" s="10" t="str">
        <f>IFERROR(__xludf.DUMMYFUNCTION("""COMPUTED_VALUE"""),"f963458e-e614-448f-9ac7-d67be21e4d2d")</f>
        <v>f963458e-e614-448f-9ac7-d67be21e4d2d</v>
      </c>
      <c r="I850" s="10" t="str">
        <f>IFERROR(__xludf.DUMMYFUNCTION("""COMPUTED_VALUE"""),"f963458e-e614-448f-9ac7-d67be21e4d2d")</f>
        <v>f963458e-e614-448f-9ac7-d67be21e4d2d</v>
      </c>
    </row>
    <row r="851">
      <c r="A851" s="10" t="str">
        <f>IFERROR(__xludf.DUMMYFUNCTION("""COMPUTED_VALUE"""),"Tech secrets of the superbrands")</f>
        <v>Tech secrets of the superbrands</v>
      </c>
      <c r="B851" s="10" t="str">
        <f>IFERROR(__xludf.DUMMYFUNCTION("""COMPUTED_VALUE"""),"This talk explores the world of superbrands, dissecting the technologies that enable these brands to connect with their audience. How do these giant brands connect with the individual to make them part of the collective? This session brings together exper"&amp;"ts of global branding who will share their insights into how technology is playing a pivotal role in the evolution of the superbrand.")</f>
        <v>This talk explores the world of superbrands, dissecting the technologies that enable these brands to connect with their audience. How do these giant brands connect with the individual to make them part of the collective? This session brings together experts of global branding who will share their insights into how technology is playing a pivotal role in the evolution of the superbrand.</v>
      </c>
      <c r="C851" s="10" t="str">
        <f>IFERROR(__xludf.DUMMYFUNCTION("""COMPUTED_VALUE"""),"Corporate Innovation Summit")</f>
        <v>Corporate Innovation Summit</v>
      </c>
      <c r="D851" s="10" t="str">
        <f>IFERROR(__xludf.DUMMYFUNCTION("""COMPUTED_VALUE"""),"Alan Boehme, Chris Perry, Sairah Ashman and Michelle Castillo")</f>
        <v>Alan Boehme, Chris Perry, Sairah Ashman and Michelle Castillo</v>
      </c>
      <c r="E851" s="10" t="str">
        <f>IFERROR(__xludf.DUMMYFUNCTION("""COMPUTED_VALUE"""),"Alan Boehme,Chris Perry,Sairah Ashman,Michelle Castillo")</f>
        <v>Alan Boehme,Chris Perry,Sairah Ashman,Michelle Castillo</v>
      </c>
      <c r="F851" s="10" t="str">
        <f>IFERROR(__xludf.DUMMYFUNCTION("""COMPUTED_VALUE"""),"2019/11/05 15:15:00")</f>
        <v>2019/11/05 15:15:00</v>
      </c>
      <c r="G851" s="10" t="str">
        <f>IFERROR(__xludf.DUMMYFUNCTION("""COMPUTED_VALUE"""),"2019/11/05 15:35:00")</f>
        <v>2019/11/05 15:35:00</v>
      </c>
      <c r="H851" s="10" t="str">
        <f>IFERROR(__xludf.DUMMYFUNCTION("""COMPUTED_VALUE"""),"0909ca5d-0c4e-4781-a377-6c604d53ebae")</f>
        <v>0909ca5d-0c4e-4781-a377-6c604d53ebae</v>
      </c>
      <c r="I851" s="10" t="str">
        <f>IFERROR(__xludf.DUMMYFUNCTION("""COMPUTED_VALUE"""),"0909ca5d-0c4e-4781-a377-6c604d53ebae")</f>
        <v>0909ca5d-0c4e-4781-a377-6c604d53ebae</v>
      </c>
    </row>
    <row r="852">
      <c r="A852" s="10" t="str">
        <f>IFERROR(__xludf.DUMMYFUNCTION("""COMPUTED_VALUE"""),"AI takes aim at cancer")</f>
        <v>AI takes aim at cancer</v>
      </c>
      <c r="B852" s="10" t="str">
        <f>IFERROR(__xludf.DUMMYFUNCTION("""COMPUTED_VALUE"""),"Can marchine learning save lives? We'll get the inside story on how AI is helping to predict the onset of breast cancer 5 years in advance.
")</f>
        <v>Can marchine learning save lives? We'll get the inside story on how AI is helping to predict the onset of breast cancer 5 years in advance.
</v>
      </c>
      <c r="C852" s="10" t="str">
        <f>IFERROR(__xludf.DUMMYFUNCTION("""COMPUTED_VALUE"""),"DeepTech")</f>
        <v>DeepTech</v>
      </c>
      <c r="D852" s="10" t="str">
        <f>IFERROR(__xludf.DUMMYFUNCTION("""COMPUTED_VALUE"""),"Constance Lehman and Alan Griffin")</f>
        <v>Constance Lehman and Alan Griffin</v>
      </c>
      <c r="E852" s="10" t="str">
        <f>IFERROR(__xludf.DUMMYFUNCTION("""COMPUTED_VALUE"""),"Constance Lehman,Alan Griffin")</f>
        <v>Constance Lehman,Alan Griffin</v>
      </c>
      <c r="F852" s="10" t="str">
        <f>IFERROR(__xludf.DUMMYFUNCTION("""COMPUTED_VALUE"""),"2019/11/06 11:20:00")</f>
        <v>2019/11/06 11:20:00</v>
      </c>
      <c r="G852" s="10" t="str">
        <f>IFERROR(__xludf.DUMMYFUNCTION("""COMPUTED_VALUE"""),"2019/11/06 11:35:00")</f>
        <v>2019/11/06 11:35:00</v>
      </c>
      <c r="H852" s="10" t="str">
        <f>IFERROR(__xludf.DUMMYFUNCTION("""COMPUTED_VALUE"""),"d7a8ec79-364a-44b7-900f-1d9579adcb44")</f>
        <v>d7a8ec79-364a-44b7-900f-1d9579adcb44</v>
      </c>
      <c r="I852" s="10" t="str">
        <f>IFERROR(__xludf.DUMMYFUNCTION("""COMPUTED_VALUE"""),"d7a8ec79-364a-44b7-900f-1d9579adcb44")</f>
        <v>d7a8ec79-364a-44b7-900f-1d9579adcb44</v>
      </c>
    </row>
    <row r="853">
      <c r="A853" s="10" t="str">
        <f>IFERROR(__xludf.DUMMYFUNCTION("""COMPUTED_VALUE"""),"How to become first when you’re the last one to start")</f>
        <v>How to become first when you’re the last one to start</v>
      </c>
      <c r="B853" s="10" t="str">
        <f>IFERROR(__xludf.DUMMYFUNCTION("""COMPUTED_VALUE"""),"There is a saying in business – if you’re not first, you’re last. I know how to break it.")</f>
        <v>There is a saying in business – if you’re not first, you’re last. I know how to break it.</v>
      </c>
      <c r="C853" s="10" t="str">
        <f>IFERROR(__xludf.DUMMYFUNCTION("""COMPUTED_VALUE"""),"Growth Summit")</f>
        <v>Growth Summit</v>
      </c>
      <c r="D853" s="10" t="str">
        <f>IFERROR(__xludf.DUMMYFUNCTION("""COMPUTED_VALUE"""),"Viktorija Vanagė")</f>
        <v>Viktorija Vanagė</v>
      </c>
      <c r="E853" s="10" t="str">
        <f>IFERROR(__xludf.DUMMYFUNCTION("""COMPUTED_VALUE"""),"Viktorija Vanagė")</f>
        <v>Viktorija Vanagė</v>
      </c>
      <c r="F853" s="10" t="str">
        <f>IFERROR(__xludf.DUMMYFUNCTION("""COMPUTED_VALUE"""),"2019/11/06 11:26:00")</f>
        <v>2019/11/06 11:26:00</v>
      </c>
      <c r="G853" s="10" t="str">
        <f>IFERROR(__xludf.DUMMYFUNCTION("""COMPUTED_VALUE"""),"2019/11/06 11:30:00")</f>
        <v>2019/11/06 11:30:00</v>
      </c>
      <c r="H853" s="10" t="str">
        <f>IFERROR(__xludf.DUMMYFUNCTION("""COMPUTED_VALUE"""),"dded405d-13cd-4f17-879e-6163a69045d8")</f>
        <v>dded405d-13cd-4f17-879e-6163a69045d8</v>
      </c>
      <c r="I853" s="10" t="str">
        <f>IFERROR(__xludf.DUMMYFUNCTION("""COMPUTED_VALUE"""),"dded405d-13cd-4f17-879e-6163a69045d8")</f>
        <v>dded405d-13cd-4f17-879e-6163a69045d8</v>
      </c>
    </row>
    <row r="854">
      <c r="A854" s="10" t="str">
        <f>IFERROR(__xludf.DUMMYFUNCTION("""COMPUTED_VALUE"""),"Startup Showcase")</f>
        <v>Startup Showcase</v>
      </c>
      <c r="B854" s="10" t="str">
        <f>IFERROR(__xludf.DUMMYFUNCTION("""COMPUTED_VALUE"""),"On this brand new stage, expect quickfire presentations where startups will showcase their solutions to the future's biggest challenges. This hour focuses on the future of content, covering topics like VR/AR, front-end infrastructure, content creators, st"&amp;"reaming services, and video.
")</f>
        <v>On this brand new stage, expect quickfire presentations where startups will showcase their solutions to the future's biggest challenges. This hour focuses on the future of content, covering topics like VR/AR, front-end infrastructure, content creators, streaming services, and video.
</v>
      </c>
      <c r="C854" s="10" t="str">
        <f>IFERROR(__xludf.DUMMYFUNCTION("""COMPUTED_VALUE"""),"Startup Showcase 1")</f>
        <v>Startup Showcase 1</v>
      </c>
      <c r="D854" s="10" t="str">
        <f>IFERROR(__xludf.DUMMYFUNCTION("""COMPUTED_VALUE"""),"Susana Chaves, Rudolf Peschel, Vladimir NIkandrov, Gian-Marco Spinosa, Lucas Nygaard, Vittorio Giuseppe Urzì, Hana Novakova, Dr Carmelo Bisognano, Oleksii Danchenko, Bjoern Bak, Rolf Illenberger, Maria Tolstykh, IMGIBBLE LIM, Jamie Thomson, Martina Balazo"&amp;"va, António Laranjeira, kyoungik Jang, andrea baldini, Elin YOON, Paul Martin, Ekaterina Butko, Mohsen Haddad, Ivan Burban, Delzar Khalaf, Giancarlo Sciuto, Sergei Galeev, Thomas Wacinski, Daniel De Witte, Patrizia Di Biasi, Douwe Faasen, Alexander Semeno"&amp;"v, Michael Kröll, Marco Angelo Villari, Olga Kravchenko, Soufiane Rouibia, Henri Pauwels, Dmytro Kudrenko, Dominic Mueller, Hans Pauwels, Stefan Godly, Patrick Bartels, July Seo, Saad Hannoush, Alejandro Ortiz Monasterio Acosta, Maxime Eugeni, Charles Pau"&amp;"wels, André Miranda and Anna Anttila")</f>
        <v>Susana Chaves, Rudolf Peschel, Vladimir NIkandrov, Gian-Marco Spinosa, Lucas Nygaard, Vittorio Giuseppe Urzì, Hana Novakova, Dr Carmelo Bisognano, Oleksii Danchenko, Bjoern Bak, Rolf Illenberger, Maria Tolstykh, IMGIBBLE LIM, Jamie Thomson, Martina Balazova, António Laranjeira, kyoungik Jang, andrea baldini, Elin YOON, Paul Martin, Ekaterina Butko, Mohsen Haddad, Ivan Burban, Delzar Khalaf, Giancarlo Sciuto, Sergei Galeev, Thomas Wacinski, Daniel De Witte, Patrizia Di Biasi, Douwe Faasen, Alexander Semenov, Michael Kröll, Marco Angelo Villari, Olga Kravchenko, Soufiane Rouibia, Henri Pauwels, Dmytro Kudrenko, Dominic Mueller, Hans Pauwels, Stefan Godly, Patrick Bartels, July Seo, Saad Hannoush, Alejandro Ortiz Monasterio Acosta, Maxime Eugeni, Charles Pauwels, André Miranda and Anna Anttila</v>
      </c>
      <c r="E854" s="10" t="str">
        <f>IFERROR(__xludf.DUMMYFUNCTION("""COMPUTED_VALUE"""),"Susana Chaves,Rudolf Peschel,Vladimir NIkandrov,Gian-Marco Spinosa,Lucas Nygaard,Vittorio Giuseppe Urzì,Hana Novakova,Dr Carmelo Bisognano,Oleksii Danchenko,Bjoern Bak,Rolf Illenberger,Maria Tolstykh,IMGIBBLE LIM,Jamie Thomson,Martina Balazova,António Lar"&amp;"anjeira,kyoungik Jang,andrea baldini,Elin YOON,Paul Martin,Ekaterina Butko,Mohsen Haddad,Ivan Burban,Delzar Khalaf,Giancarlo Sciuto,Sergei Galeev,Thomas Wacinski,Daniel De Witte,Patrizia Di Biasi,Douwe Faasen,Alexander Semenov,Michael Kröll,Marco Angelo V"&amp;"illari,Olga Kravchenko,Soufiane Rouibia,Henri Pauwels,Dmytro Kudrenko,Dominic Mueller,Hans Pauwels,Stefan Godly,Patrick Bartels,July Seo,Saad Hannoush,Alejandro Ortiz Monasterio Acosta,Maxime Eugeni,Charles Pauwels,André Miranda,Anna Anttila")</f>
        <v>Susana Chaves,Rudolf Peschel,Vladimir NIkandrov,Gian-Marco Spinosa,Lucas Nygaard,Vittorio Giuseppe Urzì,Hana Novakova,Dr Carmelo Bisognano,Oleksii Danchenko,Bjoern Bak,Rolf Illenberger,Maria Tolstykh,IMGIBBLE LIM,Jamie Thomson,Martina Balazova,António Laranjeira,kyoungik Jang,andrea baldini,Elin YOON,Paul Martin,Ekaterina Butko,Mohsen Haddad,Ivan Burban,Delzar Khalaf,Giancarlo Sciuto,Sergei Galeev,Thomas Wacinski,Daniel De Witte,Patrizia Di Biasi,Douwe Faasen,Alexander Semenov,Michael Kröll,Marco Angelo Villari,Olga Kravchenko,Soufiane Rouibia,Henri Pauwels,Dmytro Kudrenko,Dominic Mueller,Hans Pauwels,Stefan Godly,Patrick Bartels,July Seo,Saad Hannoush,Alejandro Ortiz Monasterio Acosta,Maxime Eugeni,Charles Pauwels,André Miranda,Anna Anttila</v>
      </c>
      <c r="F854" s="10" t="str">
        <f>IFERROR(__xludf.DUMMYFUNCTION("""COMPUTED_VALUE"""),"2019/11/06 12:15:00")</f>
        <v>2019/11/06 12:15:00</v>
      </c>
      <c r="G854" s="10" t="str">
        <f>IFERROR(__xludf.DUMMYFUNCTION("""COMPUTED_VALUE"""),"2019/11/06 13:15:00")</f>
        <v>2019/11/06 13:15:00</v>
      </c>
      <c r="H854" s="10" t="str">
        <f>IFERROR(__xludf.DUMMYFUNCTION("""COMPUTED_VALUE"""),"a5cd2793-3ef6-4909-9ba3-9595d03f42bb")</f>
        <v>a5cd2793-3ef6-4909-9ba3-9595d03f42bb</v>
      </c>
      <c r="I854" s="10" t="str">
        <f>IFERROR(__xludf.DUMMYFUNCTION("""COMPUTED_VALUE"""),"a5cd2793-3ef6-4909-9ba3-9595d03f42bb")</f>
        <v>a5cd2793-3ef6-4909-9ba3-9595d03f42bb</v>
      </c>
    </row>
    <row r="855">
      <c r="A855" s="10" t="str">
        <f>IFERROR(__xludf.DUMMYFUNCTION("""COMPUTED_VALUE"""),"Q&amp;A Session With Deco")</f>
        <v>Q&amp;A Session With Deco</v>
      </c>
      <c r="B855" s="10" t="str">
        <f>IFERROR(__xludf.DUMMYFUNCTION("""COMPUTED_VALUE"""),"")</f>
        <v/>
      </c>
      <c r="C855" s="10" t="str">
        <f>IFERROR(__xludf.DUMMYFUNCTION("""COMPUTED_VALUE"""),"")</f>
        <v/>
      </c>
      <c r="D855" s="10" t="str">
        <f>IFERROR(__xludf.DUMMYFUNCTION("""COMPUTED_VALUE"""),"Deco")</f>
        <v>Deco</v>
      </c>
      <c r="E855" s="10" t="str">
        <f>IFERROR(__xludf.DUMMYFUNCTION("""COMPUTED_VALUE"""),"Deco")</f>
        <v>Deco</v>
      </c>
      <c r="F855" s="10" t="str">
        <f>IFERROR(__xludf.DUMMYFUNCTION("""COMPUTED_VALUE"""),"")</f>
        <v/>
      </c>
      <c r="G855" s="10" t="str">
        <f>IFERROR(__xludf.DUMMYFUNCTION("""COMPUTED_VALUE"""),"")</f>
        <v/>
      </c>
      <c r="H855" s="10" t="str">
        <f>IFERROR(__xludf.DUMMYFUNCTION("""COMPUTED_VALUE"""),"29dde622-bffd-54f9-8198-0a0aaf8201d7")</f>
        <v>29dde622-bffd-54f9-8198-0a0aaf8201d7</v>
      </c>
      <c r="I855" s="10" t="str">
        <f>IFERROR(__xludf.DUMMYFUNCTION("""COMPUTED_VALUE"""),"29dde622-bffd-54f9-8198-0a0aaf8201d7")</f>
        <v>29dde622-bffd-54f9-8198-0a0aaf8201d7</v>
      </c>
    </row>
    <row r="856">
      <c r="A856" s="10" t="str">
        <f>IFERROR(__xludf.DUMMYFUNCTION("""COMPUTED_VALUE"""),"Rebuilding trust in tech")</f>
        <v>Rebuilding trust in tech</v>
      </c>
      <c r="B856" s="10" t="str">
        <f>IFERROR(__xludf.DUMMYFUNCTION("""COMPUTED_VALUE"""),"Trust in the tech sector is, arguably, at an all-time low. The positive contribution of big tech to society is now being challenged. Rebuilding trust will require new regulations and a renewed willingness from tech to work together with policymakers to en"&amp;"sure it does not repeat the mistakes of the past. In this session, we bring together two of the leading voices, from tech and policy, in this drive to ensure that tech genuinely does good.")</f>
        <v>Trust in the tech sector is, arguably, at an all-time low. The positive contribution of big tech to society is now being challenged. Rebuilding trust will require new regulations and a renewed willingness from tech to work together with policymakers to ensure it does not repeat the mistakes of the past. In this session, we bring together two of the leading voices, from tech and policy, in this drive to ensure that tech genuinely does good.</v>
      </c>
      <c r="C856" s="10" t="str">
        <f>IFERROR(__xludf.DUMMYFUNCTION("""COMPUTED_VALUE"""),"Future Societies")</f>
        <v>Future Societies</v>
      </c>
      <c r="D856" s="10" t="str">
        <f>IFERROR(__xludf.DUMMYFUNCTION("""COMPUTED_VALUE"""),"Ro Khanna, Brad Smith and Karen Tso")</f>
        <v>Ro Khanna, Brad Smith and Karen Tso</v>
      </c>
      <c r="E856" s="10" t="str">
        <f>IFERROR(__xludf.DUMMYFUNCTION("""COMPUTED_VALUE"""),"Ro Khanna,Brad Smith,Karen Tso")</f>
        <v>Ro Khanna,Brad Smith,Karen Tso</v>
      </c>
      <c r="F856" s="10" t="str">
        <f>IFERROR(__xludf.DUMMYFUNCTION("""COMPUTED_VALUE"""),"2019/11/06 11:50:00")</f>
        <v>2019/11/06 11:50:00</v>
      </c>
      <c r="G856" s="10" t="str">
        <f>IFERROR(__xludf.DUMMYFUNCTION("""COMPUTED_VALUE"""),"2019/11/06 12:10:00")</f>
        <v>2019/11/06 12:10:00</v>
      </c>
      <c r="H856" s="10" t="str">
        <f>IFERROR(__xludf.DUMMYFUNCTION("""COMPUTED_VALUE"""),"6dfde786-edc6-48ff-a522-d3b8f15b8ae8")</f>
        <v>6dfde786-edc6-48ff-a522-d3b8f15b8ae8</v>
      </c>
      <c r="I856" s="10" t="str">
        <f>IFERROR(__xludf.DUMMYFUNCTION("""COMPUTED_VALUE"""),"6dfde786-edc6-48ff-a522-d3b8f15b8ae8")</f>
        <v>6dfde786-edc6-48ff-a522-d3b8f15b8ae8</v>
      </c>
    </row>
    <row r="857">
      <c r="A857" s="10" t="str">
        <f>IFERROR(__xludf.DUMMYFUNCTION("""COMPUTED_VALUE"""),"PITCH semi-final")</f>
        <v>PITCH semi-final</v>
      </c>
      <c r="B857" s="10" t="str">
        <f>IFERROR(__xludf.DUMMYFUNCTION("""COMPUTED_VALUE"""),"")</f>
        <v/>
      </c>
      <c r="C857" s="10" t="str">
        <f>IFERROR(__xludf.DUMMYFUNCTION("""COMPUTED_VALUE"""),"Centre Stage")</f>
        <v>Centre Stage</v>
      </c>
      <c r="D857" s="10" t="str">
        <f>IFERROR(__xludf.DUMMYFUNCTION("""COMPUTED_VALUE"""),"Erik Mostenicky, Mischa Wetzel, David Braga Malta, Tim Rehder, Stefan Walter, Arthur Hu, Alf Franzoni, Ansgar Chorhummel, Kieran Hill, Emma Steele, Cecilia Turriago, Cristina Fonseca, Frauke Mispagel, Melissa Larson Youngblood, Sunil Sharma, Casey Lau, Ma"&amp;"rtin Kõiva, Pedro Miranda, Lucy Liu, Toby Call, Veronika Riederle and Russ Heddleston")</f>
        <v>Erik Mostenicky, Mischa Wetzel, David Braga Malta, Tim Rehder, Stefan Walter, Arthur Hu, Alf Franzoni, Ansgar Chorhummel, Kieran Hill, Emma Steele, Cecilia Turriago, Cristina Fonseca, Frauke Mispagel, Melissa Larson Youngblood, Sunil Sharma, Casey Lau, Martin Kõiva, Pedro Miranda, Lucy Liu, Toby Call, Veronika Riederle and Russ Heddleston</v>
      </c>
      <c r="E857" s="10" t="str">
        <f>IFERROR(__xludf.DUMMYFUNCTION("""COMPUTED_VALUE"""),"Erik Mostenicky,Mischa Wetzel,David Braga Malta,Tim Rehder,Stefan Walter,Arthur Hu,Alf Franzoni,Ansgar Chorhummel,Kieran Hill,Emma Steele,Cecilia Turriago,Cristina Fonseca,Frauke Mispagel,Melissa Larson Youngblood,Sunil Sharma,Casey Lau,Martin Kõiva,Pedro"&amp;" Miranda,Lucy Liu,Toby Call,Veronika Riederle,Russ Heddleston")</f>
        <v>Erik Mostenicky,Mischa Wetzel,David Braga Malta,Tim Rehder,Stefan Walter,Arthur Hu,Alf Franzoni,Ansgar Chorhummel,Kieran Hill,Emma Steele,Cecilia Turriago,Cristina Fonseca,Frauke Mispagel,Melissa Larson Youngblood,Sunil Sharma,Casey Lau,Martin Kõiva,Pedro Miranda,Lucy Liu,Toby Call,Veronika Riederle,Russ Heddleston</v>
      </c>
      <c r="F857" s="10" t="str">
        <f>IFERROR(__xludf.DUMMYFUNCTION("""COMPUTED_VALUE"""),"2019/11/06 17:00:00")</f>
        <v>2019/11/06 17:00:00</v>
      </c>
      <c r="G857" s="10" t="str">
        <f>IFERROR(__xludf.DUMMYFUNCTION("""COMPUTED_VALUE"""),"2019/11/06 18:00:00")</f>
        <v>2019/11/06 18:00:00</v>
      </c>
      <c r="H857" s="10" t="str">
        <f>IFERROR(__xludf.DUMMYFUNCTION("""COMPUTED_VALUE"""),"7ffa9375-5357-4976-88e6-4619960440aa")</f>
        <v>7ffa9375-5357-4976-88e6-4619960440aa</v>
      </c>
      <c r="I857" s="10" t="str">
        <f>IFERROR(__xludf.DUMMYFUNCTION("""COMPUTED_VALUE"""),"7ffa9375-5357-4976-88e6-4619960440aa")</f>
        <v>7ffa9375-5357-4976-88e6-4619960440aa</v>
      </c>
    </row>
    <row r="858">
      <c r="A858" s="10" t="str">
        <f>IFERROR(__xludf.DUMMYFUNCTION("""COMPUTED_VALUE"""),"In conversation with Lime's Brad Bao")</f>
        <v>In conversation with Lime's Brad Bao</v>
      </c>
      <c r="B858" s="10" t="str">
        <f>IFERROR(__xludf.DUMMYFUNCTION("""COMPUTED_VALUE"""),"In this fireside interview, we'll learn about the new mobility revolution with Founder and CEO of Lime, Brad Bao.")</f>
        <v>In this fireside interview, we'll learn about the new mobility revolution with Founder and CEO of Lime, Brad Bao.</v>
      </c>
      <c r="C858" s="10" t="str">
        <f>IFERROR(__xludf.DUMMYFUNCTION("""COMPUTED_VALUE"""),"Auto/Tech &amp; TalkRobot")</f>
        <v>Auto/Tech &amp; TalkRobot</v>
      </c>
      <c r="D858" s="10" t="str">
        <f>IFERROR(__xludf.DUMMYFUNCTION("""COMPUTED_VALUE"""),"Brad Bao and Alison Griswold")</f>
        <v>Brad Bao and Alison Griswold</v>
      </c>
      <c r="E858" s="10" t="str">
        <f>IFERROR(__xludf.DUMMYFUNCTION("""COMPUTED_VALUE"""),"Brad Bao,Alison Griswold")</f>
        <v>Brad Bao,Alison Griswold</v>
      </c>
      <c r="F858" s="10" t="str">
        <f>IFERROR(__xludf.DUMMYFUNCTION("""COMPUTED_VALUE"""),"2019/11/06 14:00:00")</f>
        <v>2019/11/06 14:00:00</v>
      </c>
      <c r="G858" s="10" t="str">
        <f>IFERROR(__xludf.DUMMYFUNCTION("""COMPUTED_VALUE"""),"2019/11/06 14:20:00")</f>
        <v>2019/11/06 14:20:00</v>
      </c>
      <c r="H858" s="10" t="str">
        <f>IFERROR(__xludf.DUMMYFUNCTION("""COMPUTED_VALUE"""),"29ef26ef-8606-410b-9f6e-29982d4f9b12")</f>
        <v>29ef26ef-8606-410b-9f6e-29982d4f9b12</v>
      </c>
      <c r="I858" s="10" t="str">
        <f>IFERROR(__xludf.DUMMYFUNCTION("""COMPUTED_VALUE"""),"29ef26ef-8606-410b-9f6e-29982d4f9b12")</f>
        <v>29ef26ef-8606-410b-9f6e-29982d4f9b12</v>
      </c>
    </row>
    <row r="859">
      <c r="A859" s="10" t="str">
        <f>IFERROR(__xludf.DUMMYFUNCTION("""COMPUTED_VALUE"""),"How every brand became a content creator, and every content creator a brand")</f>
        <v>How every brand became a content creator, and every content creator a brand</v>
      </c>
      <c r="B859" s="10" t="str">
        <f>IFERROR(__xludf.DUMMYFUNCTION("""COMPUTED_VALUE"""),"This talk will examine how content creators, influencers, and celebrities monetise their content and develop their brand. Join actor Ian Somerhalder and Yoola CEO Eyal Baumel as they discuss the existing and emerging models for content creation, distribut"&amp;"ion, and monetisation.")</f>
        <v>This talk will examine how content creators, influencers, and celebrities monetise their content and develop their brand. Join actor Ian Somerhalder and Yoola CEO Eyal Baumel as they discuss the existing and emerging models for content creation, distribution, and monetisation.</v>
      </c>
      <c r="C859" s="10" t="str">
        <f>IFERROR(__xludf.DUMMYFUNCTION("""COMPUTED_VALUE"""),"ContentMakers")</f>
        <v>ContentMakers</v>
      </c>
      <c r="D859" s="10" t="str">
        <f>IFERROR(__xludf.DUMMYFUNCTION("""COMPUTED_VALUE"""),"Ian Somerhalder, Eyal Baumel and Dylan Collins")</f>
        <v>Ian Somerhalder, Eyal Baumel and Dylan Collins</v>
      </c>
      <c r="E859" s="10" t="str">
        <f>IFERROR(__xludf.DUMMYFUNCTION("""COMPUTED_VALUE"""),"Ian Somerhalder,Eyal Baumel,Dylan Collins")</f>
        <v>Ian Somerhalder,Eyal Baumel,Dylan Collins</v>
      </c>
      <c r="F859" s="10" t="str">
        <f>IFERROR(__xludf.DUMMYFUNCTION("""COMPUTED_VALUE"""),"2019/11/06 11:10:00")</f>
        <v>2019/11/06 11:10:00</v>
      </c>
      <c r="G859" s="10" t="str">
        <f>IFERROR(__xludf.DUMMYFUNCTION("""COMPUTED_VALUE"""),"2019/11/06 11:30:00")</f>
        <v>2019/11/06 11:30:00</v>
      </c>
      <c r="H859" s="10" t="str">
        <f>IFERROR(__xludf.DUMMYFUNCTION("""COMPUTED_VALUE"""),"6de11e57-af39-46c1-a6c6-bbb04a21f4c1")</f>
        <v>6de11e57-af39-46c1-a6c6-bbb04a21f4c1</v>
      </c>
      <c r="I859" s="10" t="str">
        <f>IFERROR(__xludf.DUMMYFUNCTION("""COMPUTED_VALUE"""),"6de11e57-af39-46c1-a6c6-bbb04a21f4c1")</f>
        <v>6de11e57-af39-46c1-a6c6-bbb04a21f4c1</v>
      </c>
    </row>
    <row r="860">
      <c r="A860" s="10" t="str">
        <f>IFERROR(__xludf.DUMMYFUNCTION("""COMPUTED_VALUE"""),"Brexit: The never ending story")</f>
        <v>Brexit: The never ending story</v>
      </c>
      <c r="B860" s="10" t="str">
        <f>IFERROR(__xludf.DUMMYFUNCTION("""COMPUTED_VALUE"""),"With a general election now scheduled for December 12 and a new exit date of January 31 2020, the Brexit saga looks set to continue for some time yet. Join us to find out what one of the sharpest political minds to grace Westminster makes of the situation"&amp;". Former Prime Minister Tony Blair will give us his take on the ongoing political story and what he thinks Britain should do next.")</f>
        <v>With a general election now scheduled for December 12 and a new exit date of January 31 2020, the Brexit saga looks set to continue for some time yet. Join us to find out what one of the sharpest political minds to grace Westminster makes of the situation. Former Prime Minister Tony Blair will give us his take on the ongoing political story and what he thinks Britain should do next.</v>
      </c>
      <c r="C860" s="10" t="str">
        <f>IFERROR(__xludf.DUMMYFUNCTION("""COMPUTED_VALUE"""),"Future Societies")</f>
        <v>Future Societies</v>
      </c>
      <c r="D860" s="10" t="str">
        <f>IFERROR(__xludf.DUMMYFUNCTION("""COMPUTED_VALUE"""),"Tony Blair and Phil Collins")</f>
        <v>Tony Blair and Phil Collins</v>
      </c>
      <c r="E860" s="10" t="str">
        <f>IFERROR(__xludf.DUMMYFUNCTION("""COMPUTED_VALUE"""),"Tony Blair,Phil Collins")</f>
        <v>Tony Blair,Phil Collins</v>
      </c>
      <c r="F860" s="10" t="str">
        <f>IFERROR(__xludf.DUMMYFUNCTION("""COMPUTED_VALUE"""),"2019/11/05 15:40:00")</f>
        <v>2019/11/05 15:40:00</v>
      </c>
      <c r="G860" s="10" t="str">
        <f>IFERROR(__xludf.DUMMYFUNCTION("""COMPUTED_VALUE"""),"2019/11/05 16:10:00")</f>
        <v>2019/11/05 16:10:00</v>
      </c>
      <c r="H860" s="10" t="str">
        <f>IFERROR(__xludf.DUMMYFUNCTION("""COMPUTED_VALUE"""),"00a4eb61-aa08-43ea-af0d-736daf670850")</f>
        <v>00a4eb61-aa08-43ea-af0d-736daf670850</v>
      </c>
      <c r="I860" s="10" t="str">
        <f>IFERROR(__xludf.DUMMYFUNCTION("""COMPUTED_VALUE"""),"00a4eb61-aa08-43ea-af0d-736daf670850")</f>
        <v>00a4eb61-aa08-43ea-af0d-736daf670850</v>
      </c>
    </row>
    <row r="861">
      <c r="A861" s="10" t="str">
        <f>IFERROR(__xludf.DUMMYFUNCTION("""COMPUTED_VALUE"""),"EU’s policy against disinformation and other online threats")</f>
        <v>EU’s policy against disinformation and other online threats</v>
      </c>
      <c r="B861" s="10" t="str">
        <f>IFERROR(__xludf.DUMMYFUNCTION("""COMPUTED_VALUE"""),"")</f>
        <v/>
      </c>
      <c r="C861" s="10" t="str">
        <f>IFERROR(__xludf.DUMMYFUNCTION("""COMPUTED_VALUE"""),"")</f>
        <v/>
      </c>
      <c r="D861" s="10" t="str">
        <f>IFERROR(__xludf.DUMMYFUNCTION("""COMPUTED_VALUE"""),"Věra Jourová")</f>
        <v>Věra Jourová</v>
      </c>
      <c r="E861" s="10" t="str">
        <f>IFERROR(__xludf.DUMMYFUNCTION("""COMPUTED_VALUE"""),"Věra Jourová")</f>
        <v>Věra Jourová</v>
      </c>
      <c r="F861" s="10" t="str">
        <f>IFERROR(__xludf.DUMMYFUNCTION("""COMPUTED_VALUE"""),"")</f>
        <v/>
      </c>
      <c r="G861" s="10" t="str">
        <f>IFERROR(__xludf.DUMMYFUNCTION("""COMPUTED_VALUE"""),"")</f>
        <v/>
      </c>
      <c r="H861" s="10" t="str">
        <f>IFERROR(__xludf.DUMMYFUNCTION("""COMPUTED_VALUE"""),"0aad9e96-6b75-51c6-ab36-63d22dd5b207")</f>
        <v>0aad9e96-6b75-51c6-ab36-63d22dd5b207</v>
      </c>
      <c r="I861" s="10" t="str">
        <f>IFERROR(__xludf.DUMMYFUNCTION("""COMPUTED_VALUE"""),"0aad9e96-6b75-51c6-ab36-63d22dd5b207")</f>
        <v>0aad9e96-6b75-51c6-ab36-63d22dd5b207</v>
      </c>
    </row>
    <row r="862">
      <c r="A862" s="10" t="str">
        <f>IFERROR(__xludf.DUMMYFUNCTION("""COMPUTED_VALUE"""),"Breaking up big tech")</f>
        <v>Breaking up big tech</v>
      </c>
      <c r="B862" s="10" t="str">
        <f>IFERROR(__xludf.DUMMYFUNCTION("""COMPUTED_VALUE"""),"The question of regulating big tech by breaking up its superpowers is on the political agenda worldwide. Come, listen and make up your own mind. ")</f>
        <v>The question of regulating big tech by breaking up its superpowers is on the political agenda worldwide. Come, listen and make up your own mind. </v>
      </c>
      <c r="C862" s="10" t="str">
        <f>IFERROR(__xludf.DUMMYFUNCTION("""COMPUTED_VALUE"""),"Centre Stage")</f>
        <v>Centre Stage</v>
      </c>
      <c r="D862" s="10" t="str">
        <f>IFERROR(__xludf.DUMMYFUNCTION("""COMPUTED_VALUE"""),"Kumi Naidoo, Věra Jourová and Mark Di Stefano")</f>
        <v>Kumi Naidoo, Věra Jourová and Mark Di Stefano</v>
      </c>
      <c r="E862" s="10" t="str">
        <f>IFERROR(__xludf.DUMMYFUNCTION("""COMPUTED_VALUE"""),"Kumi Naidoo,Věra Jourová,Mark Di Stefano")</f>
        <v>Kumi Naidoo,Věra Jourová,Mark Di Stefano</v>
      </c>
      <c r="F862" s="10" t="str">
        <f>IFERROR(__xludf.DUMMYFUNCTION("""COMPUTED_VALUE"""),"2019/11/07 14:25:00")</f>
        <v>2019/11/07 14:25:00</v>
      </c>
      <c r="G862" s="10" t="str">
        <f>IFERROR(__xludf.DUMMYFUNCTION("""COMPUTED_VALUE"""),"2019/11/07 14:45:00")</f>
        <v>2019/11/07 14:45:00</v>
      </c>
      <c r="H862" s="10" t="str">
        <f>IFERROR(__xludf.DUMMYFUNCTION("""COMPUTED_VALUE"""),"a702a26c-2ebb-4bc7-b621-0c8375f3c7f9")</f>
        <v>a702a26c-2ebb-4bc7-b621-0c8375f3c7f9</v>
      </c>
      <c r="I862" s="10" t="str">
        <f>IFERROR(__xludf.DUMMYFUNCTION("""COMPUTED_VALUE"""),"a702a26c-2ebb-4bc7-b621-0c8375f3c7f9")</f>
        <v>a702a26c-2ebb-4bc7-b621-0c8375f3c7f9</v>
      </c>
    </row>
    <row r="863">
      <c r="A863" s="10" t="str">
        <f>IFERROR(__xludf.DUMMYFUNCTION("""COMPUTED_VALUE"""),"Featured venue: MusicBox")</f>
        <v>Featured venue: MusicBox</v>
      </c>
      <c r="B863" s="10" t="str">
        <f>IFERROR(__xludf.DUMMYFUNCTION("""COMPUTED_VALUE"""),"In other places you find goblin under bridges. Not in Lisbon, where under the bridge you'll discover one of Lisbon's favourite hotspots. Delve inside the cavernous space to find old world stone archways and columns intermingled with high-tech lighting and"&amp;" state-of-the-art sound systems. A cave of wonders, a party dungeon, whatever you call it, we can guarantee it'll be great. The 115,000 party people who use it every year can't be wrong!
Night Summit deals: 
20% discount on Jameson Ginger and lime")</f>
        <v>In other places you find goblin under bridges. Not in Lisbon, where under the bridge you'll discover one of Lisbon's favourite hotspots. Delve inside the cavernous space to find old world stone archways and columns intermingled with high-tech lighting and state-of-the-art sound systems. A cave of wonders, a party dungeon, whatever you call it, we can guarantee it'll be great. The 115,000 party people who use it every year can't be wrong!
Night Summit deals: 
20% discount on Jameson Ginger and lime</v>
      </c>
      <c r="C863" s="10" t="str">
        <f>IFERROR(__xludf.DUMMYFUNCTION("""COMPUTED_VALUE"""),"MusicBox")</f>
        <v>MusicBox</v>
      </c>
      <c r="D863" s="10" t="str">
        <f>IFERROR(__xludf.DUMMYFUNCTION("""COMPUTED_VALUE"""),"")</f>
        <v/>
      </c>
      <c r="E863" s="10" t="str">
        <f>IFERROR(__xludf.DUMMYFUNCTION("""COMPUTED_VALUE"""),"")</f>
        <v/>
      </c>
      <c r="F863" s="10" t="str">
        <f>IFERROR(__xludf.DUMMYFUNCTION("""COMPUTED_VALUE"""),"2019/11/05 20:00:00")</f>
        <v>2019/11/05 20:00:00</v>
      </c>
      <c r="G863" s="10" t="str">
        <f>IFERROR(__xludf.DUMMYFUNCTION("""COMPUTED_VALUE"""),"2019/11/06 00:00:00")</f>
        <v>2019/11/06 00:00:00</v>
      </c>
      <c r="H863" s="10" t="str">
        <f>IFERROR(__xludf.DUMMYFUNCTION("""COMPUTED_VALUE"""),"46bf4806-920b-4d46-b854-87a432abad6a")</f>
        <v>46bf4806-920b-4d46-b854-87a432abad6a</v>
      </c>
      <c r="I863" s="10" t="str">
        <f>IFERROR(__xludf.DUMMYFUNCTION("""COMPUTED_VALUE"""),"46bf4806-920b-4d46-b854-87a432abad6a")</f>
        <v>46bf4806-920b-4d46-b854-87a432abad6a</v>
      </c>
    </row>
    <row r="864">
      <c r="A864" s="10" t="str">
        <f>IFERROR(__xludf.DUMMYFUNCTION("""COMPUTED_VALUE"""),"Featured venue: D'Bacalhau")</f>
        <v>Featured venue: D'Bacalhau</v>
      </c>
      <c r="B864" s="10" t="str">
        <f>IFERROR(__xludf.DUMMYFUNCTION("""COMPUTED_VALUE"""),"Many people at Web Summit wonder what is the best way to achieve quality. The team at d'Bacalhau have the answer, believing that quality can be achieved by specialising in one thing and doing it well. In their case, they have done this with codfish, bring"&amp;"ing a modern feel to a beloved Portuguese tradition.
Night Summit deals: 
2 for 1 drink  is offered with every full meal")</f>
        <v>Many people at Web Summit wonder what is the best way to achieve quality. The team at d'Bacalhau have the answer, believing that quality can be achieved by specialising in one thing and doing it well. In their case, they have done this with codfish, bringing a modern feel to a beloved Portuguese tradition.
Night Summit deals: 
2 for 1 drink  is offered with every full meal</v>
      </c>
      <c r="C864" s="10" t="str">
        <f>IFERROR(__xludf.DUMMYFUNCTION("""COMPUTED_VALUE"""),"D' Bacalhau")</f>
        <v>D' Bacalhau</v>
      </c>
      <c r="D864" s="10" t="str">
        <f>IFERROR(__xludf.DUMMYFUNCTION("""COMPUTED_VALUE"""),"")</f>
        <v/>
      </c>
      <c r="E864" s="10" t="str">
        <f>IFERROR(__xludf.DUMMYFUNCTION("""COMPUTED_VALUE"""),"")</f>
        <v/>
      </c>
      <c r="F864" s="10" t="str">
        <f>IFERROR(__xludf.DUMMYFUNCTION("""COMPUTED_VALUE"""),"2019/11/04 20:00:00")</f>
        <v>2019/11/04 20:00:00</v>
      </c>
      <c r="G864" s="10" t="str">
        <f>IFERROR(__xludf.DUMMYFUNCTION("""COMPUTED_VALUE"""),"2019/11/04 23:00:00")</f>
        <v>2019/11/04 23:00:00</v>
      </c>
      <c r="H864" s="10" t="str">
        <f>IFERROR(__xludf.DUMMYFUNCTION("""COMPUTED_VALUE"""),"340a4930-026c-4698-8130-db24fc7b785f")</f>
        <v>340a4930-026c-4698-8130-db24fc7b785f</v>
      </c>
      <c r="I864" s="10" t="str">
        <f>IFERROR(__xludf.DUMMYFUNCTION("""COMPUTED_VALUE"""),"340a4930-026c-4698-8130-db24fc7b785f")</f>
        <v>340a4930-026c-4698-8130-db24fc7b785f</v>
      </c>
    </row>
    <row r="865">
      <c r="A865" s="10" t="str">
        <f>IFERROR(__xludf.DUMMYFUNCTION("""COMPUTED_VALUE"""),"On the brink of catastrophe: A digital 21st century without Europe")</f>
        <v>On the brink of catastrophe: A digital 21st century without Europe</v>
      </c>
      <c r="B865" s="10" t="str">
        <f>IFERROR(__xludf.DUMMYFUNCTION("""COMPUTED_VALUE"""),"This keynote, featuring two of BCG’s leading digital strategists, will reveal the findings from an eye-opening assessment on the digital maturity of various countries across the world and its strategic implications for Europe.")</f>
        <v>This keynote, featuring two of BCG’s leading digital strategists, will reveal the findings from an eye-opening assessment on the digital maturity of various countries across the world and its strategic implications for Europe.</v>
      </c>
      <c r="C865" s="10" t="str">
        <f>IFERROR(__xludf.DUMMYFUNCTION("""COMPUTED_VALUE"""),"Corporate Innovation Summit")</f>
        <v>Corporate Innovation Summit</v>
      </c>
      <c r="D865" s="10" t="str">
        <f>IFERROR(__xludf.DUMMYFUNCTION("""COMPUTED_VALUE"""),"François Candelon")</f>
        <v>François Candelon</v>
      </c>
      <c r="E865" s="10" t="str">
        <f>IFERROR(__xludf.DUMMYFUNCTION("""COMPUTED_VALUE"""),"François Candelon")</f>
        <v>François Candelon</v>
      </c>
      <c r="F865" s="10" t="str">
        <f>IFERROR(__xludf.DUMMYFUNCTION("""COMPUTED_VALUE"""),"2019/11/05 15:00:00")</f>
        <v>2019/11/05 15:00:00</v>
      </c>
      <c r="G865" s="10" t="str">
        <f>IFERROR(__xludf.DUMMYFUNCTION("""COMPUTED_VALUE"""),"2019/11/05 15:15:00")</f>
        <v>2019/11/05 15:15:00</v>
      </c>
      <c r="H865" s="10" t="str">
        <f>IFERROR(__xludf.DUMMYFUNCTION("""COMPUTED_VALUE"""),"af1ef915-e7b5-42d0-84ab-567adea8be01")</f>
        <v>af1ef915-e7b5-42d0-84ab-567adea8be01</v>
      </c>
      <c r="I865" s="10" t="str">
        <f>IFERROR(__xludf.DUMMYFUNCTION("""COMPUTED_VALUE"""),"af1ef915-e7b5-42d0-84ab-567adea8be01")</f>
        <v>af1ef915-e7b5-42d0-84ab-567adea8be01</v>
      </c>
    </row>
    <row r="866">
      <c r="A866" s="10" t="str">
        <f>IFERROR(__xludf.DUMMYFUNCTION("""COMPUTED_VALUE"""),"Opening remarks")</f>
        <v>Opening remarks</v>
      </c>
      <c r="B866" s="10" t="str">
        <f>IFERROR(__xludf.DUMMYFUNCTION("""COMPUTED_VALUE"""),"Delos CTO, Jim, briefs you on HealthConf content so far and what's to come for the afternoon.")</f>
        <v>Delos CTO, Jim, briefs you on HealthConf content so far and what's to come for the afternoon.</v>
      </c>
      <c r="C866" s="10" t="str">
        <f>IFERROR(__xludf.DUMMYFUNCTION("""COMPUTED_VALUE"""),"HealthConf")</f>
        <v>HealthConf</v>
      </c>
      <c r="D866" s="10" t="str">
        <f>IFERROR(__xludf.DUMMYFUNCTION("""COMPUTED_VALUE"""),"Jim Hunter")</f>
        <v>Jim Hunter</v>
      </c>
      <c r="E866" s="10" t="str">
        <f>IFERROR(__xludf.DUMMYFUNCTION("""COMPUTED_VALUE"""),"Jim Hunter")</f>
        <v>Jim Hunter</v>
      </c>
      <c r="F866" s="10" t="str">
        <f>IFERROR(__xludf.DUMMYFUNCTION("""COMPUTED_VALUE"""),"2019/11/07 13:10:00")</f>
        <v>2019/11/07 13:10:00</v>
      </c>
      <c r="G866" s="10" t="str">
        <f>IFERROR(__xludf.DUMMYFUNCTION("""COMPUTED_VALUE"""),"2019/11/07 13:25:00")</f>
        <v>2019/11/07 13:25:00</v>
      </c>
      <c r="H866" s="10" t="str">
        <f>IFERROR(__xludf.DUMMYFUNCTION("""COMPUTED_VALUE"""),"1c918723-c009-4dd6-a0a6-d2dbf456a755")</f>
        <v>1c918723-c009-4dd6-a0a6-d2dbf456a755</v>
      </c>
      <c r="I866" s="10" t="str">
        <f>IFERROR(__xludf.DUMMYFUNCTION("""COMPUTED_VALUE"""),"1c918723-c009-4dd6-a0a6-d2dbf456a755")</f>
        <v>1c918723-c009-4dd6-a0a6-d2dbf456a755</v>
      </c>
    </row>
    <row r="867">
      <c r="A867" s="10" t="str">
        <f>IFERROR(__xludf.DUMMYFUNCTION("""COMPUTED_VALUE"""),"Q&amp;A with electronic music pioneer Jean-Michel Jarre")</f>
        <v>Q&amp;A with electronic music pioneer Jean-Michel Jarre</v>
      </c>
      <c r="B867" s="10" t="str">
        <f>IFERROR(__xludf.DUMMYFUNCTION("""COMPUTED_VALUE"""),"")</f>
        <v/>
      </c>
      <c r="C867" s="10" t="str">
        <f>IFERROR(__xludf.DUMMYFUNCTION("""COMPUTED_VALUE"""),"")</f>
        <v/>
      </c>
      <c r="D867" s="10" t="str">
        <f>IFERROR(__xludf.DUMMYFUNCTION("""COMPUTED_VALUE"""),"Jean-Michel Jarre")</f>
        <v>Jean-Michel Jarre</v>
      </c>
      <c r="E867" s="10" t="str">
        <f>IFERROR(__xludf.DUMMYFUNCTION("""COMPUTED_VALUE"""),"Jean-Michel Jarre")</f>
        <v>Jean-Michel Jarre</v>
      </c>
      <c r="F867" s="10" t="str">
        <f>IFERROR(__xludf.DUMMYFUNCTION("""COMPUTED_VALUE"""),"")</f>
        <v/>
      </c>
      <c r="G867" s="10" t="str">
        <f>IFERROR(__xludf.DUMMYFUNCTION("""COMPUTED_VALUE"""),"")</f>
        <v/>
      </c>
      <c r="H867" s="10" t="str">
        <f>IFERROR(__xludf.DUMMYFUNCTION("""COMPUTED_VALUE"""),"2de97b94-06d9-5261-aa08-68ebeaf549cd")</f>
        <v>2de97b94-06d9-5261-aa08-68ebeaf549cd</v>
      </c>
      <c r="I867" s="10" t="str">
        <f>IFERROR(__xludf.DUMMYFUNCTION("""COMPUTED_VALUE"""),"2de97b94-06d9-5261-aa08-68ebeaf549cd")</f>
        <v>2de97b94-06d9-5261-aa08-68ebeaf549cd</v>
      </c>
    </row>
    <row r="868">
      <c r="A868" s="10" t="str">
        <f>IFERROR(__xludf.DUMMYFUNCTION("""COMPUTED_VALUE"""),"PITCH quarterfinal 2")</f>
        <v>PITCH quarterfinal 2</v>
      </c>
      <c r="B868" s="10" t="str">
        <f>IFERROR(__xludf.DUMMYFUNCTION("""COMPUTED_VALUE"""),"")</f>
        <v/>
      </c>
      <c r="C868" s="10" t="str">
        <f>IFERROR(__xludf.DUMMYFUNCTION("""COMPUTED_VALUE"""),"")</f>
        <v/>
      </c>
      <c r="D868" s="10" t="str">
        <f>IFERROR(__xludf.DUMMYFUNCTION("""COMPUTED_VALUE"""),"Tahira Rehmatullah,  Jean-Marc Patouillaud,  Ajay Ramachandran,  Brendan Yell,  Jacqueline van den Ende and  Ulli Waltinger
")</f>
        <v>Tahira Rehmatullah,  Jean-Marc Patouillaud,  Ajay Ramachandran,  Brendan Yell,  Jacqueline van den Ende and  Ulli Waltinger
</v>
      </c>
      <c r="E868" s="10" t="str">
        <f>IFERROR(__xludf.DUMMYFUNCTION("""COMPUTED_VALUE"""),"Tahira Rehmatullah, Jean-Marc Patouillaud, Ajay Ramachandran, Brendan Yell, Jacqueline van den Ende, Ulli Waltinger
")</f>
        <v>Tahira Rehmatullah, Jean-Marc Patouillaud, Ajay Ramachandran, Brendan Yell, Jacqueline van den Ende, Ulli Waltinger
</v>
      </c>
      <c r="F868" s="10" t="str">
        <f>IFERROR(__xludf.DUMMYFUNCTION("""COMPUTED_VALUE"""),"")</f>
        <v/>
      </c>
      <c r="G868" s="10" t="str">
        <f>IFERROR(__xludf.DUMMYFUNCTION("""COMPUTED_VALUE"""),"")</f>
        <v/>
      </c>
      <c r="H868" s="10" t="str">
        <f>IFERROR(__xludf.DUMMYFUNCTION("""COMPUTED_VALUE"""),"dbc64a3e-5f86-515e-88d3-e48a01ab32cc")</f>
        <v>dbc64a3e-5f86-515e-88d3-e48a01ab32cc</v>
      </c>
      <c r="I868" s="10" t="str">
        <f>IFERROR(__xludf.DUMMYFUNCTION("""COMPUTED_VALUE"""),"dbc64a3e-5f86-515e-88d3-e48a01ab32cc")</f>
        <v>dbc64a3e-5f86-515e-88d3-e48a01ab32cc</v>
      </c>
    </row>
    <row r="869">
      <c r="A869" s="10" t="str">
        <f>IFERROR(__xludf.DUMMYFUNCTION("""COMPUTED_VALUE"""),"Startup Showcase")</f>
        <v>Startup Showcase</v>
      </c>
      <c r="B869" s="10" t="str">
        <f>IFERROR(__xludf.DUMMYFUNCTION("""COMPUTED_VALUE"""),"On this brand new stage, expect quickfire presentations where startups will showcase their solutions to the future's biggest challenges. This hour focuses on travel &amp; hospitality, covering topics like travel tech, accommodation services, booking platforms"&amp;", and the tourism sector.
")</f>
        <v>On this brand new stage, expect quickfire presentations where startups will showcase their solutions to the future's biggest challenges. This hour focuses on travel &amp; hospitality, covering topics like travel tech, accommodation services, booking platforms, and the tourism sector.
</v>
      </c>
      <c r="C869" s="10" t="str">
        <f>IFERROR(__xludf.DUMMYFUNCTION("""COMPUTED_VALUE"""),"Startup Showcase 3")</f>
        <v>Startup Showcase 3</v>
      </c>
      <c r="D869" s="10" t="str">
        <f>IFERROR(__xludf.DUMMYFUNCTION("""COMPUTED_VALUE"""),"Tony Zappala, Ivanna Nedelchuk, Ilya Melkumov, Andre Pimenta, Eduardo Orellana, Eric Sanchez, Rafael Juzo, Emily Cheung, Jörg Wasmeier, Elisa Chiarelli, James Ward, Marcos Medeiros, Brennan Basnicki, Simon Boulet, Juli Delos, Santiago Montero, Luís Torres"&amp;", Ewa Wojcik, Mikhail Khrushch, Natalia Bandach, Oleksandr Polonskyy, Ciga Zhou, Noemie Turcotte, Oleksandr Khveshchuk, María Pérez García, Manuel Andrade, Julien Faliu, Javier Moreno, Christophe Etienne, GUILLERMO GASPART, Francesco Catemario di Quadri, "&amp;"Ludwig Hedlund, Antonio Bustamante Gaitán, Mike Iukhtenko, Manuel Ferreira, Julia Demyanchuk, Nick Nedelchuk, Andrey Zhironkin, Yaroslav Lvovych, Alexander Mitzman, Carina Alexandra Alves Louro Miguel, Eyal Grumberg, CHRISTIAN RODRIGUEZ, Aleksandr Demidov"&amp;", Antonio Bettencourt, Pedro Gancho, Sonya Baranova, Robert Preoteasa and Sylvio Scott")</f>
        <v>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Robert Preoteasa and Sylvio Scott</v>
      </c>
      <c r="E869" s="10" t="str">
        <f>IFERROR(__xludf.DUMMYFUNCTION("""COMPUTED_VALUE"""),"Tony Zappala,Ivanna Nedelchuk,Ilya Melkumov,Andre Pimenta,Eduardo Orellana,Eric Sanchez,Rafael Juzo,Emily Cheung,Jörg Wasmeier,Elisa Chiarelli,James Ward,Marcos Medeiros,Brennan Basnicki,Simon Boulet,Juli Delos,Santiago Montero,Luís Torres,Ewa Wojcik,Mikh"&amp;"ail Khrushch,Natalia Bandach,Oleksandr Polonskyy,Ciga Zhou,Noemie Turcotte,Oleksandr Khveshchuk,María Pérez García,Manuel Andrade,Julien Faliu,Javier Moreno,Christophe Etienne,GUILLERMO GASPART,Francesco Catemario di Quadri,Ludwig Hedlund,Antonio Bustaman"&amp;"te Gaitán,Mike Iukhtenko,Manuel Ferreira,Julia Demyanchuk,Nick Nedelchuk,Andrey Zhironkin,Yaroslav Lvovych,Alexander Mitzman,Carina Alexandra Alves Louro Miguel,Eyal Grumberg,CHRISTIAN RODRIGUEZ,Aleksandr Demidov,Antonio Bettencourt,Pedro Gancho,Sonya Bar"&amp;"anova,Robert Preoteasa,Sylvio Scott")</f>
        <v>Tony Zappala,Ivanna Nedelchuk,Ilya Melkumov,Andre Pimenta,Eduardo Orellana,Eric Sanchez,Rafael Juzo,Emily Cheung,Jörg Wasmeier,Elisa Chiarelli,James Ward,Marcos Medeiros,Brennan Basnicki,Simon Boulet,Juli Delos,Santiago Montero,Luís Torres,Ewa Wojcik,Mikhail Khrushch,Natalia Bandach,Oleksandr Polonskyy,Ciga Zhou,Noemie Turcotte,Oleksandr Khveshchuk,María Pérez García,Manuel Andrade,Julien Faliu,Javier Moreno,Christophe Etienne,GUILLERMO GASPART,Francesco Catemario di Quadri,Ludwig Hedlund,Antonio Bustamante Gaitán,Mike Iukhtenko,Manuel Ferreira,Julia Demyanchuk,Nick Nedelchuk,Andrey Zhironkin,Yaroslav Lvovych,Alexander Mitzman,Carina Alexandra Alves Louro Miguel,Eyal Grumberg,CHRISTIAN RODRIGUEZ,Aleksandr Demidov,Antonio Bettencourt,Pedro Gancho,Sonya Baranova,Robert Preoteasa,Sylvio Scott</v>
      </c>
      <c r="F869" s="10" t="str">
        <f>IFERROR(__xludf.DUMMYFUNCTION("""COMPUTED_VALUE"""),"2019/11/07 14:15:00")</f>
        <v>2019/11/07 14:15:00</v>
      </c>
      <c r="G869" s="10" t="str">
        <f>IFERROR(__xludf.DUMMYFUNCTION("""COMPUTED_VALUE"""),"2019/11/07 15:15:00")</f>
        <v>2019/11/07 15:15:00</v>
      </c>
      <c r="H869" s="10" t="str">
        <f>IFERROR(__xludf.DUMMYFUNCTION("""COMPUTED_VALUE"""),"556154bd-67f3-4d53-8003-6aff86f7310f")</f>
        <v>556154bd-67f3-4d53-8003-6aff86f7310f</v>
      </c>
      <c r="I869" s="10" t="str">
        <f>IFERROR(__xludf.DUMMYFUNCTION("""COMPUTED_VALUE"""),"556154bd-67f3-4d53-8003-6aff86f7310f")</f>
        <v>556154bd-67f3-4d53-8003-6aff86f7310f</v>
      </c>
    </row>
    <row r="870">
      <c r="A870" s="10" t="str">
        <f>IFERROR(__xludf.DUMMYFUNCTION("""COMPUTED_VALUE"""),"Making the most of data")</f>
        <v>Making the most of data</v>
      </c>
      <c r="B870" s="10" t="str">
        <f>IFERROR(__xludf.DUMMYFUNCTION("""COMPUTED_VALUE"""),"Simply amassing large data sets does not guarantee you'll be able to unleash the information's potential value. Find out how to harness the power of data from leading industry experts.
")</f>
        <v>Simply amassing large data sets does not guarantee you'll be able to unleash the information's potential value. Find out how to harness the power of data from leading industry experts.
</v>
      </c>
      <c r="C870" s="10" t="str">
        <f>IFERROR(__xludf.DUMMYFUNCTION("""COMPUTED_VALUE"""),"DeepTech")</f>
        <v>DeepTech</v>
      </c>
      <c r="D870" s="10" t="str">
        <f>IFERROR(__xludf.DUMMYFUNCTION("""COMPUTED_VALUE"""),"Daniela Braga, Stijn Christiaens, Helen Zeitoun and Rani Molla")</f>
        <v>Daniela Braga, Stijn Christiaens, Helen Zeitoun and Rani Molla</v>
      </c>
      <c r="E870" s="10" t="str">
        <f>IFERROR(__xludf.DUMMYFUNCTION("""COMPUTED_VALUE"""),"Daniela Braga,Stijn Christiaens,Helen Zeitoun,Rani Molla")</f>
        <v>Daniela Braga,Stijn Christiaens,Helen Zeitoun,Rani Molla</v>
      </c>
      <c r="F870" s="10" t="str">
        <f>IFERROR(__xludf.DUMMYFUNCTION("""COMPUTED_VALUE"""),"2019/11/06 13:55:00")</f>
        <v>2019/11/06 13:55:00</v>
      </c>
      <c r="G870" s="10" t="str">
        <f>IFERROR(__xludf.DUMMYFUNCTION("""COMPUTED_VALUE"""),"2019/11/06 14:15:00")</f>
        <v>2019/11/06 14:15:00</v>
      </c>
      <c r="H870" s="10" t="str">
        <f>IFERROR(__xludf.DUMMYFUNCTION("""COMPUTED_VALUE"""),"7a5613f7-7237-4db7-a4ca-32fc0718ee9a")</f>
        <v>7a5613f7-7237-4db7-a4ca-32fc0718ee9a</v>
      </c>
      <c r="I870" s="10" t="str">
        <f>IFERROR(__xludf.DUMMYFUNCTION("""COMPUTED_VALUE"""),"7a5613f7-7237-4db7-a4ca-32fc0718ee9a")</f>
        <v>7a5613f7-7237-4db7-a4ca-32fc0718ee9a</v>
      </c>
    </row>
    <row r="871">
      <c r="A871" s="10" t="str">
        <f>IFERROR(__xludf.DUMMYFUNCTION("""COMPUTED_VALUE"""),"Changing the fight game")</f>
        <v>Changing the fight game</v>
      </c>
      <c r="B871" s="10" t="str">
        <f>IFERROR(__xludf.DUMMYFUNCTION("""COMPUTED_VALUE"""),"One stage, two trail blazers. Meet the women who changed the fight game.
")</f>
        <v>One stage, two trail blazers. Meet the women who changed the fight game.
</v>
      </c>
      <c r="C871" s="10" t="str">
        <f>IFERROR(__xludf.DUMMYFUNCTION("""COMPUTED_VALUE"""),"SportsTrade")</f>
        <v>SportsTrade</v>
      </c>
      <c r="D871" s="10" t="str">
        <f>IFERROR(__xludf.DUMMYFUNCTION("""COMPUTED_VALUE"""),"Paige VanZant, Cris Cyborg and James Dart")</f>
        <v>Paige VanZant, Cris Cyborg and James Dart</v>
      </c>
      <c r="E871" s="10" t="str">
        <f>IFERROR(__xludf.DUMMYFUNCTION("""COMPUTED_VALUE"""),"Paige VanZant,Cris Cyborg,James Dart")</f>
        <v>Paige VanZant,Cris Cyborg,James Dart</v>
      </c>
      <c r="F871" s="10" t="str">
        <f>IFERROR(__xludf.DUMMYFUNCTION("""COMPUTED_VALUE"""),"2019/11/05 15:55:00")</f>
        <v>2019/11/05 15:55:00</v>
      </c>
      <c r="G871" s="10" t="str">
        <f>IFERROR(__xludf.DUMMYFUNCTION("""COMPUTED_VALUE"""),"2019/11/05 16:15:00")</f>
        <v>2019/11/05 16:15:00</v>
      </c>
      <c r="H871" s="10" t="str">
        <f>IFERROR(__xludf.DUMMYFUNCTION("""COMPUTED_VALUE"""),"7bb6b4c4-de39-431e-81c1-013bb2e129e3")</f>
        <v>7bb6b4c4-de39-431e-81c1-013bb2e129e3</v>
      </c>
      <c r="I871" s="10" t="str">
        <f>IFERROR(__xludf.DUMMYFUNCTION("""COMPUTED_VALUE"""),"7bb6b4c4-de39-431e-81c1-013bb2e129e3")</f>
        <v>7bb6b4c4-de39-431e-81c1-013bb2e129e3</v>
      </c>
    </row>
    <row r="872">
      <c r="A872" s="10" t="str">
        <f>IFERROR(__xludf.DUMMYFUNCTION("""COMPUTED_VALUE"""),"Quick App: New experiences, new opportunities, hosted by Huawei")</f>
        <v>Quick App: New experiences, new opportunities, hosted by Huawei</v>
      </c>
      <c r="B872" s="10" t="str">
        <f>IFERROR(__xludf.DUMMYFUNCTION("""COMPUTED_VALUE"""),"As the new form of application services, Quick App and its technological advantages has helped our partners achieve great success in China. With plans to open to global partners, join this session to understand more about its technical structure and show "&amp;"the roadmap of global deployment.")</f>
        <v>As the new form of application services, Quick App and its technological advantages has helped our partners achieve great success in China. With plans to open to global partners, join this session to understand more about its technical structure and show the roadmap of global deployment.</v>
      </c>
      <c r="C872" s="10" t="str">
        <f>IFERROR(__xludf.DUMMYFUNCTION("""COMPUTED_VALUE"""),"Workshop 1")</f>
        <v>Workshop 1</v>
      </c>
      <c r="D872" s="10" t="str">
        <f>IFERROR(__xludf.DUMMYFUNCTION("""COMPUTED_VALUE"""),"Bartella Roland")</f>
        <v>Bartella Roland</v>
      </c>
      <c r="E872" s="10" t="str">
        <f>IFERROR(__xludf.DUMMYFUNCTION("""COMPUTED_VALUE"""),"Bartella Roland")</f>
        <v>Bartella Roland</v>
      </c>
      <c r="F872" s="10" t="str">
        <f>IFERROR(__xludf.DUMMYFUNCTION("""COMPUTED_VALUE"""),"2019/11/05 14:25:00")</f>
        <v>2019/11/05 14:25:00</v>
      </c>
      <c r="G872" s="10" t="str">
        <f>IFERROR(__xludf.DUMMYFUNCTION("""COMPUTED_VALUE"""),"2019/11/05 14:45:00")</f>
        <v>2019/11/05 14:45:00</v>
      </c>
      <c r="H872" s="10" t="str">
        <f>IFERROR(__xludf.DUMMYFUNCTION("""COMPUTED_VALUE"""),"b887e74b-c969-4264-b27d-ebaab7a6a83c")</f>
        <v>b887e74b-c969-4264-b27d-ebaab7a6a83c</v>
      </c>
      <c r="I872" s="10" t="str">
        <f>IFERROR(__xludf.DUMMYFUNCTION("""COMPUTED_VALUE"""),"b887e74b-c969-4264-b27d-ebaab7a6a83c")</f>
        <v>b887e74b-c969-4264-b27d-ebaab7a6a83c</v>
      </c>
    </row>
    <row r="873">
      <c r="A873" s="10" t="str">
        <f>IFERROR(__xludf.DUMMYFUNCTION("""COMPUTED_VALUE"""),"Can you really trust your bank?")</f>
        <v>Can you really trust your bank?</v>
      </c>
      <c r="B873" s="10" t="str">
        <f>IFERROR(__xludf.DUMMYFUNCTION("""COMPUTED_VALUE"""),"You can have the most adapted solutions, groundbreaking AI and fastest UX in the world, but one data breach will send the most established institutions into a tailspin. As tech-savvy millenials become the target demographic, how can banks gain their trust"&amp;"?")</f>
        <v>You can have the most adapted solutions, groundbreaking AI and fastest UX in the world, but one data breach will send the most established institutions into a tailspin. As tech-savvy millenials become the target demographic, how can banks gain their trust?</v>
      </c>
      <c r="C873" s="10" t="str">
        <f>IFERROR(__xludf.DUMMYFUNCTION("""COMPUTED_VALUE"""),"MoneyConf")</f>
        <v>MoneyConf</v>
      </c>
      <c r="D873" s="10" t="str">
        <f>IFERROR(__xludf.DUMMYFUNCTION("""COMPUTED_VALUE"""),"Jacqueline Molnar, Carolina Abenante, Marco Peereboom and Natalia Drozdiak")</f>
        <v>Jacqueline Molnar, Carolina Abenante, Marco Peereboom and Natalia Drozdiak</v>
      </c>
      <c r="E873" s="10" t="str">
        <f>IFERROR(__xludf.DUMMYFUNCTION("""COMPUTED_VALUE"""),"Jacqueline Molnar,Carolina Abenante,Marco Peereboom,Natalia Drozdiak")</f>
        <v>Jacqueline Molnar,Carolina Abenante,Marco Peereboom,Natalia Drozdiak</v>
      </c>
      <c r="F873" s="10" t="str">
        <f>IFERROR(__xludf.DUMMYFUNCTION("""COMPUTED_VALUE"""),"2019/11/07 12:10:00")</f>
        <v>2019/11/07 12:10:00</v>
      </c>
      <c r="G873" s="10" t="str">
        <f>IFERROR(__xludf.DUMMYFUNCTION("""COMPUTED_VALUE"""),"2019/11/07 12:35:00")</f>
        <v>2019/11/07 12:35:00</v>
      </c>
      <c r="H873" s="10" t="str">
        <f>IFERROR(__xludf.DUMMYFUNCTION("""COMPUTED_VALUE"""),"10ff947c-3ad2-43ce-a680-6d56260375b1")</f>
        <v>10ff947c-3ad2-43ce-a680-6d56260375b1</v>
      </c>
      <c r="I873" s="10" t="str">
        <f>IFERROR(__xludf.DUMMYFUNCTION("""COMPUTED_VALUE"""),"10ff947c-3ad2-43ce-a680-6d56260375b1")</f>
        <v>10ff947c-3ad2-43ce-a680-6d56260375b1</v>
      </c>
    </row>
    <row r="874">
      <c r="A874" s="10" t="str">
        <f>IFERROR(__xludf.DUMMYFUNCTION("""COMPUTED_VALUE"""),"Combating the weaponization of data")</f>
        <v>Combating the weaponization of data</v>
      </c>
      <c r="B874" s="10" t="str">
        <f>IFERROR(__xludf.DUMMYFUNCTION("""COMPUTED_VALUE"""),"As the former director of business development at Cambridge Analytica, Brittany Kaiser saw first hand how data could be weaponized to influence and manipulate people.  What can be done to combat this danger to democracy?")</f>
        <v>As the former director of business development at Cambridge Analytica, Brittany Kaiser saw first hand how data could be weaponized to influence and manipulate people.  What can be done to combat this danger to democracy?</v>
      </c>
      <c r="C874" s="10" t="str">
        <f>IFERROR(__xludf.DUMMYFUNCTION("""COMPUTED_VALUE"""),"DeepTech")</f>
        <v>DeepTech</v>
      </c>
      <c r="D874" s="10" t="str">
        <f>IFERROR(__xludf.DUMMYFUNCTION("""COMPUTED_VALUE"""),"Brittany Kaiser and Mark Di Stefano")</f>
        <v>Brittany Kaiser and Mark Di Stefano</v>
      </c>
      <c r="E874" s="10" t="str">
        <f>IFERROR(__xludf.DUMMYFUNCTION("""COMPUTED_VALUE"""),"Brittany Kaiser,Mark Di Stefano")</f>
        <v>Brittany Kaiser,Mark Di Stefano</v>
      </c>
      <c r="F874" s="10" t="str">
        <f>IFERROR(__xludf.DUMMYFUNCTION("""COMPUTED_VALUE"""),"2019/11/06 15:15:00")</f>
        <v>2019/11/06 15:15:00</v>
      </c>
      <c r="G874" s="10" t="str">
        <f>IFERROR(__xludf.DUMMYFUNCTION("""COMPUTED_VALUE"""),"2019/11/06 15:35:00")</f>
        <v>2019/11/06 15:35:00</v>
      </c>
      <c r="H874" s="10" t="str">
        <f>IFERROR(__xludf.DUMMYFUNCTION("""COMPUTED_VALUE"""),"0fb8a55b-7f8f-45a2-91ef-d82a226dcad6")</f>
        <v>0fb8a55b-7f8f-45a2-91ef-d82a226dcad6</v>
      </c>
      <c r="I874" s="10" t="str">
        <f>IFERROR(__xludf.DUMMYFUNCTION("""COMPUTED_VALUE"""),"0fb8a55b-7f8f-45a2-91ef-d82a226dcad6")</f>
        <v>0fb8a55b-7f8f-45a2-91ef-d82a226dcad6</v>
      </c>
    </row>
    <row r="875">
      <c r="A875" s="10" t="str">
        <f>IFERROR(__xludf.DUMMYFUNCTION("""COMPUTED_VALUE"""),"The three rules to break for lasting growth")</f>
        <v>The three rules to break for lasting growth</v>
      </c>
      <c r="B875" s="10" t="str">
        <f>IFERROR(__xludf.DUMMYFUNCTION("""COMPUTED_VALUE"""),"There is no correct blueprint for growing a successful company. Whether it's culture, capital, or competition, high growth companies evolve by breaking out of traditional paths and pitfalls. Ephesoft CEO Ike Kavas outlines the three rules you should alway"&amp;"s break. ")</f>
        <v>There is no correct blueprint for growing a successful company. Whether it's culture, capital, or competition, high growth companies evolve by breaking out of traditional paths and pitfalls. Ephesoft CEO Ike Kavas outlines the three rules you should always break. </v>
      </c>
      <c r="C875" s="10" t="str">
        <f>IFERROR(__xludf.DUMMYFUNCTION("""COMPUTED_VALUE"""),"Growth Summit")</f>
        <v>Growth Summit</v>
      </c>
      <c r="D875" s="10" t="str">
        <f>IFERROR(__xludf.DUMMYFUNCTION("""COMPUTED_VALUE"""),"Ike Kavas")</f>
        <v>Ike Kavas</v>
      </c>
      <c r="E875" s="10" t="str">
        <f>IFERROR(__xludf.DUMMYFUNCTION("""COMPUTED_VALUE"""),"Ike Kavas")</f>
        <v>Ike Kavas</v>
      </c>
      <c r="F875" s="10" t="str">
        <f>IFERROR(__xludf.DUMMYFUNCTION("""COMPUTED_VALUE"""),"2019/11/05 10:06:00")</f>
        <v>2019/11/05 10:06:00</v>
      </c>
      <c r="G875" s="10" t="str">
        <f>IFERROR(__xludf.DUMMYFUNCTION("""COMPUTED_VALUE"""),"2019/11/05 10:10:00")</f>
        <v>2019/11/05 10:10:00</v>
      </c>
      <c r="H875" s="10" t="str">
        <f>IFERROR(__xludf.DUMMYFUNCTION("""COMPUTED_VALUE"""),"b40c8aa7-2c8f-4c7f-9768-b9ac4a9f5008")</f>
        <v>b40c8aa7-2c8f-4c7f-9768-b9ac4a9f5008</v>
      </c>
      <c r="I875" s="10" t="str">
        <f>IFERROR(__xludf.DUMMYFUNCTION("""COMPUTED_VALUE"""),"b40c8aa7-2c8f-4c7f-9768-b9ac4a9f5008")</f>
        <v>b40c8aa7-2c8f-4c7f-9768-b9ac4a9f5008</v>
      </c>
    </row>
    <row r="876">
      <c r="A876" s="10" t="str">
        <f>IFERROR(__xludf.DUMMYFUNCTION("""COMPUTED_VALUE"""),"PITCH group round 18")</f>
        <v>PITCH group round 18</v>
      </c>
      <c r="B876" s="10" t="str">
        <f>IFERROR(__xludf.DUMMYFUNCTION("""COMPUTED_VALUE"""),"")</f>
        <v/>
      </c>
      <c r="C876" s="10" t="str">
        <f>IFERROR(__xludf.DUMMYFUNCTION("""COMPUTED_VALUE"""),"")</f>
        <v/>
      </c>
      <c r="D876" s="10" t="str">
        <f>IFERROR(__xludf.DUMMYFUNCTION("""COMPUTED_VALUE"""),"Jens Lapinski,  Sergio Raposo Frade,  Saba Karim,  Keshin Govender,  Pakiza Abdulrahman,  Christina Lock,  Nick Nedelchuk,  James Rees,  Darina Momot,  Maria Hahn,  William Villalobos and  Andrei Netto
")</f>
        <v>Jens Lapinski,  Sergio Raposo Frade,  Saba Karim,  Keshin Govender,  Pakiza Abdulrahman,  Christina Lock,  Nick Nedelchuk,  James Rees,  Darina Momot,  Maria Hahn,  William Villalobos and  Andrei Netto
</v>
      </c>
      <c r="E876" s="10" t="str">
        <f>IFERROR(__xludf.DUMMYFUNCTION("""COMPUTED_VALUE"""),"Jens Lapinski, Sergio Raposo Frade, Saba Karim, Keshin Govender, Pakiza Abdulrahman, Christina Lock, Nick Nedelchuk, James Rees, Darina Momot, Maria Hahn, William Villalobos, Andrei Netto
")</f>
        <v>Jens Lapinski, Sergio Raposo Frade, Saba Karim, Keshin Govender, Pakiza Abdulrahman, Christina Lock, Nick Nedelchuk, James Rees, Darina Momot, Maria Hahn, William Villalobos, Andrei Netto
</v>
      </c>
      <c r="F876" s="10" t="str">
        <f>IFERROR(__xludf.DUMMYFUNCTION("""COMPUTED_VALUE"""),"")</f>
        <v/>
      </c>
      <c r="G876" s="10" t="str">
        <f>IFERROR(__xludf.DUMMYFUNCTION("""COMPUTED_VALUE"""),"")</f>
        <v/>
      </c>
      <c r="H876" s="10" t="str">
        <f>IFERROR(__xludf.DUMMYFUNCTION("""COMPUTED_VALUE"""),"46ebd9ed-cef9-51c9-8511-12ce5237bbde")</f>
        <v>46ebd9ed-cef9-51c9-8511-12ce5237bbde</v>
      </c>
      <c r="I876" s="10" t="str">
        <f>IFERROR(__xludf.DUMMYFUNCTION("""COMPUTED_VALUE"""),"46ebd9ed-cef9-51c9-8511-12ce5237bbde")</f>
        <v>46ebd9ed-cef9-51c9-8511-12ce5237bbde</v>
      </c>
    </row>
    <row r="877">
      <c r="A877" s="10" t="str">
        <f>IFERROR(__xludf.DUMMYFUNCTION("""COMPUTED_VALUE"""),"How shared &amp; electric mobility transforms the city: a world tour")</f>
        <v>How shared &amp; electric mobility transforms the city: a world tour</v>
      </c>
      <c r="B877" s="10" t="str">
        <f>IFERROR(__xludf.DUMMYFUNCTION("""COMPUTED_VALUE"""),"In this keynote, we'll look at some of the largest shared &amp; electric mobility projects that are shaping the cities throughout the world, from car-sharing schemes to micro-mobility and combined ones, as well as integrated with MaaS.")</f>
        <v>In this keynote, we'll look at some of the largest shared &amp; electric mobility projects that are shaping the cities throughout the world, from car-sharing schemes to micro-mobility and combined ones, as well as integrated with MaaS.</v>
      </c>
      <c r="C877" s="10" t="str">
        <f>IFERROR(__xludf.DUMMYFUNCTION("""COMPUTED_VALUE"""),"Auto/Tech &amp; TalkRobot")</f>
        <v>Auto/Tech &amp; TalkRobot</v>
      </c>
      <c r="D877" s="10" t="str">
        <f>IFERROR(__xludf.DUMMYFUNCTION("""COMPUTED_VALUE"""),"Gregory Ducongé")</f>
        <v>Gregory Ducongé</v>
      </c>
      <c r="E877" s="10" t="str">
        <f>IFERROR(__xludf.DUMMYFUNCTION("""COMPUTED_VALUE"""),"Gregory Ducongé")</f>
        <v>Gregory Ducongé</v>
      </c>
      <c r="F877" s="10" t="str">
        <f>IFERROR(__xludf.DUMMYFUNCTION("""COMPUTED_VALUE"""),"2019/11/05 14:25:00")</f>
        <v>2019/11/05 14:25:00</v>
      </c>
      <c r="G877" s="10" t="str">
        <f>IFERROR(__xludf.DUMMYFUNCTION("""COMPUTED_VALUE"""),"2019/11/05 14:45:00")</f>
        <v>2019/11/05 14:45:00</v>
      </c>
      <c r="H877" s="10" t="str">
        <f>IFERROR(__xludf.DUMMYFUNCTION("""COMPUTED_VALUE"""),"99306970-1d82-4d33-876d-df4916c6025e")</f>
        <v>99306970-1d82-4d33-876d-df4916c6025e</v>
      </c>
      <c r="I877" s="10" t="str">
        <f>IFERROR(__xludf.DUMMYFUNCTION("""COMPUTED_VALUE"""),"99306970-1d82-4d33-876d-df4916c6025e")</f>
        <v>99306970-1d82-4d33-876d-df4916c6025e</v>
      </c>
    </row>
    <row r="878">
      <c r="A878" s="10" t="str">
        <f>IFERROR(__xludf.DUMMYFUNCTION("""COMPUTED_VALUE"""),"The potential of Hardware as a Service in enterprise")</f>
        <v>The potential of Hardware as a Service in enterprise</v>
      </c>
      <c r="B878" s="10" t="str">
        <f>IFERROR(__xludf.DUMMYFUNCTION("""COMPUTED_VALUE"""),"CEO of Alcatraz AI, Vince will discuss piloting, converting and deploying a Hardware as a Service product in enterprise as an early stage startup.")</f>
        <v>CEO of Alcatraz AI, Vince will discuss piloting, converting and deploying a Hardware as a Service product in enterprise as an early stage startup.</v>
      </c>
      <c r="C878" s="10" t="str">
        <f>IFERROR(__xludf.DUMMYFUNCTION("""COMPUTED_VALUE"""),"Growth Summit")</f>
        <v>Growth Summit</v>
      </c>
      <c r="D878" s="10" t="str">
        <f>IFERROR(__xludf.DUMMYFUNCTION("""COMPUTED_VALUE"""),"Vince Gaydarzhiev")</f>
        <v>Vince Gaydarzhiev</v>
      </c>
      <c r="E878" s="10" t="str">
        <f>IFERROR(__xludf.DUMMYFUNCTION("""COMPUTED_VALUE"""),"Vince Gaydarzhiev")</f>
        <v>Vince Gaydarzhiev</v>
      </c>
      <c r="F878" s="10" t="str">
        <f>IFERROR(__xludf.DUMMYFUNCTION("""COMPUTED_VALUE"""),"2019/11/06 13:25:00")</f>
        <v>2019/11/06 13:25:00</v>
      </c>
      <c r="G878" s="10" t="str">
        <f>IFERROR(__xludf.DUMMYFUNCTION("""COMPUTED_VALUE"""),"2019/11/06 13:36:00")</f>
        <v>2019/11/06 13:36:00</v>
      </c>
      <c r="H878" s="10" t="str">
        <f>IFERROR(__xludf.DUMMYFUNCTION("""COMPUTED_VALUE"""),"392711dd-98e0-4410-98ac-d8c44eee0a6f")</f>
        <v>392711dd-98e0-4410-98ac-d8c44eee0a6f</v>
      </c>
      <c r="I878" s="10" t="str">
        <f>IFERROR(__xludf.DUMMYFUNCTION("""COMPUTED_VALUE"""),"392711dd-98e0-4410-98ac-d8c44eee0a6f")</f>
        <v>392711dd-98e0-4410-98ac-d8c44eee0a6f</v>
      </c>
    </row>
    <row r="879">
      <c r="A879" s="10" t="str">
        <f>IFERROR(__xludf.DUMMYFUNCTION("""COMPUTED_VALUE"""),"The rise of the flying car")</f>
        <v>The rise of the flying car</v>
      </c>
      <c r="B879" s="10" t="str">
        <f>IFERROR(__xludf.DUMMYFUNCTION("""COMPUTED_VALUE"""),"It's time to hit the roads... or should we say skies. In this talk, we're going to discuss why the future is looking up.")</f>
        <v>It's time to hit the roads... or should we say skies. In this talk, we're going to discuss why the future is looking up.</v>
      </c>
      <c r="C879" s="10" t="str">
        <f>IFERROR(__xludf.DUMMYFUNCTION("""COMPUTED_VALUE"""),"Auto/Tech &amp; TalkRobot")</f>
        <v>Auto/Tech &amp; TalkRobot</v>
      </c>
      <c r="D879" s="10" t="str">
        <f>IFERROR(__xludf.DUMMYFUNCTION("""COMPUTED_VALUE"""),"Alexander Zosel")</f>
        <v>Alexander Zosel</v>
      </c>
      <c r="E879" s="10" t="str">
        <f>IFERROR(__xludf.DUMMYFUNCTION("""COMPUTED_VALUE"""),"Alexander Zosel")</f>
        <v>Alexander Zosel</v>
      </c>
      <c r="F879" s="10" t="str">
        <f>IFERROR(__xludf.DUMMYFUNCTION("""COMPUTED_VALUE"""),"2019/11/06 11:35:00")</f>
        <v>2019/11/06 11:35:00</v>
      </c>
      <c r="G879" s="10" t="str">
        <f>IFERROR(__xludf.DUMMYFUNCTION("""COMPUTED_VALUE"""),"2019/11/06 11:55:00")</f>
        <v>2019/11/06 11:55:00</v>
      </c>
      <c r="H879" s="10" t="str">
        <f>IFERROR(__xludf.DUMMYFUNCTION("""COMPUTED_VALUE"""),"4a81895b-4cb8-4975-9492-4d63d1963cc5")</f>
        <v>4a81895b-4cb8-4975-9492-4d63d1963cc5</v>
      </c>
      <c r="I879" s="10" t="str">
        <f>IFERROR(__xludf.DUMMYFUNCTION("""COMPUTED_VALUE"""),"4a81895b-4cb8-4975-9492-4d63d1963cc5")</f>
        <v>4a81895b-4cb8-4975-9492-4d63d1963cc5</v>
      </c>
    </row>
    <row r="880">
      <c r="A880" s="10" t="str">
        <f>IFERROR(__xludf.DUMMYFUNCTION("""COMPUTED_VALUE"""),"Where will we be in 2050?")</f>
        <v>Where will we be in 2050?</v>
      </c>
      <c r="B880" s="10" t="str">
        <f>IFERROR(__xludf.DUMMYFUNCTION("""COMPUTED_VALUE"""),"In this future-focused session, experts from different industries try to predict how tech will change the world in the next three decades. Flying cars, holidays on Mars, or catastrophic climate collapse? What will the future hold?
")</f>
        <v>In this future-focused session, experts from different industries try to predict how tech will change the world in the next three decades. Flying cars, holidays on Mars, or catastrophic climate collapse? What will the future hold?
</v>
      </c>
      <c r="C880" s="10" t="str">
        <f>IFERROR(__xludf.DUMMYFUNCTION("""COMPUTED_VALUE"""),"DeepTech")</f>
        <v>DeepTech</v>
      </c>
      <c r="D880" s="10" t="str">
        <f>IFERROR(__xludf.DUMMYFUNCTION("""COMPUTED_VALUE"""),"Alex Wright-Gladstein, Marc Mengler, Mitchell Baker, Peter O'Malley and Robin Pagnamenta")</f>
        <v>Alex Wright-Gladstein, Marc Mengler, Mitchell Baker, Peter O'Malley and Robin Pagnamenta</v>
      </c>
      <c r="E880" s="10" t="str">
        <f>IFERROR(__xludf.DUMMYFUNCTION("""COMPUTED_VALUE"""),"Alex Wright-Gladstein,Marc Mengler,Mitchell Baker,Peter O'Malley,Robin Pagnamenta")</f>
        <v>Alex Wright-Gladstein,Marc Mengler,Mitchell Baker,Peter O'Malley,Robin Pagnamenta</v>
      </c>
      <c r="F880" s="10" t="str">
        <f>IFERROR(__xludf.DUMMYFUNCTION("""COMPUTED_VALUE"""),"2019/11/06 15:55:00")</f>
        <v>2019/11/06 15:55:00</v>
      </c>
      <c r="G880" s="10" t="str">
        <f>IFERROR(__xludf.DUMMYFUNCTION("""COMPUTED_VALUE"""),"2019/11/06 16:20:00")</f>
        <v>2019/11/06 16:20:00</v>
      </c>
      <c r="H880" s="10" t="str">
        <f>IFERROR(__xludf.DUMMYFUNCTION("""COMPUTED_VALUE"""),"892f1ab6-eb0b-4dc6-81b7-c3abc9d9eba2")</f>
        <v>892f1ab6-eb0b-4dc6-81b7-c3abc9d9eba2</v>
      </c>
      <c r="I880" s="10" t="str">
        <f>IFERROR(__xludf.DUMMYFUNCTION("""COMPUTED_VALUE"""),"892f1ab6-eb0b-4dc6-81b7-c3abc9d9eba2")</f>
        <v>892f1ab6-eb0b-4dc6-81b7-c3abc9d9eba2</v>
      </c>
    </row>
    <row r="881">
      <c r="A881" s="10" t="str">
        <f>IFERROR(__xludf.DUMMYFUNCTION("""COMPUTED_VALUE"""),"How to create trust in data to transform a global media company?")</f>
        <v>How to create trust in data to transform a global media company?</v>
      </c>
      <c r="B881" s="10" t="str">
        <f>IFERROR(__xludf.DUMMYFUNCTION("""COMPUTED_VALUE"""),"Sharing insights in real-time is critical for companies wanting to keep up with high volume data creation and constantly optimise. Sorting and specialising the data allows the right person to quickly find answers. Learn how Condé Nast expanded its data sc"&amp;"ience team to specialise in data-driven revenue streams and create new tools to better serve consumers.")</f>
        <v>Sharing insights in real-time is critical for companies wanting to keep up with high volume data creation and constantly optimise. Sorting and specialising the data allows the right person to quickly find answers. Learn how Condé Nast expanded its data science team to specialise in data-driven revenue streams and create new tools to better serve consumers.</v>
      </c>
      <c r="C881" s="24" t="str">
        <f>IFERROR(__xludf.DUMMYFUNCTION("""COMPUTED_VALUE"""),"binate.io")</f>
        <v>binate.io</v>
      </c>
      <c r="D881" s="10" t="str">
        <f>IFERROR(__xludf.DUMMYFUNCTION("""COMPUTED_VALUE"""),"Karthic Bala")</f>
        <v>Karthic Bala</v>
      </c>
      <c r="E881" s="10" t="str">
        <f>IFERROR(__xludf.DUMMYFUNCTION("""COMPUTED_VALUE"""),"Karthic Bala")</f>
        <v>Karthic Bala</v>
      </c>
      <c r="F881" s="10" t="str">
        <f>IFERROR(__xludf.DUMMYFUNCTION("""COMPUTED_VALUE"""),"2019/11/06 14:45:00")</f>
        <v>2019/11/06 14:45:00</v>
      </c>
      <c r="G881" s="10" t="str">
        <f>IFERROR(__xludf.DUMMYFUNCTION("""COMPUTED_VALUE"""),"2019/11/06 15:05:00")</f>
        <v>2019/11/06 15:05:00</v>
      </c>
      <c r="H881" s="10" t="str">
        <f>IFERROR(__xludf.DUMMYFUNCTION("""COMPUTED_VALUE"""),"6782683f-4383-4523-b056-5bc11a84c2b4")</f>
        <v>6782683f-4383-4523-b056-5bc11a84c2b4</v>
      </c>
      <c r="I881" s="10" t="str">
        <f>IFERROR(__xludf.DUMMYFUNCTION("""COMPUTED_VALUE"""),"6782683f-4383-4523-b056-5bc11a84c2b4")</f>
        <v>6782683f-4383-4523-b056-5bc11a84c2b4</v>
      </c>
    </row>
    <row r="882">
      <c r="A882" s="10" t="str">
        <f>IFERROR(__xludf.DUMMYFUNCTION("""COMPUTED_VALUE"""),"PITCH group round 7")</f>
        <v>PITCH group round 7</v>
      </c>
      <c r="B882" s="10" t="str">
        <f>IFERROR(__xludf.DUMMYFUNCTION("""COMPUTED_VALUE"""),"")</f>
        <v/>
      </c>
      <c r="C882" s="10" t="str">
        <f>IFERROR(__xludf.DUMMYFUNCTION("""COMPUTED_VALUE"""),"")</f>
        <v/>
      </c>
      <c r="D882" s="10" t="str">
        <f>IFERROR(__xludf.DUMMYFUNCTION("""COMPUTED_VALUE"""),"Oded Ben Dror
Fred Lardieg
David Meltzer
Ricardo Marvao
Christoph Goeken
sergey khodakov
Jakob Knutzen
Olivier Le Lann
Michiel Lensink
Joep Wittebrood")</f>
        <v>Oded Ben Dror
Fred Lardieg
David Meltzer
Ricardo Marvao
Christoph Goeken
sergey khodakov
Jakob Knutzen
Olivier Le Lann
Michiel Lensink
Joep Wittebrood</v>
      </c>
      <c r="E882" s="10" t="str">
        <f>IFERROR(__xludf.DUMMYFUNCTION("""COMPUTED_VALUE"""),"Oded Ben Dror
Fred Lardieg
David Meltzer
Ricardo Marvao
Christoph Goeken
sergey khodakov
Jakob Knutzen
Olivier Le Lann
Michiel Lensink
Joep Wittebrood")</f>
        <v>Oded Ben Dror
Fred Lardieg
David Meltzer
Ricardo Marvao
Christoph Goeken
sergey khodakov
Jakob Knutzen
Olivier Le Lann
Michiel Lensink
Joep Wittebrood</v>
      </c>
      <c r="F882" s="10" t="str">
        <f>IFERROR(__xludf.DUMMYFUNCTION("""COMPUTED_VALUE"""),"")</f>
        <v/>
      </c>
      <c r="G882" s="10" t="str">
        <f>IFERROR(__xludf.DUMMYFUNCTION("""COMPUTED_VALUE"""),"")</f>
        <v/>
      </c>
      <c r="H882" s="10" t="str">
        <f>IFERROR(__xludf.DUMMYFUNCTION("""COMPUTED_VALUE"""),"7e13ea99-8ad0-50fc-aaa0-3fb56382d2ea")</f>
        <v>7e13ea99-8ad0-50fc-aaa0-3fb56382d2ea</v>
      </c>
      <c r="I882" s="10" t="str">
        <f>IFERROR(__xludf.DUMMYFUNCTION("""COMPUTED_VALUE"""),"7e13ea99-8ad0-50fc-aaa0-3fb56382d2ea")</f>
        <v>7e13ea99-8ad0-50fc-aaa0-3fb56382d2ea</v>
      </c>
    </row>
    <row r="883">
      <c r="A883" s="10" t="str">
        <f>IFERROR(__xludf.DUMMYFUNCTION("""COMPUTED_VALUE"""),"Boost growth and innovate your business model")</f>
        <v>Boost growth and innovate your business model</v>
      </c>
      <c r="B883" s="10" t="str">
        <f>IFERROR(__xludf.DUMMYFUNCTION("""COMPUTED_VALUE"""),"Cloudalize revenues are to grow 10x this year thanks to an unexpected complementary business model innovation in the way we sell our GPU power delivery services from the cloud. Discover the story behind it as well as insightful tips and tricks learned thr"&amp;"oughout their journey.")</f>
        <v>Cloudalize revenues are to grow 10x this year thanks to an unexpected complementary business model innovation in the way we sell our GPU power delivery services from the cloud. Discover the story behind it as well as insightful tips and tricks learned throughout their journey.</v>
      </c>
      <c r="C883" s="10" t="str">
        <f>IFERROR(__xludf.DUMMYFUNCTION("""COMPUTED_VALUE"""),"Growth Summit")</f>
        <v>Growth Summit</v>
      </c>
      <c r="D883" s="10" t="str">
        <f>IFERROR(__xludf.DUMMYFUNCTION("""COMPUTED_VALUE"""),"Benny Willen")</f>
        <v>Benny Willen</v>
      </c>
      <c r="E883" s="10" t="str">
        <f>IFERROR(__xludf.DUMMYFUNCTION("""COMPUTED_VALUE"""),"Benny Willen")</f>
        <v>Benny Willen</v>
      </c>
      <c r="F883" s="10" t="str">
        <f>IFERROR(__xludf.DUMMYFUNCTION("""COMPUTED_VALUE"""),"2019/11/07 10:22:00")</f>
        <v>2019/11/07 10:22:00</v>
      </c>
      <c r="G883" s="10" t="str">
        <f>IFERROR(__xludf.DUMMYFUNCTION("""COMPUTED_VALUE"""),"2019/11/07 10:26:00")</f>
        <v>2019/11/07 10:26:00</v>
      </c>
      <c r="H883" s="10" t="str">
        <f>IFERROR(__xludf.DUMMYFUNCTION("""COMPUTED_VALUE"""),"50311110-4e76-4b9a-a17a-6b0f6f4e9b40")</f>
        <v>50311110-4e76-4b9a-a17a-6b0f6f4e9b40</v>
      </c>
      <c r="I883" s="10" t="str">
        <f>IFERROR(__xludf.DUMMYFUNCTION("""COMPUTED_VALUE"""),"50311110-4e76-4b9a-a17a-6b0f6f4e9b40")</f>
        <v>50311110-4e76-4b9a-a17a-6b0f6f4e9b40</v>
      </c>
    </row>
    <row r="884">
      <c r="A884" s="10" t="str">
        <f>IFERROR(__xludf.DUMMYFUNCTION("""COMPUTED_VALUE"""),"Getting started with serverless chatbots")</f>
        <v>Getting started with serverless chatbots</v>
      </c>
      <c r="B884" s="10" t="str">
        <f>IFERROR(__xludf.DUMMYFUNCTION("""COMPUTED_VALUE""")," Interested in learning how to build a serverless chatbot? In this session, we will go over the basic concepts of serverless coding and Amazon Lex. Amazon Lex is a service for building chatbots that can be integrated into your existing messaging tools suc"&amp;"h as Slack, Facebook Messenger, and personalised web apps. It provides deep learning functionalities to understand natural language, so it can recognise what your customers are trying to say. The best part? You can get started building chatbots without an"&amp;"y code!")</f>
        <v> Interested in learning how to build a serverless chatbot? In this session, we will go over the basic concepts of serverless coding and Amazon Lex. Amazon Lex is a service for building chatbots that can be integrated into your existing messaging tools such as Slack, Facebook Messenger, and personalised web apps. It provides deep learning functionalities to understand natural language, so it can recognise what your customers are trying to say. The best part? You can get started building chatbots without any code!</v>
      </c>
      <c r="C884" s="10" t="str">
        <f>IFERROR(__xludf.DUMMYFUNCTION("""COMPUTED_VALUE"""),"AWS Developer Workshops")</f>
        <v>AWS Developer Workshops</v>
      </c>
      <c r="D884" s="10" t="str">
        <f>IFERROR(__xludf.DUMMYFUNCTION("""COMPUTED_VALUE"""),"")</f>
        <v/>
      </c>
      <c r="E884" s="10" t="str">
        <f>IFERROR(__xludf.DUMMYFUNCTION("""COMPUTED_VALUE"""),"")</f>
        <v/>
      </c>
      <c r="F884" s="10" t="str">
        <f>IFERROR(__xludf.DUMMYFUNCTION("""COMPUTED_VALUE"""),"2019/11/05 16:00:00")</f>
        <v>2019/11/05 16:00:00</v>
      </c>
      <c r="G884" s="10" t="str">
        <f>IFERROR(__xludf.DUMMYFUNCTION("""COMPUTED_VALUE"""),"2019/11/05 16:50:00")</f>
        <v>2019/11/05 16:50:00</v>
      </c>
      <c r="H884" s="10" t="str">
        <f>IFERROR(__xludf.DUMMYFUNCTION("""COMPUTED_VALUE"""),"d9a399d9-2297-4dbc-bffe-6dd7d8ab46e0")</f>
        <v>d9a399d9-2297-4dbc-bffe-6dd7d8ab46e0</v>
      </c>
      <c r="I884" s="10" t="str">
        <f>IFERROR(__xludf.DUMMYFUNCTION("""COMPUTED_VALUE"""),"d9a399d9-2297-4dbc-bffe-6dd7d8ab46e0")</f>
        <v>d9a399d9-2297-4dbc-bffe-6dd7d8ab46e0</v>
      </c>
    </row>
    <row r="885">
      <c r="A885" s="10" t="str">
        <f>IFERROR(__xludf.DUMMYFUNCTION("""COMPUTED_VALUE"""),"Join Samsung NEXT to learn how to build, grow, and scale your business")</f>
        <v>Join Samsung NEXT to learn how to build, grow, and scale your business</v>
      </c>
      <c r="B885" s="10"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v>
      </c>
      <c r="C885" s="10" t="str">
        <f>IFERROR(__xludf.DUMMYFUNCTION("""COMPUTED_VALUE"""),"Samsung NEXT, E130, FIL 1")</f>
        <v>Samsung NEXT, E130, FIL 1</v>
      </c>
      <c r="D885" s="10" t="str">
        <f>IFERROR(__xludf.DUMMYFUNCTION("""COMPUTED_VALUE"""),"")</f>
        <v/>
      </c>
      <c r="E885" s="10" t="str">
        <f>IFERROR(__xludf.DUMMYFUNCTION("""COMPUTED_VALUE"""),"")</f>
        <v/>
      </c>
      <c r="F885" s="10" t="str">
        <f>IFERROR(__xludf.DUMMYFUNCTION("""COMPUTED_VALUE"""),"2019/11/05 10:15:00")</f>
        <v>2019/11/05 10:15:00</v>
      </c>
      <c r="G885" s="10" t="str">
        <f>IFERROR(__xludf.DUMMYFUNCTION("""COMPUTED_VALUE"""),"2019/11/05 16:15:00")</f>
        <v>2019/11/05 16:15:00</v>
      </c>
      <c r="H885" s="10" t="str">
        <f>IFERROR(__xludf.DUMMYFUNCTION("""COMPUTED_VALUE"""),"e93ac0da-af1a-4174-9cb0-ea641e959460")</f>
        <v>e93ac0da-af1a-4174-9cb0-ea641e959460</v>
      </c>
      <c r="I885" s="10" t="str">
        <f>IFERROR(__xludf.DUMMYFUNCTION("""COMPUTED_VALUE"""),"e93ac0da-af1a-4174-9cb0-ea641e959460")</f>
        <v>e93ac0da-af1a-4174-9cb0-ea641e959460</v>
      </c>
    </row>
    <row r="886">
      <c r="A886" s="10" t="str">
        <f>IFERROR(__xludf.DUMMYFUNCTION("""COMPUTED_VALUE"""),"Machine Demo Round 4")</f>
        <v>Machine Demo Round 4</v>
      </c>
      <c r="B886" s="10" t="str">
        <f>IFERROR(__xludf.DUMMYFUNCTION("""COMPUTED_VALUE"""),"")</f>
        <v/>
      </c>
      <c r="C886" s="10" t="str">
        <f>IFERROR(__xludf.DUMMYFUNCTION("""COMPUTED_VALUE"""),"")</f>
        <v/>
      </c>
      <c r="D886" s="10" t="str">
        <f>IFERROR(__xludf.DUMMYFUNCTION("""COMPUTED_VALUE"""),"Jules Walker,  CRISTINA GONZALEZ,  Naor Amir,  Christoph Hantschk,  Alex Janusek and  Ken Miyake
")</f>
        <v>Jules Walker,  CRISTINA GONZALEZ,  Naor Amir,  Christoph Hantschk,  Alex Janusek and  Ken Miyake
</v>
      </c>
      <c r="E886" s="10" t="str">
        <f>IFERROR(__xludf.DUMMYFUNCTION("""COMPUTED_VALUE"""),"Jules Walker, CRISTINA GONZALEZ, Naor Amir, Christoph Hantschk, Alex Janusek, Ken Miyake
")</f>
        <v>Jules Walker, CRISTINA GONZALEZ, Naor Amir, Christoph Hantschk, Alex Janusek, Ken Miyake
</v>
      </c>
      <c r="F886" s="10" t="str">
        <f>IFERROR(__xludf.DUMMYFUNCTION("""COMPUTED_VALUE"""),"")</f>
        <v/>
      </c>
      <c r="G886" s="10" t="str">
        <f>IFERROR(__xludf.DUMMYFUNCTION("""COMPUTED_VALUE"""),"")</f>
        <v/>
      </c>
      <c r="H886" s="10" t="str">
        <f>IFERROR(__xludf.DUMMYFUNCTION("""COMPUTED_VALUE"""),"35d76d11-cd22-53da-858b-b674c23cce6c")</f>
        <v>35d76d11-cd22-53da-858b-b674c23cce6c</v>
      </c>
      <c r="I886" s="10" t="str">
        <f>IFERROR(__xludf.DUMMYFUNCTION("""COMPUTED_VALUE"""),"35d76d11-cd22-53da-858b-b674c23cce6c")</f>
        <v>35d76d11-cd22-53da-858b-b674c23cce6c</v>
      </c>
    </row>
    <row r="887">
      <c r="A887" s="10" t="str">
        <f>IFERROR(__xludf.DUMMYFUNCTION("""COMPUTED_VALUE"""),"All meat, no meat, are we really what we eat?")</f>
        <v>All meat, no meat, are we really what we eat?</v>
      </c>
      <c r="B887" s="10" t="str">
        <f>IFERROR(__xludf.DUMMYFUNCTION("""COMPUTED_VALUE"""),"Some say all meat, some say no meat. Our experts share the data, the research, the patient perspective and potentially, the cure. Come and hear the latest debates surrounding diet, health and tech.")</f>
        <v>Some say all meat, some say no meat. Our experts share the data, the research, the patient perspective and potentially, the cure. Come and hear the latest debates surrounding diet, health and tech.</v>
      </c>
      <c r="C887" s="10" t="str">
        <f>IFERROR(__xludf.DUMMYFUNCTION("""COMPUTED_VALUE"""),"HealthConf")</f>
        <v>HealthConf</v>
      </c>
      <c r="D887" s="10" t="str">
        <f>IFERROR(__xludf.DUMMYFUNCTION("""COMPUTED_VALUE"""),"Steven Gundry, Mikhaila Peterson, Saeju Jeong and Alyssa Newcomb")</f>
        <v>Steven Gundry, Mikhaila Peterson, Saeju Jeong and Alyssa Newcomb</v>
      </c>
      <c r="E887" s="10" t="str">
        <f>IFERROR(__xludf.DUMMYFUNCTION("""COMPUTED_VALUE"""),"Steven Gundry,Mikhaila Peterson,Saeju Jeong,Alyssa Newcomb")</f>
        <v>Steven Gundry,Mikhaila Peterson,Saeju Jeong,Alyssa Newcomb</v>
      </c>
      <c r="F887" s="10" t="str">
        <f>IFERROR(__xludf.DUMMYFUNCTION("""COMPUTED_VALUE"""),"2019/11/07 11:45:00")</f>
        <v>2019/11/07 11:45:00</v>
      </c>
      <c r="G887" s="10" t="str">
        <f>IFERROR(__xludf.DUMMYFUNCTION("""COMPUTED_VALUE"""),"2019/11/07 12:10:00")</f>
        <v>2019/11/07 12:10:00</v>
      </c>
      <c r="H887" s="10" t="str">
        <f>IFERROR(__xludf.DUMMYFUNCTION("""COMPUTED_VALUE"""),"86d3528d-d6a0-44eb-99f7-a15c8b847302")</f>
        <v>86d3528d-d6a0-44eb-99f7-a15c8b847302</v>
      </c>
      <c r="I887" s="10" t="str">
        <f>IFERROR(__xludf.DUMMYFUNCTION("""COMPUTED_VALUE"""),"86d3528d-d6a0-44eb-99f7-a15c8b847302")</f>
        <v>86d3528d-d6a0-44eb-99f7-a15c8b847302</v>
      </c>
    </row>
    <row r="888">
      <c r="A888" s="10" t="str">
        <f>IFERROR(__xludf.DUMMYFUNCTION("""COMPUTED_VALUE"""),"How to build a safer world: Machine reasoning for the cyber-physical age")</f>
        <v>How to build a safer world: Machine reasoning for the cyber-physical age</v>
      </c>
      <c r="B888" s="10" t="str">
        <f>IFERROR(__xludf.DUMMYFUNCTION("""COMPUTED_VALUE"""),"Based on his journey as a quantum physicist with Lockheed Martin's famed Skunk Works division, Jordan will take the stage to explain why the status quo of systems development is no longer an option for today's complex cyber-physical systems such as autono"&amp;"mous vehicles, next-gen fighters, energy production, and medical devices.")</f>
        <v>Based on his journey as a quantum physicist with Lockheed Martin's famed Skunk Works division, Jordan will take the stage to explain why the status quo of systems development is no longer an option for today's complex cyber-physical systems such as autonomous vehicles, next-gen fighters, energy production, and medical devices.</v>
      </c>
      <c r="C888" s="10" t="str">
        <f>IFERROR(__xludf.DUMMYFUNCTION("""COMPUTED_VALUE"""),"Growth Summit")</f>
        <v>Growth Summit</v>
      </c>
      <c r="D888" s="10" t="str">
        <f>IFERROR(__xludf.DUMMYFUNCTION("""COMPUTED_VALUE"""),"Jordan Kyriakidis")</f>
        <v>Jordan Kyriakidis</v>
      </c>
      <c r="E888" s="10" t="str">
        <f>IFERROR(__xludf.DUMMYFUNCTION("""COMPUTED_VALUE"""),"Jordan Kyriakidis")</f>
        <v>Jordan Kyriakidis</v>
      </c>
      <c r="F888" s="10" t="str">
        <f>IFERROR(__xludf.DUMMYFUNCTION("""COMPUTED_VALUE"""),"2019/11/05 11:30:00")</f>
        <v>2019/11/05 11:30:00</v>
      </c>
      <c r="G888" s="10" t="str">
        <f>IFERROR(__xludf.DUMMYFUNCTION("""COMPUTED_VALUE"""),"2019/11/05 11:34:00")</f>
        <v>2019/11/05 11:34:00</v>
      </c>
      <c r="H888" s="10" t="str">
        <f>IFERROR(__xludf.DUMMYFUNCTION("""COMPUTED_VALUE"""),"18039c07-0239-4bac-9b43-b7bcb01cde30")</f>
        <v>18039c07-0239-4bac-9b43-b7bcb01cde30</v>
      </c>
      <c r="I888" s="10" t="str">
        <f>IFERROR(__xludf.DUMMYFUNCTION("""COMPUTED_VALUE"""),"18039c07-0239-4bac-9b43-b7bcb01cde30")</f>
        <v>18039c07-0239-4bac-9b43-b7bcb01cde30</v>
      </c>
    </row>
    <row r="889">
      <c r="A889" s="10" t="str">
        <f>IFERROR(__xludf.DUMMYFUNCTION("""COMPUTED_VALUE"""),"Knowing your worth - Press conference with Paige VanZant, Fighter, UFC")</f>
        <v>Knowing your worth - Press conference with Paige VanZant, Fighter, UFC</v>
      </c>
      <c r="B889" s="10" t="str">
        <f>IFERROR(__xludf.DUMMYFUNCTION("""COMPUTED_VALUE"""),"")</f>
        <v/>
      </c>
      <c r="C889" s="10" t="str">
        <f>IFERROR(__xludf.DUMMYFUNCTION("""COMPUTED_VALUE"""),"")</f>
        <v/>
      </c>
      <c r="D889" s="10" t="str">
        <f>IFERROR(__xludf.DUMMYFUNCTION("""COMPUTED_VALUE"""),"Paige VanZant")</f>
        <v>Paige VanZant</v>
      </c>
      <c r="E889" s="10" t="str">
        <f>IFERROR(__xludf.DUMMYFUNCTION("""COMPUTED_VALUE"""),"Paige VanZant")</f>
        <v>Paige VanZant</v>
      </c>
      <c r="F889" s="10" t="str">
        <f>IFERROR(__xludf.DUMMYFUNCTION("""COMPUTED_VALUE"""),"")</f>
        <v/>
      </c>
      <c r="G889" s="10" t="str">
        <f>IFERROR(__xludf.DUMMYFUNCTION("""COMPUTED_VALUE"""),"")</f>
        <v/>
      </c>
      <c r="H889" s="10" t="str">
        <f>IFERROR(__xludf.DUMMYFUNCTION("""COMPUTED_VALUE"""),"a2f1d3ad-c621-5a04-baaa-0b909184bdbc")</f>
        <v>a2f1d3ad-c621-5a04-baaa-0b909184bdbc</v>
      </c>
      <c r="I889" s="10" t="str">
        <f>IFERROR(__xludf.DUMMYFUNCTION("""COMPUTED_VALUE"""),"a2f1d3ad-c621-5a04-baaa-0b909184bdbc")</f>
        <v>a2f1d3ad-c621-5a04-baaa-0b909184bdbc</v>
      </c>
    </row>
    <row r="890">
      <c r="A890" s="10" t="str">
        <f>IFERROR(__xludf.DUMMYFUNCTION("""COMPUTED_VALUE"""),"User friendly opportunities in enterprise technology")</f>
        <v>User friendly opportunities in enterprise technology</v>
      </c>
      <c r="B890" s="10" t="str">
        <f>IFERROR(__xludf.DUMMYFUNCTION("""COMPUTED_VALUE"""),"Can consumer tech solve enterprise challenges, boosting productivity while also being user-friendly? How do enterprises support the growing number of applications? Join this session to find out.")</f>
        <v>Can consumer tech solve enterprise challenges, boosting productivity while also being user-friendly? How do enterprises support the growing number of applications? Join this session to find out.</v>
      </c>
      <c r="C890" s="10" t="str">
        <f>IFERROR(__xludf.DUMMYFUNCTION("""COMPUTED_VALUE"""),"Venture stage")</f>
        <v>Venture stage</v>
      </c>
      <c r="D890" s="10" t="str">
        <f>IFERROR(__xludf.DUMMYFUNCTION("""COMPUTED_VALUE"""),"Alex Kayyal, Reza Malekzadeh, Jai Das and Alara Basul")</f>
        <v>Alex Kayyal, Reza Malekzadeh, Jai Das and Alara Basul</v>
      </c>
      <c r="E890" s="10" t="str">
        <f>IFERROR(__xludf.DUMMYFUNCTION("""COMPUTED_VALUE"""),"Alex Kayyal,Reza Malekzadeh,Jai Das,Alara Basul")</f>
        <v>Alex Kayyal,Reza Malekzadeh,Jai Das,Alara Basul</v>
      </c>
      <c r="F890" s="10" t="str">
        <f>IFERROR(__xludf.DUMMYFUNCTION("""COMPUTED_VALUE"""),"2019/11/06 11:05:00")</f>
        <v>2019/11/06 11:05:00</v>
      </c>
      <c r="G890" s="10" t="str">
        <f>IFERROR(__xludf.DUMMYFUNCTION("""COMPUTED_VALUE"""),"2019/11/06 11:25:00")</f>
        <v>2019/11/06 11:25:00</v>
      </c>
      <c r="H890" s="10" t="str">
        <f>IFERROR(__xludf.DUMMYFUNCTION("""COMPUTED_VALUE"""),"9f9840c1-3115-4c10-9cb0-f2e7ee15f39b")</f>
        <v>9f9840c1-3115-4c10-9cb0-f2e7ee15f39b</v>
      </c>
      <c r="I890" s="10" t="str">
        <f>IFERROR(__xludf.DUMMYFUNCTION("""COMPUTED_VALUE"""),"9f9840c1-3115-4c10-9cb0-f2e7ee15f39b")</f>
        <v>9f9840c1-3115-4c10-9cb0-f2e7ee15f39b</v>
      </c>
    </row>
    <row r="891">
      <c r="A891" s="10" t="str">
        <f>IFERROR(__xludf.DUMMYFUNCTION("""COMPUTED_VALUE"""),"Startup Showcase")</f>
        <v>Startup Showcase</v>
      </c>
      <c r="B891" s="10"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
")</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
</v>
      </c>
      <c r="C891" s="10" t="str">
        <f>IFERROR(__xludf.DUMMYFUNCTION("""COMPUTED_VALUE"""),"Startup Showcase 2")</f>
        <v>Startup Showcase 2</v>
      </c>
      <c r="D891" s="10" t="str">
        <f>IFERROR(__xludf.DUMMYFUNCTION("""COMPUTED_VALUE"""),"Ricardo Marvao, Tomas Liesis, Renzo Colnago, Bruno Matias, Rafael Dietze, Kylie Naughton, Nuno Belo, Ilya Kostromkin, Margaret Latuszek, Maksim Nekrylov, Pawel Sieniawski, Viktorija Vanagė, Bernd Oostrum, Krzysztof Przekwas, Luke Solarski, Emma Smith, Sto"&amp;"ne Atwine, Juliano Prado, Kastytis Zuromskas, Fabian Gaban, Erich Schnoeckel, Gleb Shabanov, Stanislaw Ploski, Artur Avanesyan, Catrina Sheridan, Algirdas Zakarauskas, Tim Roho, Skirmantas Jareckas, Miguel Frasco, Michal Wojciechowski, Shreya Kothari Sawa"&amp;"la, Abdullah Almoaiqel, Alex Fenechiu, Diogo Belo, Klaudia Flakiewicz, Oleg Levitsky, Johannes Brouwer, Tomasz Rutkowski, Darren McLoughlin, Krzysztof Piotrowicz, Alexey Tolstik, Marta Netza, Fernando Matias, Yehia Badawy, Pawel Brataniec, Melinda Havas, "&amp;"Tatiana Deshkina, Melinda Havas, Inga Mullins and Jonas Kimontas")</f>
        <v>Ricardo Marvao, Tomas Liesis, Renzo Colnago, Bruno Matias, Rafael Dietze, Kylie Naughton, Nuno Belo, Ilya Kostromkin, Margaret Latuszek, Maksim Nekrylov, Pawel Sieniawski, Viktorija Vanagė, Bernd Oostrum, Krzysztof Przekwas, Luke Solarski, Emma Smith, Stone Atwine, Juliano Prado, Kastytis Zuromskas, Fabian Gaban, Erich Schnoeckel, Gleb Shabanov, Stanislaw Ploski, Artur Avanesyan, Catrina Sheridan, Algirdas Zakarauskas, Tim Roho, Skirmantas Jareckas, Miguel Frasco, Michal Wojciechowski, Shreya Kothari Sawala, Abdullah Almoaiqel, Alex Fenechiu, Diogo Belo, Klaudia Flakiewicz, Oleg Levitsky, Johannes Brouwer, Tomasz Rutkowski, Darren McLoughlin, Krzysztof Piotrowicz, Alexey Tolstik, Marta Netza, Fernando Matias, Yehia Badawy, Pawel Brataniec, Melinda Havas, Tatiana Deshkina, Melinda Havas, Inga Mullins and Jonas Kimontas</v>
      </c>
      <c r="E891" s="10" t="str">
        <f>IFERROR(__xludf.DUMMYFUNCTION("""COMPUTED_VALUE"""),"Ricardo Marvao,Tomas Liesis,Renzo Colnago,Bruno Matias,Rafael Dietze,Kylie Naughton,Nuno Belo,Ilya Kostromkin,Margaret Latuszek,Maksim Nekrylov,Pawel Sieniawski,Viktorija Vanagė,Bernd Oostrum,Krzysztof Przekwas,Luke Solarski,Emma Smith,Stone Atwine,Julian"&amp;"o Prado,Kastytis Zuromskas,Fabian Gaban,Erich Schnoeckel,Gleb Shabanov,Stanislaw Ploski,Artur Avanesyan,Catrina Sheridan,Algirdas Zakarauskas,Tim Roho,Skirmantas Jareckas,Miguel Frasco,Michal Wojciechowski,Shreya Kothari Sawala,Abdullah Almoaiqel,Alex Fen"&amp;"echiu,Diogo Belo,Klaudia Flakiewicz,Oleg Levitsky,Johannes Brouwer,Tomasz Rutkowski,Darren McLoughlin,Krzysztof Piotrowicz,Alexey Tolstik,Marta Netza,Fernando Matias,Yehia Badawy,Pawel Brataniec,Melinda Havas,Tatiana Deshkina,Melinda Havas,Inga Mullins,Jo"&amp;"nas Kimontas")</f>
        <v>Ricardo Marvao,Tomas Liesis,Renzo Colnago,Bruno Matias,Rafael Dietze,Kylie Naughton,Nuno Belo,Ilya Kostromkin,Margaret Latuszek,Maksim Nekrylov,Pawel Sieniawski,Viktorija Vanagė,Bernd Oostrum,Krzysztof Przekwas,Luke Solarski,Emma Smith,Stone Atwine,Juliano Prado,Kastytis Zuromskas,Fabian Gaban,Erich Schnoeckel,Gleb Shabanov,Stanislaw Ploski,Artur Avanesyan,Catrina Sheridan,Algirdas Zakarauskas,Tim Roho,Skirmantas Jareckas,Miguel Frasco,Michal Wojciechowski,Shreya Kothari Sawala,Abdullah Almoaiqel,Alex Fenechiu,Diogo Belo,Klaudia Flakiewicz,Oleg Levitsky,Johannes Brouwer,Tomasz Rutkowski,Darren McLoughlin,Krzysztof Piotrowicz,Alexey Tolstik,Marta Netza,Fernando Matias,Yehia Badawy,Pawel Brataniec,Melinda Havas,Tatiana Deshkina,Melinda Havas,Inga Mullins,Jonas Kimontas</v>
      </c>
      <c r="F891" s="10" t="str">
        <f>IFERROR(__xludf.DUMMYFUNCTION("""COMPUTED_VALUE"""),"2019/11/06 12:15:00")</f>
        <v>2019/11/06 12:15:00</v>
      </c>
      <c r="G891" s="10" t="str">
        <f>IFERROR(__xludf.DUMMYFUNCTION("""COMPUTED_VALUE"""),"2019/11/06 13:15:00")</f>
        <v>2019/11/06 13:15:00</v>
      </c>
      <c r="H891" s="10" t="str">
        <f>IFERROR(__xludf.DUMMYFUNCTION("""COMPUTED_VALUE"""),"280fad1d-4268-4f8b-b419-2fa2f1ae401c")</f>
        <v>280fad1d-4268-4f8b-b419-2fa2f1ae401c</v>
      </c>
      <c r="I891" s="10" t="str">
        <f>IFERROR(__xludf.DUMMYFUNCTION("""COMPUTED_VALUE"""),"280fad1d-4268-4f8b-b419-2fa2f1ae401c")</f>
        <v>280fad1d-4268-4f8b-b419-2fa2f1ae401c</v>
      </c>
    </row>
    <row r="892">
      <c r="A892" s="10" t="str">
        <f>IFERROR(__xludf.DUMMYFUNCTION("""COMPUTED_VALUE"""),"How we're going to travel in 2025?")</f>
        <v>How we're going to travel in 2025?</v>
      </c>
      <c r="B892" s="10" t="str">
        <f>IFERROR(__xludf.DUMMYFUNCTION("""COMPUTED_VALUE"""),"In this panel we're going to be looking at what matters to millennials when they travel; from trends, sustainability to finance, all the way to luxury travel.")</f>
        <v>In this panel we're going to be looking at what matters to millennials when they travel; from trends, sustainability to finance, all the way to luxury travel.</v>
      </c>
      <c r="C892" s="10" t="str">
        <f>IFERROR(__xludf.DUMMYFUNCTION("""COMPUTED_VALUE"""),"Auto/Tech &amp; TalkRobot")</f>
        <v>Auto/Tech &amp; TalkRobot</v>
      </c>
      <c r="D892" s="10" t="str">
        <f>IFERROR(__xludf.DUMMYFUNCTION("""COMPUTED_VALUE"""),"Jan Rezab, Meagen Eisenberg, Philipp Mintchin and Emil Protalinski")</f>
        <v>Jan Rezab, Meagen Eisenberg, Philipp Mintchin and Emil Protalinski</v>
      </c>
      <c r="E892" s="10" t="str">
        <f>IFERROR(__xludf.DUMMYFUNCTION("""COMPUTED_VALUE"""),"Jan Rezab,Meagen Eisenberg,Philipp Mintchin,Emil Protalinski")</f>
        <v>Jan Rezab,Meagen Eisenberg,Philipp Mintchin,Emil Protalinski</v>
      </c>
      <c r="F892" s="10" t="str">
        <f>IFERROR(__xludf.DUMMYFUNCTION("""COMPUTED_VALUE"""),"2019/11/05 11:40:00")</f>
        <v>2019/11/05 11:40:00</v>
      </c>
      <c r="G892" s="10" t="str">
        <f>IFERROR(__xludf.DUMMYFUNCTION("""COMPUTED_VALUE"""),"2019/11/05 12:00:00")</f>
        <v>2019/11/05 12:00:00</v>
      </c>
      <c r="H892" s="10" t="str">
        <f>IFERROR(__xludf.DUMMYFUNCTION("""COMPUTED_VALUE"""),"33bad70e-de0a-49a2-8e31-0d94525bb5b5")</f>
        <v>33bad70e-de0a-49a2-8e31-0d94525bb5b5</v>
      </c>
      <c r="I892" s="10" t="str">
        <f>IFERROR(__xludf.DUMMYFUNCTION("""COMPUTED_VALUE"""),"33bad70e-de0a-49a2-8e31-0d94525bb5b5")</f>
        <v>33bad70e-de0a-49a2-8e31-0d94525bb5b5</v>
      </c>
    </row>
    <row r="893">
      <c r="A893" s="10" t="str">
        <f>IFERROR(__xludf.DUMMYFUNCTION("""COMPUTED_VALUE"""),"Night Summit: Time to do business")</f>
        <v>Night Summit: Time to do business</v>
      </c>
      <c r="B893" s="10" t="str">
        <f>IFERROR(__xludf.DUMMYFUNCTION("""COMPUTED_VALUE"""),"Shake up your meetings by holding them away from the conference floor.
Whether you're looking to talk to a specific person, or just meet people from your industry, Night Summit can make it happen. 
Tuesday evenings brings us to Pink Street. Formerly"&amp;" Lisbon's ""Red Light District"", it's been totally revamped and is now one of the quirkiest hotspots in the capital. ")</f>
        <v>Shake up your meetings by holding them away from the conference floor.
Whether you're looking to talk to a specific person, or just meet people from your industry, Night Summit can make it happen. 
Tuesday evenings brings us to Pink Street. Formerly Lisbon's "Red Light District", it's been totally revamped and is now one of the quirkiest hotspots in the capital. </v>
      </c>
      <c r="C893" s="10" t="str">
        <f>IFERROR(__xludf.DUMMYFUNCTION("""COMPUTED_VALUE"""),"Pink Street")</f>
        <v>Pink Street</v>
      </c>
      <c r="D893" s="10" t="str">
        <f>IFERROR(__xludf.DUMMYFUNCTION("""COMPUTED_VALUE"""),"")</f>
        <v/>
      </c>
      <c r="E893" s="10" t="str">
        <f>IFERROR(__xludf.DUMMYFUNCTION("""COMPUTED_VALUE"""),"")</f>
        <v/>
      </c>
      <c r="F893" s="10" t="str">
        <f>IFERROR(__xludf.DUMMYFUNCTION("""COMPUTED_VALUE"""),"2019/11/05 19:59:00")</f>
        <v>2019/11/05 19:59:00</v>
      </c>
      <c r="G893" s="10" t="str">
        <f>IFERROR(__xludf.DUMMYFUNCTION("""COMPUTED_VALUE"""),"2019/11/06 00:00:00")</f>
        <v>2019/11/06 00:00:00</v>
      </c>
      <c r="H893" s="10" t="str">
        <f>IFERROR(__xludf.DUMMYFUNCTION("""COMPUTED_VALUE"""),"e4aba77c-0694-4719-b838-958e6477f3a5")</f>
        <v>e4aba77c-0694-4719-b838-958e6477f3a5</v>
      </c>
      <c r="I893" s="10" t="str">
        <f>IFERROR(__xludf.DUMMYFUNCTION("""COMPUTED_VALUE"""),"e4aba77c-0694-4719-b838-958e6477f3a5")</f>
        <v>e4aba77c-0694-4719-b838-958e6477f3a5</v>
      </c>
    </row>
    <row r="894">
      <c r="A894" s="10" t="str">
        <f>IFERROR(__xludf.DUMMYFUNCTION("""COMPUTED_VALUE"""),"Hypergrowth and climate change")</f>
        <v>Hypergrowth and climate change</v>
      </c>
      <c r="B894" s="10" t="str">
        <f>IFERROR(__xludf.DUMMYFUNCTION("""COMPUTED_VALUE"""),"There are three big things you can do to help fight climate change - and we built a business to help people do them. We’ll tell you what they are and how our growth demonstrates how driven people are to do the right thing.")</f>
        <v>There are three big things you can do to help fight climate change - and we built a business to help people do them. We’ll tell you what they are and how our growth demonstrates how driven people are to do the right thing.</v>
      </c>
      <c r="C894" s="10" t="str">
        <f>IFERROR(__xludf.DUMMYFUNCTION("""COMPUTED_VALUE"""),"Growth Summit")</f>
        <v>Growth Summit</v>
      </c>
      <c r="D894" s="10" t="str">
        <f>IFERROR(__xludf.DUMMYFUNCTION("""COMPUTED_VALUE"""),"Hayden Wood")</f>
        <v>Hayden Wood</v>
      </c>
      <c r="E894" s="10" t="str">
        <f>IFERROR(__xludf.DUMMYFUNCTION("""COMPUTED_VALUE"""),"Hayden Wood")</f>
        <v>Hayden Wood</v>
      </c>
      <c r="F894" s="10" t="str">
        <f>IFERROR(__xludf.DUMMYFUNCTION("""COMPUTED_VALUE"""),"2019/11/07 14:31:00")</f>
        <v>2019/11/07 14:31:00</v>
      </c>
      <c r="G894" s="10" t="str">
        <f>IFERROR(__xludf.DUMMYFUNCTION("""COMPUTED_VALUE"""),"2019/11/07 14:42:00")</f>
        <v>2019/11/07 14:42:00</v>
      </c>
      <c r="H894" s="10" t="str">
        <f>IFERROR(__xludf.DUMMYFUNCTION("""COMPUTED_VALUE"""),"7628220b-6aa2-47b0-9a4d-ea1f7ff60d5b")</f>
        <v>7628220b-6aa2-47b0-9a4d-ea1f7ff60d5b</v>
      </c>
      <c r="I894" s="10" t="str">
        <f>IFERROR(__xludf.DUMMYFUNCTION("""COMPUTED_VALUE"""),"7628220b-6aa2-47b0-9a4d-ea1f7ff60d5b")</f>
        <v>7628220b-6aa2-47b0-9a4d-ea1f7ff60d5b</v>
      </c>
    </row>
    <row r="895">
      <c r="A895" s="10" t="str">
        <f>IFERROR(__xludf.DUMMYFUNCTION("""COMPUTED_VALUE"""),"How to build on AWS without knowing much about AWS")</f>
        <v>How to build on AWS without knowing much about AWS</v>
      </c>
      <c r="B895" s="10"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895" s="10" t="str">
        <f>IFERROR(__xludf.DUMMYFUNCTION("""COMPUTED_VALUE"""),"AWS Developer Workshops")</f>
        <v>AWS Developer Workshops</v>
      </c>
      <c r="D895" s="10" t="str">
        <f>IFERROR(__xludf.DUMMYFUNCTION("""COMPUTED_VALUE"""),"")</f>
        <v/>
      </c>
      <c r="E895" s="10" t="str">
        <f>IFERROR(__xludf.DUMMYFUNCTION("""COMPUTED_VALUE"""),"")</f>
        <v/>
      </c>
      <c r="F895" s="10" t="str">
        <f>IFERROR(__xludf.DUMMYFUNCTION("""COMPUTED_VALUE"""),"2019/11/07 10:00:00")</f>
        <v>2019/11/07 10:00:00</v>
      </c>
      <c r="G895" s="10" t="str">
        <f>IFERROR(__xludf.DUMMYFUNCTION("""COMPUTED_VALUE"""),"2019/11/07 10:50:00")</f>
        <v>2019/11/07 10:50:00</v>
      </c>
      <c r="H895" s="10" t="str">
        <f>IFERROR(__xludf.DUMMYFUNCTION("""COMPUTED_VALUE"""),"003bd349-f661-45b3-9be6-3e800efdad6f")</f>
        <v>003bd349-f661-45b3-9be6-3e800efdad6f</v>
      </c>
      <c r="I895" s="10" t="str">
        <f>IFERROR(__xludf.DUMMYFUNCTION("""COMPUTED_VALUE"""),"003bd349-f661-45b3-9be6-3e800efdad6f")</f>
        <v>003bd349-f661-45b3-9be6-3e800efdad6f</v>
      </c>
    </row>
    <row r="896">
      <c r="A896" s="10" t="str">
        <f>IFERROR(__xludf.DUMMYFUNCTION("""COMPUTED_VALUE"""),"Ronaldinho presents the Sqiller app with Teqball")</f>
        <v>Ronaldinho presents the Sqiller app with Teqball</v>
      </c>
      <c r="B896" s="10" t="str">
        <f>IFERROR(__xludf.DUMMYFUNCTION("""COMPUTED_VALUE"""),"")</f>
        <v/>
      </c>
      <c r="C896" s="10" t="str">
        <f>IFERROR(__xludf.DUMMYFUNCTION("""COMPUTED_VALUE"""),"")</f>
        <v/>
      </c>
      <c r="D896" s="10" t="str">
        <f>IFERROR(__xludf.DUMMYFUNCTION("""COMPUTED_VALUE"""),"Viktor Huszar and  
Ronaldinho")</f>
        <v>Viktor Huszar and  
Ronaldinho</v>
      </c>
      <c r="E896" s="10" t="str">
        <f>IFERROR(__xludf.DUMMYFUNCTION("""COMPUTED_VALUE"""),"Viktor Huszar, 
Ronaldinho")</f>
        <v>Viktor Huszar, 
Ronaldinho</v>
      </c>
      <c r="F896" s="10" t="str">
        <f>IFERROR(__xludf.DUMMYFUNCTION("""COMPUTED_VALUE"""),"")</f>
        <v/>
      </c>
      <c r="G896" s="10" t="str">
        <f>IFERROR(__xludf.DUMMYFUNCTION("""COMPUTED_VALUE"""),"")</f>
        <v/>
      </c>
      <c r="H896" s="10" t="str">
        <f>IFERROR(__xludf.DUMMYFUNCTION("""COMPUTED_VALUE"""),"9c6a6ec4-541d-5265-ac40-118aee54e152")</f>
        <v>9c6a6ec4-541d-5265-ac40-118aee54e152</v>
      </c>
      <c r="I896" s="10" t="str">
        <f>IFERROR(__xludf.DUMMYFUNCTION("""COMPUTED_VALUE"""),"9c6a6ec4-541d-5265-ac40-118aee54e152")</f>
        <v>9c6a6ec4-541d-5265-ac40-118aee54e152</v>
      </c>
    </row>
    <row r="897">
      <c r="A897" s="10" t="str">
        <f>IFERROR(__xludf.DUMMYFUNCTION("""COMPUTED_VALUE"""),"Start your business in Saudi Arabia, hosted by Invest Saudi")</f>
        <v>Start your business in Saudi Arabia, hosted by Invest Saudi</v>
      </c>
      <c r="B897" s="10" t="str">
        <f>IFERROR(__xludf.DUMMYFUNCTION("""COMPUTED_VALUE"""),"Saudi Arabia is now leading the way for the region’s burgeoning startup ecosystem. With the surge of accelerators, incubators, co-working spaces and funding programs, the government and the private sector in tandem are providing significant support to exi"&amp;"sting and new ventures looking for market entry. We’ll take you on the entrepreneur’s journey, from company incorporation to regulation and from hiring local talent to fundraising. We’ll delve into the challenges and opportunities of operating in the comp"&amp;"lex MENA market, and specifically in KSA.")</f>
        <v>Saudi Arabia is now leading the way for the region’s burgeoning startup ecosystem. With the surge of accelerators, incubators, co-working spaces and funding programs, the government and the private sector in tandem are providing significant support to existing and new ventures looking for market entry. We’ll take you on the entrepreneur’s journey, from company incorporation to regulation and from hiring local talent to fundraising. We’ll delve into the challenges and opportunities of operating in the complex MENA market, and specifically in KSA.</v>
      </c>
      <c r="C897" s="10" t="str">
        <f>IFERROR(__xludf.DUMMYFUNCTION("""COMPUTED_VALUE"""),"Workshop 4")</f>
        <v>Workshop 4</v>
      </c>
      <c r="D897" s="10" t="str">
        <f>IFERROR(__xludf.DUMMYFUNCTION("""COMPUTED_VALUE"""),"")</f>
        <v/>
      </c>
      <c r="E897" s="10" t="str">
        <f>IFERROR(__xludf.DUMMYFUNCTION("""COMPUTED_VALUE"""),"")</f>
        <v/>
      </c>
      <c r="F897" s="10" t="str">
        <f>IFERROR(__xludf.DUMMYFUNCTION("""COMPUTED_VALUE"""),"2019/11/05 14:00:00")</f>
        <v>2019/11/05 14:00:00</v>
      </c>
      <c r="G897" s="10" t="str">
        <f>IFERROR(__xludf.DUMMYFUNCTION("""COMPUTED_VALUE"""),"2019/11/05 15:00:00")</f>
        <v>2019/11/05 15:00:00</v>
      </c>
      <c r="H897" s="10" t="str">
        <f>IFERROR(__xludf.DUMMYFUNCTION("""COMPUTED_VALUE"""),"32df9dd3-eb08-42e1-a100-def73106165d")</f>
        <v>32df9dd3-eb08-42e1-a100-def73106165d</v>
      </c>
      <c r="I897" s="10" t="str">
        <f>IFERROR(__xludf.DUMMYFUNCTION("""COMPUTED_VALUE"""),"32df9dd3-eb08-42e1-a100-def73106165d")</f>
        <v>32df9dd3-eb08-42e1-a100-def73106165d</v>
      </c>
    </row>
    <row r="898">
      <c r="A898" s="10" t="str">
        <f>IFERROR(__xludf.DUMMYFUNCTION("""COMPUTED_VALUE"""),"The next digital dawn: Scenarios for a new world")</f>
        <v>The next digital dawn: Scenarios for a new world</v>
      </c>
      <c r="B898" s="10" t="str">
        <f>IFERROR(__xludf.DUMMYFUNCTION("""COMPUTED_VALUE"""),"It’s clear that humanity has reached a fork in the road. But none of us completely understand the forces, good and bad, that have been unleashed. In this session, Shell’s Head of Strategy, Ed Daniels will premiere his team’s research on how digitalisation"&amp;" could change the world in the decades to come – including its impact on democracy, prosperity, inequality, privacy and security. He will then answer questions about the changes these technologies are bringing and how we can respond to them.")</f>
        <v>It’s clear that humanity has reached a fork in the road. But none of us completely understand the forces, good and bad, that have been unleashed. In this session, Shell’s Head of Strategy, Ed Daniels will premiere his team’s research on how digitalisation could change the world in the decades to come – including its impact on democracy, prosperity, inequality, privacy and security. He will then answer questions about the changes these technologies are bringing and how we can respond to them.</v>
      </c>
      <c r="C898" s="10" t="str">
        <f>IFERROR(__xludf.DUMMYFUNCTION("""COMPUTED_VALUE"""),"Future Societies")</f>
        <v>Future Societies</v>
      </c>
      <c r="D898" s="10" t="str">
        <f>IFERROR(__xludf.DUMMYFUNCTION("""COMPUTED_VALUE"""),"Ed Daniels and Neanda Salvaterra")</f>
        <v>Ed Daniels and Neanda Salvaterra</v>
      </c>
      <c r="E898" s="10" t="str">
        <f>IFERROR(__xludf.DUMMYFUNCTION("""COMPUTED_VALUE"""),"Ed Daniels,Neanda Salvaterra")</f>
        <v>Ed Daniels,Neanda Salvaterra</v>
      </c>
      <c r="F898" s="10" t="str">
        <f>IFERROR(__xludf.DUMMYFUNCTION("""COMPUTED_VALUE"""),"2019/11/05 11:10:00")</f>
        <v>2019/11/05 11:10:00</v>
      </c>
      <c r="G898" s="10" t="str">
        <f>IFERROR(__xludf.DUMMYFUNCTION("""COMPUTED_VALUE"""),"2019/11/05 11:30:00")</f>
        <v>2019/11/05 11:30:00</v>
      </c>
      <c r="H898" s="10" t="str">
        <f>IFERROR(__xludf.DUMMYFUNCTION("""COMPUTED_VALUE"""),"5d79c066-d2c8-4526-b253-e8c2310d3027")</f>
        <v>5d79c066-d2c8-4526-b253-e8c2310d3027</v>
      </c>
      <c r="I898" s="10" t="str">
        <f>IFERROR(__xludf.DUMMYFUNCTION("""COMPUTED_VALUE"""),"5d79c066-d2c8-4526-b253-e8c2310d3027")</f>
        <v>5d79c066-d2c8-4526-b253-e8c2310d3027</v>
      </c>
    </row>
    <row r="899">
      <c r="A899" s="10" t="str">
        <f>IFERROR(__xludf.DUMMYFUNCTION("""COMPUTED_VALUE"""),"Mindsets beyond MVPs: Innovating at scale ")</f>
        <v>Mindsets beyond MVPs: Innovating at scale </v>
      </c>
      <c r="B899" s="10" t="str">
        <f>IFERROR(__xludf.DUMMYFUNCTION("""COMPUTED_VALUE"""),"It has been said that vision without a strategy remains an illusion. In this conversation one of the world’s largest consulting companies will delve into the practicalities of thinking strategically and the barriers of bringing a plan to life.")</f>
        <v>It has been said that vision without a strategy remains an illusion. In this conversation one of the world’s largest consulting companies will delve into the practicalities of thinking strategically and the barriers of bringing a plan to life.</v>
      </c>
      <c r="C899" s="10" t="str">
        <f>IFERROR(__xludf.DUMMYFUNCTION("""COMPUTED_VALUE"""),"Corporate Innovation Summit")</f>
        <v>Corporate Innovation Summit</v>
      </c>
      <c r="D899" s="10" t="str">
        <f>IFERROR(__xludf.DUMMYFUNCTION("""COMPUTED_VALUE"""),"Narry Singh")</f>
        <v>Narry Singh</v>
      </c>
      <c r="E899" s="10" t="str">
        <f>IFERROR(__xludf.DUMMYFUNCTION("""COMPUTED_VALUE"""),"Narry Singh")</f>
        <v>Narry Singh</v>
      </c>
      <c r="F899" s="10" t="str">
        <f>IFERROR(__xludf.DUMMYFUNCTION("""COMPUTED_VALUE"""),"2019/11/05 14:00:00")</f>
        <v>2019/11/05 14:00:00</v>
      </c>
      <c r="G899" s="10" t="str">
        <f>IFERROR(__xludf.DUMMYFUNCTION("""COMPUTED_VALUE"""),"2019/11/05 14:20:00")</f>
        <v>2019/11/05 14:20:00</v>
      </c>
      <c r="H899" s="10" t="str">
        <f>IFERROR(__xludf.DUMMYFUNCTION("""COMPUTED_VALUE"""),"a81d16fb-cafe-457b-89db-d8e73022ef0c")</f>
        <v>a81d16fb-cafe-457b-89db-d8e73022ef0c</v>
      </c>
      <c r="I899" s="10" t="str">
        <f>IFERROR(__xludf.DUMMYFUNCTION("""COMPUTED_VALUE"""),"a81d16fb-cafe-457b-89db-d8e73022ef0c")</f>
        <v>a81d16fb-cafe-457b-89db-d8e73022ef0c</v>
      </c>
    </row>
    <row r="900">
      <c r="A900" s="10" t="str">
        <f>IFERROR(__xludf.DUMMYFUNCTION("""COMPUTED_VALUE"""),"PITCH group round 3")</f>
        <v>PITCH group round 3</v>
      </c>
      <c r="B900" s="10" t="str">
        <f>IFERROR(__xludf.DUMMYFUNCTION("""COMPUTED_VALUE"""),"")</f>
        <v/>
      </c>
      <c r="C900" s="10" t="str">
        <f>IFERROR(__xludf.DUMMYFUNCTION("""COMPUTED_VALUE"""),"PITCH 3")</f>
        <v>PITCH 3</v>
      </c>
      <c r="D900" s="10" t="str">
        <f>IFERROR(__xludf.DUMMYFUNCTION("""COMPUTED_VALUE"""),"Brian Collins, Ana Lobo Xavier, Pedro Vasconcellos, Jordi Vidal, Edel Coen, Russ Heddleston, Javier Gutiérrez, Nathan Harris, Abbas Bertina, Aroa Fernandez Alvarez and Gabriel Menegatti")</f>
        <v>Brian Collins, Ana Lobo Xavier, Pedro Vasconcellos, Jordi Vidal, Edel Coen, Russ Heddleston, Javier Gutiérrez, Nathan Harris, Abbas Bertina, Aroa Fernandez Alvarez and Gabriel Menegatti</v>
      </c>
      <c r="E900" s="10" t="str">
        <f>IFERROR(__xludf.DUMMYFUNCTION("""COMPUTED_VALUE"""),"Brian Collins,Ana Lobo Xavier,Pedro Vasconcellos,Jordi Vidal,Edel Coen,Russ Heddleston,Javier Gutiérrez,Nathan Harris,Abbas Bertina,Aroa Fernandez Alvarez,Gabriel Menegatti")</f>
        <v>Brian Collins,Ana Lobo Xavier,Pedro Vasconcellos,Jordi Vidal,Edel Coen,Russ Heddleston,Javier Gutiérrez,Nathan Harris,Abbas Bertina,Aroa Fernandez Alvarez,Gabriel Menegatti</v>
      </c>
      <c r="F900" s="10" t="str">
        <f>IFERROR(__xludf.DUMMYFUNCTION("""COMPUTED_VALUE"""),"2019/11/05 09:15:00")</f>
        <v>2019/11/05 09:15:00</v>
      </c>
      <c r="G900" s="10" t="str">
        <f>IFERROR(__xludf.DUMMYFUNCTION("""COMPUTED_VALUE"""),"2019/11/05 10:15:00")</f>
        <v>2019/11/05 10:15:00</v>
      </c>
      <c r="H900" s="10" t="str">
        <f>IFERROR(__xludf.DUMMYFUNCTION("""COMPUTED_VALUE"""),"098f6a4f-7362-4138-9b47-99504f375c5d")</f>
        <v>098f6a4f-7362-4138-9b47-99504f375c5d</v>
      </c>
      <c r="I900" s="10" t="str">
        <f>IFERROR(__xludf.DUMMYFUNCTION("""COMPUTED_VALUE"""),"098f6a4f-7362-4138-9b47-99504f375c5d")</f>
        <v>098f6a4f-7362-4138-9b47-99504f375c5d</v>
      </c>
    </row>
    <row r="901">
      <c r="A901" s="10" t="str">
        <f>IFERROR(__xludf.DUMMYFUNCTION("""COMPUTED_VALUE"""),"Join SAP at Web Summit: The future of business has feelings")</f>
        <v>Join SAP at Web Summit: The future of business has feelings</v>
      </c>
      <c r="B901" s="10"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901" s="10" t="str">
        <f>IFERROR(__xludf.DUMMYFUNCTION("""COMPUTED_VALUE"""),"SAP, E350, FIL 3")</f>
        <v>SAP, E350, FIL 3</v>
      </c>
      <c r="D901" s="10" t="str">
        <f>IFERROR(__xludf.DUMMYFUNCTION("""COMPUTED_VALUE"""),"")</f>
        <v/>
      </c>
      <c r="E901" s="10" t="str">
        <f>IFERROR(__xludf.DUMMYFUNCTION("""COMPUTED_VALUE"""),"")</f>
        <v/>
      </c>
      <c r="F901" s="10" t="str">
        <f>IFERROR(__xludf.DUMMYFUNCTION("""COMPUTED_VALUE"""),"2019/11/05 10:00:00")</f>
        <v>2019/11/05 10:00:00</v>
      </c>
      <c r="G901" s="10" t="str">
        <f>IFERROR(__xludf.DUMMYFUNCTION("""COMPUTED_VALUE"""),"2019/11/05 17:00:00")</f>
        <v>2019/11/05 17:00:00</v>
      </c>
      <c r="H901" s="10" t="str">
        <f>IFERROR(__xludf.DUMMYFUNCTION("""COMPUTED_VALUE"""),"e3dfb179-b38f-4987-8c62-8fbc69f5c272")</f>
        <v>e3dfb179-b38f-4987-8c62-8fbc69f5c272</v>
      </c>
      <c r="I901" s="10" t="str">
        <f>IFERROR(__xludf.DUMMYFUNCTION("""COMPUTED_VALUE"""),"e3dfb179-b38f-4987-8c62-8fbc69f5c272")</f>
        <v>e3dfb179-b38f-4987-8c62-8fbc69f5c272</v>
      </c>
    </row>
    <row r="902">
      <c r="A902" s="10" t="str">
        <f>IFERROR(__xludf.DUMMYFUNCTION("""COMPUTED_VALUE"""),"Opening remarks ")</f>
        <v>Opening remarks </v>
      </c>
      <c r="B902" s="10" t="str">
        <f>IFERROR(__xludf.DUMMYFUNCTION("""COMPUTED_VALUE"""),"")</f>
        <v/>
      </c>
      <c r="C902" s="10" t="str">
        <f>IFERROR(__xludf.DUMMYFUNCTION("""COMPUTED_VALUE"""),"Startup University")</f>
        <v>Startup University</v>
      </c>
      <c r="D902" s="10" t="str">
        <f>IFERROR(__xludf.DUMMYFUNCTION("""COMPUTED_VALUE"""),"Cynthia Johnson")</f>
        <v>Cynthia Johnson</v>
      </c>
      <c r="E902" s="10" t="str">
        <f>IFERROR(__xludf.DUMMYFUNCTION("""COMPUTED_VALUE"""),"Cynthia Johnson")</f>
        <v>Cynthia Johnson</v>
      </c>
      <c r="F902" s="10" t="str">
        <f>IFERROR(__xludf.DUMMYFUNCTION("""COMPUTED_VALUE"""),"2019/11/06 11:15:00")</f>
        <v>2019/11/06 11:15:00</v>
      </c>
      <c r="G902" s="10" t="str">
        <f>IFERROR(__xludf.DUMMYFUNCTION("""COMPUTED_VALUE"""),"2019/11/06 11:30:00")</f>
        <v>2019/11/06 11:30:00</v>
      </c>
      <c r="H902" s="10" t="str">
        <f>IFERROR(__xludf.DUMMYFUNCTION("""COMPUTED_VALUE"""),"d44ff59d-3ffb-403f-81b3-3a8a026e3079")</f>
        <v>d44ff59d-3ffb-403f-81b3-3a8a026e3079</v>
      </c>
      <c r="I902" s="10" t="str">
        <f>IFERROR(__xludf.DUMMYFUNCTION("""COMPUTED_VALUE"""),"d44ff59d-3ffb-403f-81b3-3a8a026e3079")</f>
        <v>d44ff59d-3ffb-403f-81b3-3a8a026e3079</v>
      </c>
    </row>
    <row r="903">
      <c r="A903" s="10" t="str">
        <f>IFERROR(__xludf.DUMMYFUNCTION("""COMPUTED_VALUE"""),"Sell your story not your soul: Winning over VCs ")</f>
        <v>Sell your story not your soul: Winning over VCs </v>
      </c>
      <c r="B903" s="10" t="str">
        <f>IFERROR(__xludf.DUMMYFUNCTION("""COMPUTED_VALUE"""),"Unicorn founders and leading VCs uncover common mistakes made during a funding pitch, what makes them cringe, and what they look for in a winning team. ")</f>
        <v>Unicorn founders and leading VCs uncover common mistakes made during a funding pitch, what makes them cringe, and what they look for in a winning team. </v>
      </c>
      <c r="C903" s="10" t="str">
        <f>IFERROR(__xludf.DUMMYFUNCTION("""COMPUTED_VALUE"""),"Startup University")</f>
        <v>Startup University</v>
      </c>
      <c r="D903" s="10" t="str">
        <f>IFERROR(__xludf.DUMMYFUNCTION("""COMPUTED_VALUE"""),"Ariel Cohen, Michele Romanow and Marcel Rosenbach")</f>
        <v>Ariel Cohen, Michele Romanow and Marcel Rosenbach</v>
      </c>
      <c r="E903" s="10" t="str">
        <f>IFERROR(__xludf.DUMMYFUNCTION("""COMPUTED_VALUE"""),"Ariel Cohen,Michele Romanow,Marcel Rosenbach")</f>
        <v>Ariel Cohen,Michele Romanow,Marcel Rosenbach</v>
      </c>
      <c r="F903" s="10" t="str">
        <f>IFERROR(__xludf.DUMMYFUNCTION("""COMPUTED_VALUE"""),"2019/11/05 14:00:00")</f>
        <v>2019/11/05 14:00:00</v>
      </c>
      <c r="G903" s="10" t="str">
        <f>IFERROR(__xludf.DUMMYFUNCTION("""COMPUTED_VALUE"""),"2019/11/05 14:20:00")</f>
        <v>2019/11/05 14:20:00</v>
      </c>
      <c r="H903" s="10" t="str">
        <f>IFERROR(__xludf.DUMMYFUNCTION("""COMPUTED_VALUE"""),"9401bb18-0cd5-4c2b-891c-594ae8d7a137")</f>
        <v>9401bb18-0cd5-4c2b-891c-594ae8d7a137</v>
      </c>
      <c r="I903" s="10" t="str">
        <f>IFERROR(__xludf.DUMMYFUNCTION("""COMPUTED_VALUE"""),"9401bb18-0cd5-4c2b-891c-594ae8d7a137")</f>
        <v>9401bb18-0cd5-4c2b-891c-594ae8d7a137</v>
      </c>
    </row>
    <row r="904">
      <c r="A904" s="10" t="str">
        <f>IFERROR(__xludf.DUMMYFUNCTION("""COMPUTED_VALUE"""),"Redefining mobile measurement")</f>
        <v>Redefining mobile measurement</v>
      </c>
      <c r="B904" s="10" t="str">
        <f>IFERROR(__xludf.DUMMYFUNCTION("""COMPUTED_VALUE"""),"How do you effectively measure your return on investment? Mobile marketers seeking to maximise their marketing spend devote inordinate time to answering this. Let's hear how that challenge can be simplified.")</f>
        <v>How do you effectively measure your return on investment? Mobile marketers seeking to maximise their marketing spend devote inordinate time to answering this. Let's hear how that challenge can be simplified.</v>
      </c>
      <c r="C904" s="10" t="str">
        <f>IFERROR(__xludf.DUMMYFUNCTION("""COMPUTED_VALUE"""),"PandaConf")</f>
        <v>PandaConf</v>
      </c>
      <c r="D904" s="10" t="str">
        <f>IFERROR(__xludf.DUMMYFUNCTION("""COMPUTED_VALUE"""),"Ted Krantz")</f>
        <v>Ted Krantz</v>
      </c>
      <c r="E904" s="10" t="str">
        <f>IFERROR(__xludf.DUMMYFUNCTION("""COMPUTED_VALUE"""),"Ted Krantz")</f>
        <v>Ted Krantz</v>
      </c>
      <c r="F904" s="10" t="str">
        <f>IFERROR(__xludf.DUMMYFUNCTION("""COMPUTED_VALUE"""),"2019/11/05 15:00:00")</f>
        <v>2019/11/05 15:00:00</v>
      </c>
      <c r="G904" s="10" t="str">
        <f>IFERROR(__xludf.DUMMYFUNCTION("""COMPUTED_VALUE"""),"2019/11/05 15:20:00")</f>
        <v>2019/11/05 15:20:00</v>
      </c>
      <c r="H904" s="10" t="str">
        <f>IFERROR(__xludf.DUMMYFUNCTION("""COMPUTED_VALUE"""),"2c83924e-c82c-4739-9135-e70cad466a2d")</f>
        <v>2c83924e-c82c-4739-9135-e70cad466a2d</v>
      </c>
      <c r="I904" s="10" t="str">
        <f>IFERROR(__xludf.DUMMYFUNCTION("""COMPUTED_VALUE"""),"2c83924e-c82c-4739-9135-e70cad466a2d")</f>
        <v>2c83924e-c82c-4739-9135-e70cad466a2d</v>
      </c>
    </row>
    <row r="905">
      <c r="A905" s="10" t="str">
        <f>IFERROR(__xludf.DUMMYFUNCTION("""COMPUTED_VALUE"""),"Explore your digital futures, hosted by Shell")</f>
        <v>Explore your digital futures, hosted by Shell</v>
      </c>
      <c r="B905" s="10"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905" s="10" t="str">
        <f>IFERROR(__xludf.DUMMYFUNCTION("""COMPUTED_VALUE"""),"Workshop 1")</f>
        <v>Workshop 1</v>
      </c>
      <c r="D905" s="10" t="str">
        <f>IFERROR(__xludf.DUMMYFUNCTION("""COMPUTED_VALUE"""),"Adam Eales")</f>
        <v>Adam Eales</v>
      </c>
      <c r="E905" s="10" t="str">
        <f>IFERROR(__xludf.DUMMYFUNCTION("""COMPUTED_VALUE"""),"Adam Eales")</f>
        <v>Adam Eales</v>
      </c>
      <c r="F905" s="10" t="str">
        <f>IFERROR(__xludf.DUMMYFUNCTION("""COMPUTED_VALUE"""),"2019/11/06 10:00:00")</f>
        <v>2019/11/06 10:00:00</v>
      </c>
      <c r="G905" s="10" t="str">
        <f>IFERROR(__xludf.DUMMYFUNCTION("""COMPUTED_VALUE"""),"2019/11/06 10:45:00")</f>
        <v>2019/11/06 10:45:00</v>
      </c>
      <c r="H905" s="10" t="str">
        <f>IFERROR(__xludf.DUMMYFUNCTION("""COMPUTED_VALUE"""),"ef0f914c-903f-4481-a1b5-8f2347fb8a8f")</f>
        <v>ef0f914c-903f-4481-a1b5-8f2347fb8a8f</v>
      </c>
      <c r="I905" s="10" t="str">
        <f>IFERROR(__xludf.DUMMYFUNCTION("""COMPUTED_VALUE"""),"ef0f914c-903f-4481-a1b5-8f2347fb8a8f")</f>
        <v>ef0f914c-903f-4481-a1b5-8f2347fb8a8f</v>
      </c>
    </row>
    <row r="906">
      <c r="A906" s="10" t="str">
        <f>IFERROR(__xludf.DUMMYFUNCTION("""COMPUTED_VALUE"""),"Innovating financial giants")</f>
        <v>Innovating financial giants</v>
      </c>
      <c r="B906" s="10" t="str">
        <f>IFERROR(__xludf.DUMMYFUNCTION("""COMPUTED_VALUE"""),"It's the age-old question for age-old institutions. How on earth do we keep up? Innovation and marketing have become key components in keeping competition alive between established financial institutions and challenger fintechs - but as consumers become m"&amp;"ore comfortable with tech solutions, will it be enough?")</f>
        <v>It's the age-old question for age-old institutions. How on earth do we keep up? Innovation and marketing have become key components in keeping competition alive between established financial institutions and challenger fintechs - but as consumers become more comfortable with tech solutions, will it be enough?</v>
      </c>
      <c r="C906" s="10" t="str">
        <f>IFERROR(__xludf.DUMMYFUNCTION("""COMPUTED_VALUE"""),"MoneyConf")</f>
        <v>MoneyConf</v>
      </c>
      <c r="D906" s="10" t="str">
        <f>IFERROR(__xludf.DUMMYFUNCTION("""COMPUTED_VALUE"""),"Claire Calmejane, Sean Ringsted, Tunde Kehinde and Gerhard Elfers")</f>
        <v>Claire Calmejane, Sean Ringsted, Tunde Kehinde and Gerhard Elfers</v>
      </c>
      <c r="E906" s="10" t="str">
        <f>IFERROR(__xludf.DUMMYFUNCTION("""COMPUTED_VALUE"""),"Claire Calmejane,Sean Ringsted,Tunde Kehinde,Gerhard Elfers")</f>
        <v>Claire Calmejane,Sean Ringsted,Tunde Kehinde,Gerhard Elfers</v>
      </c>
      <c r="F906" s="10" t="str">
        <f>IFERROR(__xludf.DUMMYFUNCTION("""COMPUTED_VALUE"""),"2019/11/07 11:20:00")</f>
        <v>2019/11/07 11:20:00</v>
      </c>
      <c r="G906" s="10" t="str">
        <f>IFERROR(__xludf.DUMMYFUNCTION("""COMPUTED_VALUE"""),"2019/11/07 11:40:00")</f>
        <v>2019/11/07 11:40:00</v>
      </c>
      <c r="H906" s="10" t="str">
        <f>IFERROR(__xludf.DUMMYFUNCTION("""COMPUTED_VALUE"""),"245e619a-1bca-441e-bee1-d3bc644969b0")</f>
        <v>245e619a-1bca-441e-bee1-d3bc644969b0</v>
      </c>
      <c r="I906" s="10" t="str">
        <f>IFERROR(__xludf.DUMMYFUNCTION("""COMPUTED_VALUE"""),"245e619a-1bca-441e-bee1-d3bc644969b0")</f>
        <v>245e619a-1bca-441e-bee1-d3bc644969b0</v>
      </c>
    </row>
    <row r="907">
      <c r="A907" s="10" t="str">
        <f>IFERROR(__xludf.DUMMYFUNCTION("""COMPUTED_VALUE"""),"Understanding graph databases")</f>
        <v>Understanding graph databases</v>
      </c>
      <c r="B907" s="10" t="str">
        <f>IFERROR(__xludf.DUMMYFUNCTION("""COMPUTED_VALUE"""),"Graph databases are a new kind of way to store and retrieve data. They can help you answer questions that are prohibitively expensive with relational or key-value stores. Join us for a brief history of graph databases and a hands on demo of Amazon Neptune"&amp;", a fast, reliable graph database built for the cloud.")</f>
        <v>Graph databases are a new kind of way to store and retrieve data. They can help you answer questions that are prohibitively expensive with relational or key-value stores. Join us for a brief history of graph databases and a hands on demo of Amazon Neptune, a fast, reliable graph database built for the cloud.</v>
      </c>
      <c r="C907" s="10" t="str">
        <f>IFERROR(__xludf.DUMMYFUNCTION("""COMPUTED_VALUE"""),"AWS Developer Workshops")</f>
        <v>AWS Developer Workshops</v>
      </c>
      <c r="D907" s="10" t="str">
        <f>IFERROR(__xludf.DUMMYFUNCTION("""COMPUTED_VALUE"""),"")</f>
        <v/>
      </c>
      <c r="E907" s="10" t="str">
        <f>IFERROR(__xludf.DUMMYFUNCTION("""COMPUTED_VALUE"""),"")</f>
        <v/>
      </c>
      <c r="F907" s="10" t="str">
        <f>IFERROR(__xludf.DUMMYFUNCTION("""COMPUTED_VALUE"""),"2019/11/06 16:00:00")</f>
        <v>2019/11/06 16:00:00</v>
      </c>
      <c r="G907" s="10" t="str">
        <f>IFERROR(__xludf.DUMMYFUNCTION("""COMPUTED_VALUE"""),"2019/11/06 16:50:00")</f>
        <v>2019/11/06 16:50:00</v>
      </c>
      <c r="H907" s="10" t="str">
        <f>IFERROR(__xludf.DUMMYFUNCTION("""COMPUTED_VALUE"""),"96d4a666-6448-4c02-a368-a952ff8be9ab")</f>
        <v>96d4a666-6448-4c02-a368-a952ff8be9ab</v>
      </c>
      <c r="I907" s="10" t="str">
        <f>IFERROR(__xludf.DUMMYFUNCTION("""COMPUTED_VALUE"""),"96d4a666-6448-4c02-a368-a952ff8be9ab")</f>
        <v>96d4a666-6448-4c02-a368-a952ff8be9ab</v>
      </c>
    </row>
    <row r="908">
      <c r="A908" s="10" t="str">
        <f>IFERROR(__xludf.DUMMYFUNCTION("""COMPUTED_VALUE"""),"Opening remarks ")</f>
        <v>Opening remarks </v>
      </c>
      <c r="B908" s="10" t="str">
        <f>IFERROR(__xludf.DUMMYFUNCTION("""COMPUTED_VALUE"""),"")</f>
        <v/>
      </c>
      <c r="C908" s="10" t="str">
        <f>IFERROR(__xludf.DUMMYFUNCTION("""COMPUTED_VALUE"""),"Startup University")</f>
        <v>Startup University</v>
      </c>
      <c r="D908" s="10" t="str">
        <f>IFERROR(__xludf.DUMMYFUNCTION("""COMPUTED_VALUE"""),"Noel Toolan")</f>
        <v>Noel Toolan</v>
      </c>
      <c r="E908" s="10" t="str">
        <f>IFERROR(__xludf.DUMMYFUNCTION("""COMPUTED_VALUE"""),"Noel Toolan")</f>
        <v>Noel Toolan</v>
      </c>
      <c r="F908" s="10" t="str">
        <f>IFERROR(__xludf.DUMMYFUNCTION("""COMPUTED_VALUE"""),"2019/11/05 10:15:00")</f>
        <v>2019/11/05 10:15:00</v>
      </c>
      <c r="G908" s="10" t="str">
        <f>IFERROR(__xludf.DUMMYFUNCTION("""COMPUTED_VALUE"""),"2019/11/05 10:30:00")</f>
        <v>2019/11/05 10:30:00</v>
      </c>
      <c r="H908" s="10" t="str">
        <f>IFERROR(__xludf.DUMMYFUNCTION("""COMPUTED_VALUE"""),"d02fc0ee-1086-409c-8759-6f28e208c52a")</f>
        <v>d02fc0ee-1086-409c-8759-6f28e208c52a</v>
      </c>
      <c r="I908" s="10" t="str">
        <f>IFERROR(__xludf.DUMMYFUNCTION("""COMPUTED_VALUE"""),"d02fc0ee-1086-409c-8759-6f28e208c52a")</f>
        <v>d02fc0ee-1086-409c-8759-6f28e208c52a</v>
      </c>
    </row>
    <row r="909">
      <c r="A909" s="10" t="str">
        <f>IFERROR(__xludf.DUMMYFUNCTION("""COMPUTED_VALUE"""),"Winning the war for talent")</f>
        <v>Winning the war for talent</v>
      </c>
      <c r="B909" s="10" t="str">
        <f>IFERROR(__xludf.DUMMYFUNCTION("""COMPUTED_VALUE"""),"The war for talent is raging and the new battlefield is the independent workforce. Work is ripe for disruption. Employee underperformance, lack of engagement, and turnover are expensive and persistent concerns for corporations. Alternatives to traditional"&amp;" full-time employment in a full-time job are here, along with the new technology, startups, and platforms to support a new way of work. Join this panel to learn more about the future of work and investors' perspective on the war for talent.")</f>
        <v>The war for talent is raging and the new battlefield is the independent workforce. Work is ripe for disruption. Employee underperformance, lack of engagement, and turnover are expensive and persistent concerns for corporations. Alternatives to traditional full-time employment in a full-time job are here, along with the new technology, startups, and platforms to support a new way of work. Join this panel to learn more about the future of work and investors' perspective on the war for talent.</v>
      </c>
      <c r="C909" s="10" t="str">
        <f>IFERROR(__xludf.DUMMYFUNCTION("""COMPUTED_VALUE"""),"Venture stage")</f>
        <v>Venture stage</v>
      </c>
      <c r="D909" s="10" t="str">
        <f>IFERROR(__xludf.DUMMYFUNCTION("""COMPUTED_VALUE"""),"Diane Mulcahy and Denis Barrier")</f>
        <v>Diane Mulcahy and Denis Barrier</v>
      </c>
      <c r="E909" s="10" t="str">
        <f>IFERROR(__xludf.DUMMYFUNCTION("""COMPUTED_VALUE"""),"Diane Mulcahy,Denis Barrier")</f>
        <v>Diane Mulcahy,Denis Barrier</v>
      </c>
      <c r="F909" s="10" t="str">
        <f>IFERROR(__xludf.DUMMYFUNCTION("""COMPUTED_VALUE"""),"2019/11/05 12:00:00")</f>
        <v>2019/11/05 12:00:00</v>
      </c>
      <c r="G909" s="10" t="str">
        <f>IFERROR(__xludf.DUMMYFUNCTION("""COMPUTED_VALUE"""),"2019/11/05 12:20:00")</f>
        <v>2019/11/05 12:20:00</v>
      </c>
      <c r="H909" s="10" t="str">
        <f>IFERROR(__xludf.DUMMYFUNCTION("""COMPUTED_VALUE"""),"cebe1715-e136-4b99-902d-ffb337b720b6")</f>
        <v>cebe1715-e136-4b99-902d-ffb337b720b6</v>
      </c>
      <c r="I909" s="10" t="str">
        <f>IFERROR(__xludf.DUMMYFUNCTION("""COMPUTED_VALUE"""),"cebe1715-e136-4b99-902d-ffb337b720b6")</f>
        <v>cebe1715-e136-4b99-902d-ffb337b720b6</v>
      </c>
    </row>
    <row r="910">
      <c r="A910" s="10" t="str">
        <f>IFERROR(__xludf.DUMMYFUNCTION("""COMPUTED_VALUE"""),"How decentralised technology will change people's lives in the next 10 years")</f>
        <v>How decentralised technology will change people's lives in the next 10 years</v>
      </c>
      <c r="B910" s="10" t="str">
        <f>IFERROR(__xludf.DUMMYFUNCTION("""COMPUTED_VALUE"""),"CEO of Blockstack, Muneeb describes his plans for the growth of the company’s decentralised computing network where users are in control of their data and logins.")</f>
        <v>CEO of Blockstack, Muneeb describes his plans for the growth of the company’s decentralised computing network where users are in control of their data and logins.</v>
      </c>
      <c r="C910" s="10" t="str">
        <f>IFERROR(__xludf.DUMMYFUNCTION("""COMPUTED_VALUE"""),"Growth Summit")</f>
        <v>Growth Summit</v>
      </c>
      <c r="D910" s="10" t="str">
        <f>IFERROR(__xludf.DUMMYFUNCTION("""COMPUTED_VALUE"""),"Muneeb Ali")</f>
        <v>Muneeb Ali</v>
      </c>
      <c r="E910" s="10" t="str">
        <f>IFERROR(__xludf.DUMMYFUNCTION("""COMPUTED_VALUE"""),"Muneeb Ali")</f>
        <v>Muneeb Ali</v>
      </c>
      <c r="F910" s="10" t="str">
        <f>IFERROR(__xludf.DUMMYFUNCTION("""COMPUTED_VALUE"""),"2019/11/06 14:09:00")</f>
        <v>2019/11/06 14:09:00</v>
      </c>
      <c r="G910" s="10" t="str">
        <f>IFERROR(__xludf.DUMMYFUNCTION("""COMPUTED_VALUE"""),"2019/11/06 14:20:00")</f>
        <v>2019/11/06 14:20:00</v>
      </c>
      <c r="H910" s="10" t="str">
        <f>IFERROR(__xludf.DUMMYFUNCTION("""COMPUTED_VALUE"""),"2b9c507f-395e-46f1-a60c-9aeb77cf94ed")</f>
        <v>2b9c507f-395e-46f1-a60c-9aeb77cf94ed</v>
      </c>
      <c r="I910" s="10" t="str">
        <f>IFERROR(__xludf.DUMMYFUNCTION("""COMPUTED_VALUE"""),"2b9c507f-395e-46f1-a60c-9aeb77cf94ed")</f>
        <v>2b9c507f-395e-46f1-a60c-9aeb77cf94ed</v>
      </c>
    </row>
    <row r="911">
      <c r="A911" s="10" t="str">
        <f>IFERROR(__xludf.DUMMYFUNCTION("""COMPUTED_VALUE"""),"Where I'm putting my money in med-tech")</f>
        <v>Where I'm putting my money in med-tech</v>
      </c>
      <c r="B911" s="10" t="str">
        <f>IFERROR(__xludf.DUMMYFUNCTION("""COMPUTED_VALUE"""),"Investment in medtech crept close to nine billion in 2019. Where's the money going, where are the gaps in the market and who are the big fish and little minnows making a difference?")</f>
        <v>Investment in medtech crept close to nine billion in 2019. Where's the money going, where are the gaps in the market and who are the big fish and little minnows making a difference?</v>
      </c>
      <c r="C911" s="10" t="str">
        <f>IFERROR(__xludf.DUMMYFUNCTION("""COMPUTED_VALUE"""),"HealthConf")</f>
        <v>HealthConf</v>
      </c>
      <c r="D911" s="10" t="str">
        <f>IFERROR(__xludf.DUMMYFUNCTION("""COMPUTED_VALUE"""),"Lu Zhang, Min Hu, Dr Marco Huesch and Alex Deane")</f>
        <v>Lu Zhang, Min Hu, Dr Marco Huesch and Alex Deane</v>
      </c>
      <c r="E911" s="10" t="str">
        <f>IFERROR(__xludf.DUMMYFUNCTION("""COMPUTED_VALUE"""),"Lu Zhang,Min Hu,Dr Marco Huesch,Alex Deane")</f>
        <v>Lu Zhang,Min Hu,Dr Marco Huesch,Alex Deane</v>
      </c>
      <c r="F911" s="10" t="str">
        <f>IFERROR(__xludf.DUMMYFUNCTION("""COMPUTED_VALUE"""),"2019/11/07 15:05:00")</f>
        <v>2019/11/07 15:05:00</v>
      </c>
      <c r="G911" s="10" t="str">
        <f>IFERROR(__xludf.DUMMYFUNCTION("""COMPUTED_VALUE"""),"2019/11/07 15:30:00")</f>
        <v>2019/11/07 15:30:00</v>
      </c>
      <c r="H911" s="10" t="str">
        <f>IFERROR(__xludf.DUMMYFUNCTION("""COMPUTED_VALUE"""),"da1f512d-7f42-4d9d-b61d-6fb0127bb842")</f>
        <v>da1f512d-7f42-4d9d-b61d-6fb0127bb842</v>
      </c>
      <c r="I911" s="10" t="str">
        <f>IFERROR(__xludf.DUMMYFUNCTION("""COMPUTED_VALUE"""),"da1f512d-7f42-4d9d-b61d-6fb0127bb842")</f>
        <v>da1f512d-7f42-4d9d-b61d-6fb0127bb842</v>
      </c>
    </row>
    <row r="912">
      <c r="A912" s="10" t="str">
        <f>IFERROR(__xludf.DUMMYFUNCTION("""COMPUTED_VALUE"""),"Blockchain: The use cases")</f>
        <v>Blockchain: The use cases</v>
      </c>
      <c r="B912" s="10" t="str">
        <f>IFERROR(__xludf.DUMMYFUNCTION("""COMPUTED_VALUE"""),"Blockchain’s utility remains unproven. Recent examples of blockchain’s potential impact on financial markets go far beyond initial applications, P2P lending or crowdfunding. This panel of experts will share their thoughts on the creative possibilities tha"&amp;"t forecast a bright future for blockchain.")</f>
        <v>Blockchain’s utility remains unproven. Recent examples of blockchain’s potential impact on financial markets go far beyond initial applications, P2P lending or crowdfunding. This panel of experts will share their thoughts on the creative possibilities that forecast a bright future for blockchain.</v>
      </c>
      <c r="C912" s="10" t="str">
        <f>IFERROR(__xludf.DUMMYFUNCTION("""COMPUTED_VALUE"""),"Corporate Innovation Summit")</f>
        <v>Corporate Innovation Summit</v>
      </c>
      <c r="D912" s="10" t="str">
        <f>IFERROR(__xludf.DUMMYFUNCTION("""COMPUTED_VALUE"""),"David Wachsman, David Chaum, Corentin Denoeud and Noelle Acheson")</f>
        <v>David Wachsman, David Chaum, Corentin Denoeud and Noelle Acheson</v>
      </c>
      <c r="E912" s="10" t="str">
        <f>IFERROR(__xludf.DUMMYFUNCTION("""COMPUTED_VALUE"""),"David Wachsman,David Chaum,Corentin Denoeud,Noelle Acheson")</f>
        <v>David Wachsman,David Chaum,Corentin Denoeud,Noelle Acheson</v>
      </c>
      <c r="F912" s="10" t="str">
        <f>IFERROR(__xludf.DUMMYFUNCTION("""COMPUTED_VALUE"""),"2019/11/05 11:40:00")</f>
        <v>2019/11/05 11:40:00</v>
      </c>
      <c r="G912" s="10" t="str">
        <f>IFERROR(__xludf.DUMMYFUNCTION("""COMPUTED_VALUE"""),"2019/11/05 12:00:00")</f>
        <v>2019/11/05 12:00:00</v>
      </c>
      <c r="H912" s="10" t="str">
        <f>IFERROR(__xludf.DUMMYFUNCTION("""COMPUTED_VALUE"""),"8b1d95d1-cd19-4937-92ab-d85556bb3c98")</f>
        <v>8b1d95d1-cd19-4937-92ab-d85556bb3c98</v>
      </c>
      <c r="I912" s="10" t="str">
        <f>IFERROR(__xludf.DUMMYFUNCTION("""COMPUTED_VALUE"""),"8b1d95d1-cd19-4937-92ab-d85556bb3c98")</f>
        <v>8b1d95d1-cd19-4937-92ab-d85556bb3c98</v>
      </c>
    </row>
    <row r="913">
      <c r="A913" s="10" t="str">
        <f>IFERROR(__xludf.DUMMYFUNCTION("""COMPUTED_VALUE"""),"Lunch break")</f>
        <v>Lunch break</v>
      </c>
      <c r="B913" s="10" t="str">
        <f>IFERROR(__xludf.DUMMYFUNCTION("""COMPUTED_VALUE"""),"")</f>
        <v/>
      </c>
      <c r="C913" s="10" t="str">
        <f>IFERROR(__xludf.DUMMYFUNCTION("""COMPUTED_VALUE"""),"Centre Stage")</f>
        <v>Centre Stage</v>
      </c>
      <c r="D913" s="10" t="str">
        <f>IFERROR(__xludf.DUMMYFUNCTION("""COMPUTED_VALUE"""),"")</f>
        <v/>
      </c>
      <c r="E913" s="10" t="str">
        <f>IFERROR(__xludf.DUMMYFUNCTION("""COMPUTED_VALUE"""),"")</f>
        <v/>
      </c>
      <c r="F913" s="10" t="str">
        <f>IFERROR(__xludf.DUMMYFUNCTION("""COMPUTED_VALUE"""),"2019/11/05 13:00:00")</f>
        <v>2019/11/05 13:00:00</v>
      </c>
      <c r="G913" s="10" t="str">
        <f>IFERROR(__xludf.DUMMYFUNCTION("""COMPUTED_VALUE"""),"2019/11/05 13:15:00")</f>
        <v>2019/11/05 13:15:00</v>
      </c>
      <c r="H913" s="10" t="str">
        <f>IFERROR(__xludf.DUMMYFUNCTION("""COMPUTED_VALUE"""),"a0526514-34b3-4075-a2e7-26e8c2fcb1a6")</f>
        <v>a0526514-34b3-4075-a2e7-26e8c2fcb1a6</v>
      </c>
      <c r="I913" s="10" t="str">
        <f>IFERROR(__xludf.DUMMYFUNCTION("""COMPUTED_VALUE"""),"a0526514-34b3-4075-a2e7-26e8c2fcb1a6")</f>
        <v>a0526514-34b3-4075-a2e7-26e8c2fcb1a6</v>
      </c>
    </row>
    <row r="914">
      <c r="A914" s="10" t="str">
        <f>IFERROR(__xludf.DUMMYFUNCTION("""COMPUTED_VALUE"""),"Stories beat statistics: Master the art and science of data storytelling, hosted by DOMO")</f>
        <v>Stories beat statistics: Master the art and science of data storytelling, hosted by DOMO</v>
      </c>
      <c r="B914" s="10" t="str">
        <f>IFERROR(__xludf.DUMMYFUNCTION("""COMPUTED_VALUE"""),"Data storytelling is one of the most important skills in today’s data economy. It is the critical “last mile” of communication that transforms your findings into something that will inspire change and create value. In this session, you’ll learn about the "&amp;"power that stories wield over statistics and gain deeper insights into the art and science of data storytelling.")</f>
        <v>Data storytelling is one of the most important skills in today’s data economy. It is the critical “last mile” of communication that transforms your findings into something that will inspire change and create value. In this session, you’ll learn about the power that stories wield over statistics and gain deeper insights into the art and science of data storytelling.</v>
      </c>
      <c r="C914" s="10" t="str">
        <f>IFERROR(__xludf.DUMMYFUNCTION("""COMPUTED_VALUE"""),"Workshop 3")</f>
        <v>Workshop 3</v>
      </c>
      <c r="D914" s="10" t="str">
        <f>IFERROR(__xludf.DUMMYFUNCTION("""COMPUTED_VALUE"""),"")</f>
        <v/>
      </c>
      <c r="E914" s="10" t="str">
        <f>IFERROR(__xludf.DUMMYFUNCTION("""COMPUTED_VALUE"""),"")</f>
        <v/>
      </c>
      <c r="F914" s="10" t="str">
        <f>IFERROR(__xludf.DUMMYFUNCTION("""COMPUTED_VALUE"""),"2019/11/06 14:00:00")</f>
        <v>2019/11/06 14:00:00</v>
      </c>
      <c r="G914" s="10" t="str">
        <f>IFERROR(__xludf.DUMMYFUNCTION("""COMPUTED_VALUE"""),"2019/11/06 15:30:00")</f>
        <v>2019/11/06 15:30:00</v>
      </c>
      <c r="H914" s="10" t="str">
        <f>IFERROR(__xludf.DUMMYFUNCTION("""COMPUTED_VALUE"""),"6560ff10-2283-4317-a273-51a4767754c1")</f>
        <v>6560ff10-2283-4317-a273-51a4767754c1</v>
      </c>
      <c r="I914" s="10" t="str">
        <f>IFERROR(__xludf.DUMMYFUNCTION("""COMPUTED_VALUE"""),"6560ff10-2283-4317-a273-51a4767754c1")</f>
        <v>6560ff10-2283-4317-a273-51a4767754c1</v>
      </c>
    </row>
    <row r="915">
      <c r="A915" s="10" t="str">
        <f>IFERROR(__xludf.DUMMYFUNCTION("""COMPUTED_VALUE"""),"Rethinking the marketing and sales funnel")</f>
        <v>Rethinking the marketing and sales funnel</v>
      </c>
      <c r="B915" s="10" t="str">
        <f>IFERROR(__xludf.DUMMYFUNCTION("""COMPUTED_VALUE"""),"The traditional marketing funnel — starting wide at the top and narrowing down to purchase — has become seriously outdated. It no longer reflects the way customers shop and interact with brands in the digital age. Here's how to adapt. ")</f>
        <v>The traditional marketing funnel — starting wide at the top and narrowing down to purchase — has become seriously outdated. It no longer reflects the way customers shop and interact with brands in the digital age. Here's how to adapt. </v>
      </c>
      <c r="C915" s="10" t="str">
        <f>IFERROR(__xludf.DUMMYFUNCTION("""COMPUTED_VALUE"""),"PandaConf")</f>
        <v>PandaConf</v>
      </c>
      <c r="D915" s="10" t="str">
        <f>IFERROR(__xludf.DUMMYFUNCTION("""COMPUTED_VALUE"""),"Armand Thiberge, Mada Seghete, Bill Magnuson and Michelle Castillo")</f>
        <v>Armand Thiberge, Mada Seghete, Bill Magnuson and Michelle Castillo</v>
      </c>
      <c r="E915" s="10" t="str">
        <f>IFERROR(__xludf.DUMMYFUNCTION("""COMPUTED_VALUE"""),"Armand Thiberge,Mada Seghete,Bill Magnuson,Michelle Castillo")</f>
        <v>Armand Thiberge,Mada Seghete,Bill Magnuson,Michelle Castillo</v>
      </c>
      <c r="F915" s="10" t="str">
        <f>IFERROR(__xludf.DUMMYFUNCTION("""COMPUTED_VALUE"""),"2019/11/06 15:45:00")</f>
        <v>2019/11/06 15:45:00</v>
      </c>
      <c r="G915" s="10" t="str">
        <f>IFERROR(__xludf.DUMMYFUNCTION("""COMPUTED_VALUE"""),"2019/11/06 16:15:00")</f>
        <v>2019/11/06 16:15:00</v>
      </c>
      <c r="H915" s="10" t="str">
        <f>IFERROR(__xludf.DUMMYFUNCTION("""COMPUTED_VALUE"""),"30dc2f4b-0b11-4bdc-a05e-da3b7d605529")</f>
        <v>30dc2f4b-0b11-4bdc-a05e-da3b7d605529</v>
      </c>
      <c r="I915" s="10" t="str">
        <f>IFERROR(__xludf.DUMMYFUNCTION("""COMPUTED_VALUE"""),"30dc2f4b-0b11-4bdc-a05e-da3b7d605529")</f>
        <v>30dc2f4b-0b11-4bdc-a05e-da3b7d605529</v>
      </c>
    </row>
    <row r="916">
      <c r="A916" s="10" t="str">
        <f>IFERROR(__xludf.DUMMYFUNCTION("""COMPUTED_VALUE"""),"How to build a successful marketplace: The Fairygodboss story")</f>
        <v>How to build a successful marketplace: The Fairygodboss story</v>
      </c>
      <c r="B916" s="10" t="str">
        <f>IFERROR(__xludf.DUMMYFUNCTION("""COMPUTED_VALUE"""),"Every marketplace business needs to think about how to equilibrate supply and demand and how to balance resource allocation to each. CEO and co-founder of Fairygodboss, Georgene, will explain why servicing demand simultaneously, while building supply, has"&amp;" had major strategic advantages for her company.")</f>
        <v>Every marketplace business needs to think about how to equilibrate supply and demand and how to balance resource allocation to each. CEO and co-founder of Fairygodboss, Georgene, will explain why servicing demand simultaneously, while building supply, has had major strategic advantages for her company.</v>
      </c>
      <c r="C916" s="10" t="str">
        <f>IFERROR(__xludf.DUMMYFUNCTION("""COMPUTED_VALUE"""),"Growth Summit")</f>
        <v>Growth Summit</v>
      </c>
      <c r="D916" s="10" t="str">
        <f>IFERROR(__xludf.DUMMYFUNCTION("""COMPUTED_VALUE"""),"Georgene Huang")</f>
        <v>Georgene Huang</v>
      </c>
      <c r="E916" s="10" t="str">
        <f>IFERROR(__xludf.DUMMYFUNCTION("""COMPUTED_VALUE"""),"Georgene Huang")</f>
        <v>Georgene Huang</v>
      </c>
      <c r="F916" s="10" t="str">
        <f>IFERROR(__xludf.DUMMYFUNCTION("""COMPUTED_VALUE"""),"2019/11/07 13:03:00")</f>
        <v>2019/11/07 13:03:00</v>
      </c>
      <c r="G916" s="10" t="str">
        <f>IFERROR(__xludf.DUMMYFUNCTION("""COMPUTED_VALUE"""),"2019/11/07 13:14:00")</f>
        <v>2019/11/07 13:14:00</v>
      </c>
      <c r="H916" s="10" t="str">
        <f>IFERROR(__xludf.DUMMYFUNCTION("""COMPUTED_VALUE"""),"4bc10051-3927-412f-be5b-8fb50fec22af")</f>
        <v>4bc10051-3927-412f-be5b-8fb50fec22af</v>
      </c>
      <c r="I916" s="10" t="str">
        <f>IFERROR(__xludf.DUMMYFUNCTION("""COMPUTED_VALUE"""),"4bc10051-3927-412f-be5b-8fb50fec22af")</f>
        <v>4bc10051-3927-412f-be5b-8fb50fec22af</v>
      </c>
    </row>
    <row r="917">
      <c r="A917" s="10" t="str">
        <f>IFERROR(__xludf.DUMMYFUNCTION("""COMPUTED_VALUE"""),"How to solve our human problems")</f>
        <v>How to solve our human problems</v>
      </c>
      <c r="B917" s="10" t="str">
        <f>IFERROR(__xludf.DUMMYFUNCTION("""COMPUTED_VALUE"""),"In this talk, Stuart — indie maverick and lead singer for Belle and Sebastian — will discuss new projects, the creative process, live shows, film, writing and the evolving role of the musical artist in 2019. Stuart will be joined on stage by the inspirati"&amp;"onal driving force behind the creative services department at Red Light Management, Laura Taylor.")</f>
        <v>In this talk, Stuart — indie maverick and lead singer for Belle and Sebastian — will discuss new projects, the creative process, live shows, film, writing and the evolving role of the musical artist in 2019. Stuart will be joined on stage by the inspirational driving force behind the creative services department at Red Light Management, Laura Taylor.</v>
      </c>
      <c r="C917" s="10" t="str">
        <f>IFERROR(__xludf.DUMMYFUNCTION("""COMPUTED_VALUE"""),"MusicNotes")</f>
        <v>MusicNotes</v>
      </c>
      <c r="D917" s="10" t="str">
        <f>IFERROR(__xludf.DUMMYFUNCTION("""COMPUTED_VALUE"""),"Stuart Murdoch, Laura Taylor and Mark Savage")</f>
        <v>Stuart Murdoch, Laura Taylor and Mark Savage</v>
      </c>
      <c r="E917" s="10" t="str">
        <f>IFERROR(__xludf.DUMMYFUNCTION("""COMPUTED_VALUE"""),"Stuart Murdoch,Laura Taylor,Mark Savage")</f>
        <v>Stuart Murdoch,Laura Taylor,Mark Savage</v>
      </c>
      <c r="F917" s="10" t="str">
        <f>IFERROR(__xludf.DUMMYFUNCTION("""COMPUTED_VALUE"""),"2019/11/07 14:40:00")</f>
        <v>2019/11/07 14:40:00</v>
      </c>
      <c r="G917" s="10" t="str">
        <f>IFERROR(__xludf.DUMMYFUNCTION("""COMPUTED_VALUE"""),"2019/11/07 15:00:00")</f>
        <v>2019/11/07 15:00:00</v>
      </c>
      <c r="H917" s="10" t="str">
        <f>IFERROR(__xludf.DUMMYFUNCTION("""COMPUTED_VALUE"""),"d5773870-1697-4da5-b1ce-8788fb0ed697")</f>
        <v>d5773870-1697-4da5-b1ce-8788fb0ed697</v>
      </c>
      <c r="I917" s="10" t="str">
        <f>IFERROR(__xludf.DUMMYFUNCTION("""COMPUTED_VALUE"""),"d5773870-1697-4da5-b1ce-8788fb0ed697")</f>
        <v>d5773870-1697-4da5-b1ce-8788fb0ed697</v>
      </c>
    </row>
    <row r="918">
      <c r="A918" s="10" t="str">
        <f>IFERROR(__xludf.DUMMYFUNCTION("""COMPUTED_VALUE"""),"Next level car ownership or how to tap a future mass market")</f>
        <v>Next level car ownership or how to tap a future mass market</v>
      </c>
      <c r="B918" s="10" t="str">
        <f>IFERROR(__xludf.DUMMYFUNCTION("""COMPUTED_VALUE"""),"Digital car subscriptions turn one-time buyers into recurring sources of revenue and capitalise on a seismic shift in the demand for individual and flexible mobility. The key to growth lies in turning owners into subscribers as well as anticipating and re"&amp;"sponding to the fast changing mobility needs of a future mass market.")</f>
        <v>Digital car subscriptions turn one-time buyers into recurring sources of revenue and capitalise on a seismic shift in the demand for individual and flexible mobility. The key to growth lies in turning owners into subscribers as well as anticipating and responding to the fast changing mobility needs of a future mass market.</v>
      </c>
      <c r="C918" s="10" t="str">
        <f>IFERROR(__xludf.DUMMYFUNCTION("""COMPUTED_VALUE"""),"Growth Summit")</f>
        <v>Growth Summit</v>
      </c>
      <c r="D918" s="10" t="str">
        <f>IFERROR(__xludf.DUMMYFUNCTION("""COMPUTED_VALUE"""),"Nico Polleti")</f>
        <v>Nico Polleti</v>
      </c>
      <c r="E918" s="10" t="str">
        <f>IFERROR(__xludf.DUMMYFUNCTION("""COMPUTED_VALUE"""),"Nico Polleti")</f>
        <v>Nico Polleti</v>
      </c>
      <c r="F918" s="10" t="str">
        <f>IFERROR(__xludf.DUMMYFUNCTION("""COMPUTED_VALUE"""),"2019/11/07 13:25:00")</f>
        <v>2019/11/07 13:25:00</v>
      </c>
      <c r="G918" s="10" t="str">
        <f>IFERROR(__xludf.DUMMYFUNCTION("""COMPUTED_VALUE"""),"2019/11/07 13:36:00")</f>
        <v>2019/11/07 13:36:00</v>
      </c>
      <c r="H918" s="10" t="str">
        <f>IFERROR(__xludf.DUMMYFUNCTION("""COMPUTED_VALUE"""),"86373d52-bc38-4724-9f55-61cb9eb03542")</f>
        <v>86373d52-bc38-4724-9f55-61cb9eb03542</v>
      </c>
      <c r="I918" s="10" t="str">
        <f>IFERROR(__xludf.DUMMYFUNCTION("""COMPUTED_VALUE"""),"86373d52-bc38-4724-9f55-61cb9eb03542")</f>
        <v>86373d52-bc38-4724-9f55-61cb9eb03542</v>
      </c>
    </row>
    <row r="919">
      <c r="A919" s="10" t="str">
        <f>IFERROR(__xludf.DUMMYFUNCTION("""COMPUTED_VALUE"""),"Doing business in Europe: How can the EU help? Hosted by European Commission")</f>
        <v>Doing business in Europe: How can the EU help? Hosted by European Commission</v>
      </c>
      <c r="B919" s="10" t="str">
        <f>IFERROR(__xludf.DUMMYFUNCTION("""COMPUTED_VALUE"""),"What is 25 years old, European, free and single? The EU single market of 500 million customers! In this interactive workshop you will be able to get first-hand, practical information on how the EU helps startups thrive across Europe and beyond - from acce"&amp;"ss to finance, and partnerships to legislation. You will also be able to tell us what your biggest challenges are when scaling up and running a business across the EU. You can also come to see us at the EU stand.")</f>
        <v>What is 25 years old, European, free and single? The EU single market of 500 million customers! In this interactive workshop you will be able to get first-hand, practical information on how the EU helps startups thrive across Europe and beyond - from access to finance, and partnerships to legislation. You will also be able to tell us what your biggest challenges are when scaling up and running a business across the EU. You can also come to see us at the EU stand.</v>
      </c>
      <c r="C919" s="10" t="str">
        <f>IFERROR(__xludf.DUMMYFUNCTION("""COMPUTED_VALUE"""),"Workshop 2")</f>
        <v>Workshop 2</v>
      </c>
      <c r="D919" s="10" t="str">
        <f>IFERROR(__xludf.DUMMYFUNCTION("""COMPUTED_VALUE"""),"")</f>
        <v/>
      </c>
      <c r="E919" s="10" t="str">
        <f>IFERROR(__xludf.DUMMYFUNCTION("""COMPUTED_VALUE"""),"")</f>
        <v/>
      </c>
      <c r="F919" s="10" t="str">
        <f>IFERROR(__xludf.DUMMYFUNCTION("""COMPUTED_VALUE"""),"2019/11/05 12:00:00")</f>
        <v>2019/11/05 12:00:00</v>
      </c>
      <c r="G919" s="10" t="str">
        <f>IFERROR(__xludf.DUMMYFUNCTION("""COMPUTED_VALUE"""),"2019/11/05 12:45:00")</f>
        <v>2019/11/05 12:45:00</v>
      </c>
      <c r="H919" s="10" t="str">
        <f>IFERROR(__xludf.DUMMYFUNCTION("""COMPUTED_VALUE"""),"2539adad-ef92-40f7-a5a3-8c0614fe67e3")</f>
        <v>2539adad-ef92-40f7-a5a3-8c0614fe67e3</v>
      </c>
      <c r="I919" s="10" t="str">
        <f>IFERROR(__xludf.DUMMYFUNCTION("""COMPUTED_VALUE"""),"2539adad-ef92-40f7-a5a3-8c0614fe67e3")</f>
        <v>2539adad-ef92-40f7-a5a3-8c0614fe67e3</v>
      </c>
    </row>
    <row r="920">
      <c r="A920" s="10" t="str">
        <f>IFERROR(__xludf.DUMMYFUNCTION("""COMPUTED_VALUE"""),"Where I am putting my money this year")</f>
        <v>Where I am putting my money this year</v>
      </c>
      <c r="B920" s="10" t="str">
        <f>IFERROR(__xludf.DUMMYFUNCTION("""COMPUTED_VALUE"""),"The world's leading trend-spotting VCs separate fact from fiction and reveal what deals, wins and busts they're forecasting for 2020")</f>
        <v>The world's leading trend-spotting VCs separate fact from fiction and reveal what deals, wins and busts they're forecasting for 2020</v>
      </c>
      <c r="C920" s="10" t="str">
        <f>IFERROR(__xludf.DUMMYFUNCTION("""COMPUTED_VALUE"""),"Centre Stage")</f>
        <v>Centre Stage</v>
      </c>
      <c r="D920" s="10" t="str">
        <f>IFERROR(__xludf.DUMMYFUNCTION("""COMPUTED_VALUE"""),"Pär-Jörgen Pärson, Bradley Twohig, Rashmi Gopinath and Felix Salmon")</f>
        <v>Pär-Jörgen Pärson, Bradley Twohig, Rashmi Gopinath and Felix Salmon</v>
      </c>
      <c r="E920" s="10" t="str">
        <f>IFERROR(__xludf.DUMMYFUNCTION("""COMPUTED_VALUE"""),"Pär-Jörgen Pärson,Bradley Twohig,Rashmi Gopinath,Felix Salmon")</f>
        <v>Pär-Jörgen Pärson,Bradley Twohig,Rashmi Gopinath,Felix Salmon</v>
      </c>
      <c r="F920" s="10" t="str">
        <f>IFERROR(__xludf.DUMMYFUNCTION("""COMPUTED_VALUE"""),"2019/11/06 11:25:00")</f>
        <v>2019/11/06 11:25:00</v>
      </c>
      <c r="G920" s="10" t="str">
        <f>IFERROR(__xludf.DUMMYFUNCTION("""COMPUTED_VALUE"""),"2019/11/06 11:45:00")</f>
        <v>2019/11/06 11:45:00</v>
      </c>
      <c r="H920" s="10" t="str">
        <f>IFERROR(__xludf.DUMMYFUNCTION("""COMPUTED_VALUE"""),"03635554-751f-4ad7-95ea-05f9e587b0b8")</f>
        <v>03635554-751f-4ad7-95ea-05f9e587b0b8</v>
      </c>
      <c r="I920" s="10" t="str">
        <f>IFERROR(__xludf.DUMMYFUNCTION("""COMPUTED_VALUE"""),"03635554-751f-4ad7-95ea-05f9e587b0b8")</f>
        <v>03635554-751f-4ad7-95ea-05f9e587b0b8</v>
      </c>
    </row>
    <row r="921">
      <c r="A921" s="10" t="str">
        <f>IFERROR(__xludf.DUMMYFUNCTION("""COMPUTED_VALUE"""),"The evolution of currency")</f>
        <v>The evolution of currency</v>
      </c>
      <c r="B921" s="10" t="str">
        <f>IFERROR(__xludf.DUMMYFUNCTION("""COMPUTED_VALUE"""),"As society hurtles towards a cashless future, we'll discuss the privacy implications and ask ourselves whether we're really ready to eliminate cash altogether. 
")</f>
        <v>As society hurtles towards a cashless future, we'll discuss the privacy implications and ask ourselves whether we're really ready to eliminate cash altogether. 
</v>
      </c>
      <c r="C921" s="10" t="str">
        <f>IFERROR(__xludf.DUMMYFUNCTION("""COMPUTED_VALUE"""),"DeepTech")</f>
        <v>DeepTech</v>
      </c>
      <c r="D921" s="10" t="str">
        <f>IFERROR(__xludf.DUMMYFUNCTION("""COMPUTED_VALUE"""),"David Chaum")</f>
        <v>David Chaum</v>
      </c>
      <c r="E921" s="10" t="str">
        <f>IFERROR(__xludf.DUMMYFUNCTION("""COMPUTED_VALUE"""),"David Chaum")</f>
        <v>David Chaum</v>
      </c>
      <c r="F921" s="10" t="str">
        <f>IFERROR(__xludf.DUMMYFUNCTION("""COMPUTED_VALUE"""),"2019/11/06 12:35:00")</f>
        <v>2019/11/06 12:35:00</v>
      </c>
      <c r="G921" s="10" t="str">
        <f>IFERROR(__xludf.DUMMYFUNCTION("""COMPUTED_VALUE"""),"2019/11/06 12:55:00")</f>
        <v>2019/11/06 12:55:00</v>
      </c>
      <c r="H921" s="10" t="str">
        <f>IFERROR(__xludf.DUMMYFUNCTION("""COMPUTED_VALUE"""),"ebf971a5-06c6-45f3-9d82-04babddc96c9")</f>
        <v>ebf971a5-06c6-45f3-9d82-04babddc96c9</v>
      </c>
      <c r="I921" s="10" t="str">
        <f>IFERROR(__xludf.DUMMYFUNCTION("""COMPUTED_VALUE"""),"ebf971a5-06c6-45f3-9d82-04babddc96c9")</f>
        <v>ebf971a5-06c6-45f3-9d82-04babddc96c9</v>
      </c>
    </row>
    <row r="922">
      <c r="A922" s="10" t="str">
        <f>IFERROR(__xludf.DUMMYFUNCTION("""COMPUTED_VALUE"""),"PITCH group round 10
")</f>
        <v>PITCH group round 10
</v>
      </c>
      <c r="B922" s="10" t="str">
        <f>IFERROR(__xludf.DUMMYFUNCTION("""COMPUTED_VALUE"""),"")</f>
        <v/>
      </c>
      <c r="C922" s="10" t="str">
        <f>IFERROR(__xludf.DUMMYFUNCTION("""COMPUTED_VALUE"""),"")</f>
        <v/>
      </c>
      <c r="D922" s="10" t="str">
        <f>IFERROR(__xludf.DUMMYFUNCTION("""COMPUTED_VALUE"""),"Sander Geels
Curtis MacDonald
Jim Hunter
Raúl Saraiva
Soulama Sakar
Benjamin Gareis
Kevin Feeney
Simon Puleston Jones
Leila Lech")</f>
        <v>Sander Geels
Curtis MacDonald
Jim Hunter
Raúl Saraiva
Soulama Sakar
Benjamin Gareis
Kevin Feeney
Simon Puleston Jones
Leila Lech</v>
      </c>
      <c r="E922" s="10" t="str">
        <f>IFERROR(__xludf.DUMMYFUNCTION("""COMPUTED_VALUE"""),"Sander Geels
Curtis MacDonald
Jim Hunter
Raúl Saraiva
Soulama Sakar
Benjamin Gareis
Kevin Feeney
Simon Puleston Jones
Leila Lech")</f>
        <v>Sander Geels
Curtis MacDonald
Jim Hunter
Raúl Saraiva
Soulama Sakar
Benjamin Gareis
Kevin Feeney
Simon Puleston Jones
Leila Lech</v>
      </c>
      <c r="F922" s="10" t="str">
        <f>IFERROR(__xludf.DUMMYFUNCTION("""COMPUTED_VALUE"""),"")</f>
        <v/>
      </c>
      <c r="G922" s="10" t="str">
        <f>IFERROR(__xludf.DUMMYFUNCTION("""COMPUTED_VALUE"""),"")</f>
        <v/>
      </c>
      <c r="H922" s="10" t="str">
        <f>IFERROR(__xludf.DUMMYFUNCTION("""COMPUTED_VALUE"""),"a1814105-fc18-5397-99a5-6286089b7cac")</f>
        <v>a1814105-fc18-5397-99a5-6286089b7cac</v>
      </c>
      <c r="I922" s="10" t="str">
        <f>IFERROR(__xludf.DUMMYFUNCTION("""COMPUTED_VALUE"""),"a1814105-fc18-5397-99a5-6286089b7cac")</f>
        <v>a1814105-fc18-5397-99a5-6286089b7cac</v>
      </c>
    </row>
    <row r="923">
      <c r="A923" s="10" t="str">
        <f>IFERROR(__xludf.DUMMYFUNCTION("""COMPUTED_VALUE"""),"Featured venue: Bar Mercearia Tosca")</f>
        <v>Featured venue: Bar Mercearia Tosca</v>
      </c>
      <c r="B923" s="10" t="str">
        <f>IFERROR(__xludf.DUMMYFUNCTION("""COMPUTED_VALUE"""),"")</f>
        <v/>
      </c>
      <c r="C923" s="10" t="str">
        <f>IFERROR(__xludf.DUMMYFUNCTION("""COMPUTED_VALUE"""),"Bar Mercearia Tosca")</f>
        <v>Bar Mercearia Tosca</v>
      </c>
      <c r="D923" s="10" t="str">
        <f>IFERROR(__xludf.DUMMYFUNCTION("""COMPUTED_VALUE"""),"")</f>
        <v/>
      </c>
      <c r="E923" s="10" t="str">
        <f>IFERROR(__xludf.DUMMYFUNCTION("""COMPUTED_VALUE"""),"")</f>
        <v/>
      </c>
      <c r="F923" s="10" t="str">
        <f>IFERROR(__xludf.DUMMYFUNCTION("""COMPUTED_VALUE"""),"2019/11/05 20:00:00")</f>
        <v>2019/11/05 20:00:00</v>
      </c>
      <c r="G923" s="10" t="str">
        <f>IFERROR(__xludf.DUMMYFUNCTION("""COMPUTED_VALUE"""),"2019/11/06 00:00:00")</f>
        <v>2019/11/06 00:00:00</v>
      </c>
      <c r="H923" s="10" t="str">
        <f>IFERROR(__xludf.DUMMYFUNCTION("""COMPUTED_VALUE"""),"d8714472-d420-4ab2-9f2c-181db561f3c1")</f>
        <v>d8714472-d420-4ab2-9f2c-181db561f3c1</v>
      </c>
      <c r="I923" s="10" t="str">
        <f>IFERROR(__xludf.DUMMYFUNCTION("""COMPUTED_VALUE"""),"d8714472-d420-4ab2-9f2c-181db561f3c1")</f>
        <v>d8714472-d420-4ab2-9f2c-181db561f3c1</v>
      </c>
    </row>
    <row r="924">
      <c r="A924" s="10" t="str">
        <f>IFERROR(__xludf.DUMMYFUNCTION("""COMPUTED_VALUE"""),"How to fund a startup with unorthodox strategies")</f>
        <v>How to fund a startup with unorthodox strategies</v>
      </c>
      <c r="B924" s="10" t="str">
        <f>IFERROR(__xludf.DUMMYFUNCTION("""COMPUTED_VALUE"""),"CEO of Boostmi, Michael discusses how to fund a startup with unorthodox strategies.")</f>
        <v>CEO of Boostmi, Michael discusses how to fund a startup with unorthodox strategies.</v>
      </c>
      <c r="C924" s="10" t="str">
        <f>IFERROR(__xludf.DUMMYFUNCTION("""COMPUTED_VALUE"""),"Growth Summit")</f>
        <v>Growth Summit</v>
      </c>
      <c r="D924" s="10" t="str">
        <f>IFERROR(__xludf.DUMMYFUNCTION("""COMPUTED_VALUE"""),"Michael Bibeau")</f>
        <v>Michael Bibeau</v>
      </c>
      <c r="E924" s="10" t="str">
        <f>IFERROR(__xludf.DUMMYFUNCTION("""COMPUTED_VALUE"""),"Michael Bibeau")</f>
        <v>Michael Bibeau</v>
      </c>
      <c r="F924" s="10" t="str">
        <f>IFERROR(__xludf.DUMMYFUNCTION("""COMPUTED_VALUE"""),"2019/11/06 10:06:00")</f>
        <v>2019/11/06 10:06:00</v>
      </c>
      <c r="G924" s="10" t="str">
        <f>IFERROR(__xludf.DUMMYFUNCTION("""COMPUTED_VALUE"""),"2019/11/06 10:10:00")</f>
        <v>2019/11/06 10:10:00</v>
      </c>
      <c r="H924" s="10" t="str">
        <f>IFERROR(__xludf.DUMMYFUNCTION("""COMPUTED_VALUE"""),"fe4689dd-6808-4d9b-8460-9e37ff642d77")</f>
        <v>fe4689dd-6808-4d9b-8460-9e37ff642d77</v>
      </c>
      <c r="I924" s="10" t="str">
        <f>IFERROR(__xludf.DUMMYFUNCTION("""COMPUTED_VALUE"""),"fe4689dd-6808-4d9b-8460-9e37ff642d77")</f>
        <v>fe4689dd-6808-4d9b-8460-9e37ff642d77</v>
      </c>
    </row>
    <row r="925">
      <c r="A925" s="10" t="str">
        <f>IFERROR(__xludf.DUMMYFUNCTION("""COMPUTED_VALUE"""),"Riding a quantum computing wave ")</f>
        <v>Riding a quantum computing wave </v>
      </c>
      <c r="B925" s="10" t="str">
        <f>IFERROR(__xludf.DUMMYFUNCTION("""COMPUTED_VALUE"""),"Innovation in quantum computing technology and increased cloud access have enabled a new era of quantum application development. D-Wave customers have built over 150 early quantum applications to date, with use cases in fields ranging from automotive to f"&amp;"inance to manufacturing. Practical quantum computing is not as far off as many think, and we're starting to see quantum pioneers emerge in a number of industries. ")</f>
        <v>Innovation in quantum computing technology and increased cloud access have enabled a new era of quantum application development. D-Wave customers have built over 150 early quantum applications to date, with use cases in fields ranging from automotive to finance to manufacturing. Practical quantum computing is not as far off as many think, and we're starting to see quantum pioneers emerge in a number of industries. </v>
      </c>
      <c r="C925" s="10" t="str">
        <f>IFERROR(__xludf.DUMMYFUNCTION("""COMPUTED_VALUE"""),"FullSTK")</f>
        <v>FullSTK</v>
      </c>
      <c r="D925" s="10" t="str">
        <f>IFERROR(__xludf.DUMMYFUNCTION("""COMPUTED_VALUE"""),"Vern Brownell")</f>
        <v>Vern Brownell</v>
      </c>
      <c r="E925" s="10" t="str">
        <f>IFERROR(__xludf.DUMMYFUNCTION("""COMPUTED_VALUE"""),"Vern Brownell")</f>
        <v>Vern Brownell</v>
      </c>
      <c r="F925" s="10" t="str">
        <f>IFERROR(__xludf.DUMMYFUNCTION("""COMPUTED_VALUE"""),"2019/11/07 14:15:00")</f>
        <v>2019/11/07 14:15:00</v>
      </c>
      <c r="G925" s="10" t="str">
        <f>IFERROR(__xludf.DUMMYFUNCTION("""COMPUTED_VALUE"""),"2019/11/07 14:35:00")</f>
        <v>2019/11/07 14:35:00</v>
      </c>
      <c r="H925" s="10" t="str">
        <f>IFERROR(__xludf.DUMMYFUNCTION("""COMPUTED_VALUE"""),"24efa3bb-38f7-4748-9be0-4c8bc3ac0fe2")</f>
        <v>24efa3bb-38f7-4748-9be0-4c8bc3ac0fe2</v>
      </c>
      <c r="I925" s="10" t="str">
        <f>IFERROR(__xludf.DUMMYFUNCTION("""COMPUTED_VALUE"""),"24efa3bb-38f7-4748-9be0-4c8bc3ac0fe2")</f>
        <v>24efa3bb-38f7-4748-9be0-4c8bc3ac0fe2</v>
      </c>
    </row>
    <row r="926">
      <c r="A926" s="10" t="str">
        <f>IFERROR(__xludf.DUMMYFUNCTION("""COMPUTED_VALUE"""),"Building the next great ad empire")</f>
        <v>Building the next great ad empire</v>
      </c>
      <c r="B926" s="10" t="str">
        <f>IFERROR(__xludf.DUMMYFUNCTION("""COMPUTED_VALUE"""),"One of the most prominent names in the advertising industry outlines his big vision for the industry.")</f>
        <v>One of the most prominent names in the advertising industry outlines his big vision for the industry.</v>
      </c>
      <c r="C926" s="10" t="str">
        <f>IFERROR(__xludf.DUMMYFUNCTION("""COMPUTED_VALUE"""),"Centre Stage")</f>
        <v>Centre Stage</v>
      </c>
      <c r="D926" s="10" t="str">
        <f>IFERROR(__xludf.DUMMYFUNCTION("""COMPUTED_VALUE"""),"Sir Martin Sorrell and Charlie Warzel")</f>
        <v>Sir Martin Sorrell and Charlie Warzel</v>
      </c>
      <c r="E926" s="10" t="str">
        <f>IFERROR(__xludf.DUMMYFUNCTION("""COMPUTED_VALUE"""),"Sir Martin Sorrell,Charlie Warzel")</f>
        <v>Sir Martin Sorrell,Charlie Warzel</v>
      </c>
      <c r="F926" s="10" t="str">
        <f>IFERROR(__xludf.DUMMYFUNCTION("""COMPUTED_VALUE"""),"2019/11/07 10:30:00")</f>
        <v>2019/11/07 10:30:00</v>
      </c>
      <c r="G926" s="10" t="str">
        <f>IFERROR(__xludf.DUMMYFUNCTION("""COMPUTED_VALUE"""),"2019/11/07 10:50:00")</f>
        <v>2019/11/07 10:50:00</v>
      </c>
      <c r="H926" s="10" t="str">
        <f>IFERROR(__xludf.DUMMYFUNCTION("""COMPUTED_VALUE"""),"67c90a7b-7186-49b5-bfc4-51986b98c4ff")</f>
        <v>67c90a7b-7186-49b5-bfc4-51986b98c4ff</v>
      </c>
      <c r="I926" s="10" t="str">
        <f>IFERROR(__xludf.DUMMYFUNCTION("""COMPUTED_VALUE"""),"67c90a7b-7186-49b5-bfc4-51986b98c4ff")</f>
        <v>67c90a7b-7186-49b5-bfc4-51986b98c4ff</v>
      </c>
    </row>
    <row r="927">
      <c r="A927" s="10" t="str">
        <f>IFERROR(__xludf.DUMMYFUNCTION("""COMPUTED_VALUE"""),"The end game: Making purpose real")</f>
        <v>The end game: Making purpose real</v>
      </c>
      <c r="B927" s="10" t="str">
        <f>IFERROR(__xludf.DUMMYFUNCTION("""COMPUTED_VALUE"""),"Companies love to say that they have a purpose beyond making profits. In reality, it's rarely true. We are now at a defining moment where to thrive long term, companies will need to leverage the true power of purpose.")</f>
        <v>Companies love to say that they have a purpose beyond making profits. In reality, it's rarely true. We are now at a defining moment where to thrive long term, companies will need to leverage the true power of purpose.</v>
      </c>
      <c r="C927" s="10" t="str">
        <f>IFERROR(__xludf.DUMMYFUNCTION("""COMPUTED_VALUE"""),"PandaConf")</f>
        <v>PandaConf</v>
      </c>
      <c r="D927" s="10" t="str">
        <f>IFERROR(__xludf.DUMMYFUNCTION("""COMPUTED_VALUE"""),"Frank Cooper")</f>
        <v>Frank Cooper</v>
      </c>
      <c r="E927" s="10" t="str">
        <f>IFERROR(__xludf.DUMMYFUNCTION("""COMPUTED_VALUE"""),"Frank Cooper")</f>
        <v>Frank Cooper</v>
      </c>
      <c r="F927" s="10" t="str">
        <f>IFERROR(__xludf.DUMMYFUNCTION("""COMPUTED_VALUE"""),"2019/11/06 13:40:00")</f>
        <v>2019/11/06 13:40:00</v>
      </c>
      <c r="G927" s="10" t="str">
        <f>IFERROR(__xludf.DUMMYFUNCTION("""COMPUTED_VALUE"""),"2019/11/06 14:00:00")</f>
        <v>2019/11/06 14:00:00</v>
      </c>
      <c r="H927" s="10" t="str">
        <f>IFERROR(__xludf.DUMMYFUNCTION("""COMPUTED_VALUE"""),"636226aa-a8ed-4f7f-a372-8195bc940c39")</f>
        <v>636226aa-a8ed-4f7f-a372-8195bc940c39</v>
      </c>
      <c r="I927" s="10" t="str">
        <f>IFERROR(__xludf.DUMMYFUNCTION("""COMPUTED_VALUE"""),"636226aa-a8ed-4f7f-a372-8195bc940c39")</f>
        <v>636226aa-a8ed-4f7f-a372-8195bc940c39</v>
      </c>
    </row>
    <row r="928">
      <c r="A928" s="10" t="str">
        <f>IFERROR(__xludf.DUMMYFUNCTION("""COMPUTED_VALUE"""),"Equity for media – a winning investment model?")</f>
        <v>Equity for media – a winning investment model?</v>
      </c>
      <c r="B928" s="10" t="str">
        <f>IFERROR(__xludf.DUMMYFUNCTION("""COMPUTED_VALUE"""),"Channel 4’s growth fund has a simple investment thesis. Hear C4's  insights about the equity for media investment model and some of their successful bets. This is a must for any seed or Series A-D founders.")</f>
        <v>Channel 4’s growth fund has a simple investment thesis. Hear C4's  insights about the equity for media investment model and some of their successful bets. This is a must for any seed or Series A-D founders.</v>
      </c>
      <c r="C928" s="10" t="str">
        <f>IFERROR(__xludf.DUMMYFUNCTION("""COMPUTED_VALUE"""),"Startup University")</f>
        <v>Startup University</v>
      </c>
      <c r="D928" s="10" t="str">
        <f>IFERROR(__xludf.DUMMYFUNCTION("""COMPUTED_VALUE"""),"Vinay Solanki and Gareth Hickey")</f>
        <v>Vinay Solanki and Gareth Hickey</v>
      </c>
      <c r="E928" s="10" t="str">
        <f>IFERROR(__xludf.DUMMYFUNCTION("""COMPUTED_VALUE"""),"Vinay Solanki,Gareth Hickey")</f>
        <v>Vinay Solanki,Gareth Hickey</v>
      </c>
      <c r="F928" s="10" t="str">
        <f>IFERROR(__xludf.DUMMYFUNCTION("""COMPUTED_VALUE"""),"2019/11/06 14:55:00")</f>
        <v>2019/11/06 14:55:00</v>
      </c>
      <c r="G928" s="10" t="str">
        <f>IFERROR(__xludf.DUMMYFUNCTION("""COMPUTED_VALUE"""),"2019/11/06 15:15:00")</f>
        <v>2019/11/06 15:15:00</v>
      </c>
      <c r="H928" s="10" t="str">
        <f>IFERROR(__xludf.DUMMYFUNCTION("""COMPUTED_VALUE"""),"2cfe348f-e3bb-4ade-8415-fa98e5153868")</f>
        <v>2cfe348f-e3bb-4ade-8415-fa98e5153868</v>
      </c>
      <c r="I928" s="10" t="str">
        <f>IFERROR(__xludf.DUMMYFUNCTION("""COMPUTED_VALUE"""),"2cfe348f-e3bb-4ade-8415-fa98e5153868")</f>
        <v>2cfe348f-e3bb-4ade-8415-fa98e5153868</v>
      </c>
    </row>
    <row r="929">
      <c r="A929" s="10" t="str">
        <f>IFERROR(__xludf.DUMMYFUNCTION("""COMPUTED_VALUE"""),"Opening remarks")</f>
        <v>Opening remarks</v>
      </c>
      <c r="B929" s="10" t="str">
        <f>IFERROR(__xludf.DUMMYFUNCTION("""COMPUTED_VALUE"""),"")</f>
        <v/>
      </c>
      <c r="C929" s="10" t="str">
        <f>IFERROR(__xludf.DUMMYFUNCTION("""COMPUTED_VALUE"""),"ContentMakers")</f>
        <v>ContentMakers</v>
      </c>
      <c r="D929" s="10" t="str">
        <f>IFERROR(__xludf.DUMMYFUNCTION("""COMPUTED_VALUE"""),"Keaton Keller")</f>
        <v>Keaton Keller</v>
      </c>
      <c r="E929" s="10" t="str">
        <f>IFERROR(__xludf.DUMMYFUNCTION("""COMPUTED_VALUE"""),"Keaton Keller")</f>
        <v>Keaton Keller</v>
      </c>
      <c r="F929" s="10" t="str">
        <f>IFERROR(__xludf.DUMMYFUNCTION("""COMPUTED_VALUE"""),"2019/11/06 14:00:00")</f>
        <v>2019/11/06 14:00:00</v>
      </c>
      <c r="G929" s="10" t="str">
        <f>IFERROR(__xludf.DUMMYFUNCTION("""COMPUTED_VALUE"""),"2019/11/06 14:15:00")</f>
        <v>2019/11/06 14:15:00</v>
      </c>
      <c r="H929" s="10" t="str">
        <f>IFERROR(__xludf.DUMMYFUNCTION("""COMPUTED_VALUE"""),"32aa3726-5c2e-433c-a030-4523421597bd")</f>
        <v>32aa3726-5c2e-433c-a030-4523421597bd</v>
      </c>
      <c r="I929" s="10" t="str">
        <f>IFERROR(__xludf.DUMMYFUNCTION("""COMPUTED_VALUE"""),"32aa3726-5c2e-433c-a030-4523421597bd")</f>
        <v>32aa3726-5c2e-433c-a030-4523421597bd</v>
      </c>
    </row>
    <row r="930">
      <c r="A930" s="10" t="str">
        <f>IFERROR(__xludf.DUMMYFUNCTION("""COMPUTED_VALUE"""),"Reframing inclusive growth")</f>
        <v>Reframing inclusive growth</v>
      </c>
      <c r="B930" s="10" t="str">
        <f>IFERROR(__xludf.DUMMYFUNCTION("""COMPUTED_VALUE"""),"As we strive for economic prosperity, it's important to ensure no one gets left behind. This talk will bring together pivotal players in economic development to discuss the key to optimising social inclusion, productivity and innovation leading to stronge"&amp;"r economic integration. ")</f>
        <v>As we strive for economic prosperity, it's important to ensure no one gets left behind. This talk will bring together pivotal players in economic development to discuss the key to optimising social inclusion, productivity and innovation leading to stronger economic integration. </v>
      </c>
      <c r="C930" s="10" t="str">
        <f>IFERROR(__xludf.DUMMYFUNCTION("""COMPUTED_VALUE"""),"Corporate Innovation Summit")</f>
        <v>Corporate Innovation Summit</v>
      </c>
      <c r="D930" s="10" t="str">
        <f>IFERROR(__xludf.DUMMYFUNCTION("""COMPUTED_VALUE"""),"Ambroise Fayolle, Juliano Seabra and Diogo Sousa")</f>
        <v>Ambroise Fayolle, Juliano Seabra and Diogo Sousa</v>
      </c>
      <c r="E930" s="10" t="str">
        <f>IFERROR(__xludf.DUMMYFUNCTION("""COMPUTED_VALUE"""),"Ambroise Fayolle,Juliano Seabra,Diogo Sousa")</f>
        <v>Ambroise Fayolle,Juliano Seabra,Diogo Sousa</v>
      </c>
      <c r="F930" s="10" t="str">
        <f>IFERROR(__xludf.DUMMYFUNCTION("""COMPUTED_VALUE"""),"2019/11/06 12:05:00")</f>
        <v>2019/11/06 12:05:00</v>
      </c>
      <c r="G930" s="10" t="str">
        <f>IFERROR(__xludf.DUMMYFUNCTION("""COMPUTED_VALUE"""),"2019/11/06 12:25:00")</f>
        <v>2019/11/06 12:25:00</v>
      </c>
      <c r="H930" s="10" t="str">
        <f>IFERROR(__xludf.DUMMYFUNCTION("""COMPUTED_VALUE"""),"dc90930a-ffb0-4920-9720-dd2ce39a0b4a")</f>
        <v>dc90930a-ffb0-4920-9720-dd2ce39a0b4a</v>
      </c>
      <c r="I930" s="10" t="str">
        <f>IFERROR(__xludf.DUMMYFUNCTION("""COMPUTED_VALUE"""),"dc90930a-ffb0-4920-9720-dd2ce39a0b4a")</f>
        <v>dc90930a-ffb0-4920-9720-dd2ce39a0b4a</v>
      </c>
    </row>
    <row r="931">
      <c r="A931" s="10" t="str">
        <f>IFERROR(__xludf.DUMMYFUNCTION("""COMPUTED_VALUE"""),"Don't lose sight of the customer")</f>
        <v>Don't lose sight of the customer</v>
      </c>
      <c r="B931" s="10" t="str">
        <f>IFERROR(__xludf.DUMMYFUNCTION("""COMPUTED_VALUE"""),"Product market fit is hard to find and harder to keep in a dynamic business environment. CEO and co-founder, Josh will share how focusing on the customer from day one was the key to finding and keeping product market fit for his team at Abstract—and what "&amp;"can happen if you shift your focus away.")</f>
        <v>Product market fit is hard to find and harder to keep in a dynamic business environment. CEO and co-founder, Josh will share how focusing on the customer from day one was the key to finding and keeping product market fit for his team at Abstract—and what can happen if you shift your focus away.</v>
      </c>
      <c r="C931" s="10" t="str">
        <f>IFERROR(__xludf.DUMMYFUNCTION("""COMPUTED_VALUE"""),"Growth Summit")</f>
        <v>Growth Summit</v>
      </c>
      <c r="D931" s="10" t="str">
        <f>IFERROR(__xludf.DUMMYFUNCTION("""COMPUTED_VALUE"""),"Joshua Brewer")</f>
        <v>Joshua Brewer</v>
      </c>
      <c r="E931" s="10" t="str">
        <f>IFERROR(__xludf.DUMMYFUNCTION("""COMPUTED_VALUE"""),"Joshua Brewer")</f>
        <v>Joshua Brewer</v>
      </c>
      <c r="F931" s="10" t="str">
        <f>IFERROR(__xludf.DUMMYFUNCTION("""COMPUTED_VALUE"""),"2019/11/07 15:26:00")</f>
        <v>2019/11/07 15:26:00</v>
      </c>
      <c r="G931" s="10" t="str">
        <f>IFERROR(__xludf.DUMMYFUNCTION("""COMPUTED_VALUE"""),"2019/11/07 15:37:00")</f>
        <v>2019/11/07 15:37:00</v>
      </c>
      <c r="H931" s="10" t="str">
        <f>IFERROR(__xludf.DUMMYFUNCTION("""COMPUTED_VALUE"""),"b201e2f6-b942-48ae-a4bb-133b45500eeb")</f>
        <v>b201e2f6-b942-48ae-a4bb-133b45500eeb</v>
      </c>
      <c r="I931" s="10" t="str">
        <f>IFERROR(__xludf.DUMMYFUNCTION("""COMPUTED_VALUE"""),"b201e2f6-b942-48ae-a4bb-133b45500eeb")</f>
        <v>b201e2f6-b942-48ae-a4bb-133b45500eeb</v>
      </c>
    </row>
    <row r="932">
      <c r="A932" s="10" t="str">
        <f>IFERROR(__xludf.DUMMYFUNCTION("""COMPUTED_VALUE"""),"Data and trust: A way forward")</f>
        <v>Data and trust: A way forward</v>
      </c>
      <c r="B932" s="10" t="str">
        <f>IFERROR(__xludf.DUMMYFUNCTION("""COMPUTED_VALUE"""),"Once burned, twice shy. As data becomes the great opportunity and challenge of our time, has blockchain risen to build the trust people can't? In this session we will explore its potential to safeguard our data, and how companies and policymakers respond "&amp;"to public mistrust. ")</f>
        <v>Once burned, twice shy. As data becomes the great opportunity and challenge of our time, has blockchain risen to build the trust people can't? In this session we will explore its potential to safeguard our data, and how companies and policymakers respond to public mistrust. </v>
      </c>
      <c r="C932" s="10" t="str">
        <f>IFERROR(__xludf.DUMMYFUNCTION("""COMPUTED_VALUE"""),"Corporate Innovation Summit")</f>
        <v>Corporate Innovation Summit</v>
      </c>
      <c r="D932" s="10" t="str">
        <f>IFERROR(__xludf.DUMMYFUNCTION("""COMPUTED_VALUE"""),"Eva Kaili, Ayman Hariri and Mark Di Stefano")</f>
        <v>Eva Kaili, Ayman Hariri and Mark Di Stefano</v>
      </c>
      <c r="E932" s="10" t="str">
        <f>IFERROR(__xludf.DUMMYFUNCTION("""COMPUTED_VALUE"""),"Eva Kaili,Ayman Hariri,Mark Di Stefano")</f>
        <v>Eva Kaili,Ayman Hariri,Mark Di Stefano</v>
      </c>
      <c r="F932" s="10" t="str">
        <f>IFERROR(__xludf.DUMMYFUNCTION("""COMPUTED_VALUE"""),"2019/11/07 11:40:00")</f>
        <v>2019/11/07 11:40:00</v>
      </c>
      <c r="G932" s="10" t="str">
        <f>IFERROR(__xludf.DUMMYFUNCTION("""COMPUTED_VALUE"""),"2019/11/07 12:00:00")</f>
        <v>2019/11/07 12:00:00</v>
      </c>
      <c r="H932" s="10" t="str">
        <f>IFERROR(__xludf.DUMMYFUNCTION("""COMPUTED_VALUE"""),"7dd7239a-ba88-46b1-ad03-f5c831b9e435")</f>
        <v>7dd7239a-ba88-46b1-ad03-f5c831b9e435</v>
      </c>
      <c r="I932" s="10" t="str">
        <f>IFERROR(__xludf.DUMMYFUNCTION("""COMPUTED_VALUE"""),"7dd7239a-ba88-46b1-ad03-f5c831b9e435")</f>
        <v>7dd7239a-ba88-46b1-ad03-f5c831b9e435</v>
      </c>
    </row>
    <row r="933">
      <c r="A933" s="10" t="str">
        <f>IFERROR(__xludf.DUMMYFUNCTION("""COMPUTED_VALUE"""),"Build a mobile app with machine learning (No ML expertise required)")</f>
        <v>Build a mobile app with machine learning (No ML expertise required)</v>
      </c>
      <c r="B933" s="10" t="str">
        <f>IFERROR(__xludf.DUMMYFUNCTION("""COMPUTED_VALUE"""),"Machine learning at the edge is about making your apps smarter with real-time object and face recognition, offline predictions, and protecting user privacy. You might be thinking that sounds cool, but have no idea where or how to even start. Do you need t"&amp;"o go back to school? The simple answer is no. In this session, we'll explore five ways to handle prediction or inference and decision making in modern apps without needing to know anything about machine learning or write any ML code. Demystify deep learni"&amp;"ng and easily call managed ML services, build, train, and/or deploy ML models to mobile and IoT devices.")</f>
        <v>Machine learning at the edge is about making your apps smarter with real-time object and face recognition, offline predictions, and protecting user privacy. You might be thinking that sounds cool, but have no idea where or how to even start. Do you need to go back to school? The simple answer is no. In this session, we'll explore five ways to handle prediction or inference and decision making in modern apps without needing to know anything about machine learning or write any ML code. Demystify deep learning and easily call managed ML services, build, train, and/or deploy ML models to mobile and IoT devices.</v>
      </c>
      <c r="C933" s="10" t="str">
        <f>IFERROR(__xludf.DUMMYFUNCTION("""COMPUTED_VALUE"""),"AWS Developer Workshops")</f>
        <v>AWS Developer Workshops</v>
      </c>
      <c r="D933" s="10" t="str">
        <f>IFERROR(__xludf.DUMMYFUNCTION("""COMPUTED_VALUE"""),"")</f>
        <v/>
      </c>
      <c r="E933" s="10" t="str">
        <f>IFERROR(__xludf.DUMMYFUNCTION("""COMPUTED_VALUE"""),"")</f>
        <v/>
      </c>
      <c r="F933" s="10" t="str">
        <f>IFERROR(__xludf.DUMMYFUNCTION("""COMPUTED_VALUE"""),"2019/11/07 16:00:00")</f>
        <v>2019/11/07 16:00:00</v>
      </c>
      <c r="G933" s="10" t="str">
        <f>IFERROR(__xludf.DUMMYFUNCTION("""COMPUTED_VALUE"""),"2019/11/07 16:50:00")</f>
        <v>2019/11/07 16:50:00</v>
      </c>
      <c r="H933" s="10" t="str">
        <f>IFERROR(__xludf.DUMMYFUNCTION("""COMPUTED_VALUE"""),"d630943b-68ef-41ab-ab7a-974a05af6e69")</f>
        <v>d630943b-68ef-41ab-ab7a-974a05af6e69</v>
      </c>
      <c r="I933" s="10" t="str">
        <f>IFERROR(__xludf.DUMMYFUNCTION("""COMPUTED_VALUE"""),"d630943b-68ef-41ab-ab7a-974a05af6e69")</f>
        <v>d630943b-68ef-41ab-ab7a-974a05af6e69</v>
      </c>
    </row>
    <row r="934">
      <c r="A934" s="10" t="str">
        <f>IFERROR(__xludf.DUMMYFUNCTION("""COMPUTED_VALUE"""),"Lean In Circles: The power of sisterhood to build inclusive technology and fight bias, hosted by Lean In Women In Tech Lisbon.")</f>
        <v>Lean In Circles: The power of sisterhood to build inclusive technology and fight bias, hosted by Lean In Women In Tech Lisbon.</v>
      </c>
      <c r="B934" s="10" t="str">
        <f>IFERROR(__xludf.DUMMYFUNCTION("""COMPUTED_VALUE"""),"We believe there is a need for diversity and inclusion in the tech space, and we are here to help bridge the gap! We will have a Lean In Circle for women who want to explore unconscious biases and different ways to overcome them in a safe and supportive s"&amp;"pace. Lean In Circles are places for exchanging experiences and supporting each other to become our best selves. After participation, you will be inspired and empowered to take the next step towards your goals. Together we can create the change!")</f>
        <v>We believe there is a need for diversity and inclusion in the tech space, and we are here to help bridge the gap! We will have a Lean In Circle for women who want to explore unconscious biases and different ways to overcome them in a safe and supportive space. Lean In Circles are places for exchanging experiences and supporting each other to become our best selves. After participation, you will be inspired and empowered to take the next step towards your goals. Together we can create the change!</v>
      </c>
      <c r="C934" s="10" t="str">
        <f>IFERROR(__xludf.DUMMYFUNCTION("""COMPUTED_VALUE"""),"Workshop 1")</f>
        <v>Workshop 1</v>
      </c>
      <c r="D934" s="10" t="str">
        <f>IFERROR(__xludf.DUMMYFUNCTION("""COMPUTED_VALUE"""),"Stela Suils Cuesta, Adriana Camilleri, Melissa Romero, Amel Murphy, Barbara Lampl, Netta Nevalainen and Anni Rautio")</f>
        <v>Stela Suils Cuesta, Adriana Camilleri, Melissa Romero, Amel Murphy, Barbara Lampl, Netta Nevalainen and Anni Rautio</v>
      </c>
      <c r="E934" s="10" t="str">
        <f>IFERROR(__xludf.DUMMYFUNCTION("""COMPUTED_VALUE"""),"Stela Suils Cuesta,Adriana Camilleri,Melissa Romero,Amel Murphy,Barbara Lampl,Netta Nevalainen,Anni Rautio")</f>
        <v>Stela Suils Cuesta,Adriana Camilleri,Melissa Romero,Amel Murphy,Barbara Lampl,Netta Nevalainen,Anni Rautio</v>
      </c>
      <c r="F934" s="10" t="str">
        <f>IFERROR(__xludf.DUMMYFUNCTION("""COMPUTED_VALUE"""),"2019/11/07 11:45:00")</f>
        <v>2019/11/07 11:45:00</v>
      </c>
      <c r="G934" s="10" t="str">
        <f>IFERROR(__xludf.DUMMYFUNCTION("""COMPUTED_VALUE"""),"2019/11/07 13:00:00")</f>
        <v>2019/11/07 13:00:00</v>
      </c>
      <c r="H934" s="10" t="str">
        <f>IFERROR(__xludf.DUMMYFUNCTION("""COMPUTED_VALUE"""),"1114b636-62db-4ebe-9d40-1c4e826132b5")</f>
        <v>1114b636-62db-4ebe-9d40-1c4e826132b5</v>
      </c>
      <c r="I934" s="10" t="str">
        <f>IFERROR(__xludf.DUMMYFUNCTION("""COMPUTED_VALUE"""),"1114b636-62db-4ebe-9d40-1c4e826132b5")</f>
        <v>1114b636-62db-4ebe-9d40-1c4e826132b5</v>
      </c>
    </row>
    <row r="935">
      <c r="A935" s="10" t="str">
        <f>IFERROR(__xludf.DUMMYFUNCTION("""COMPUTED_VALUE"""),"Evolution from keyword searches to AI-enabled conversations")</f>
        <v>Evolution from keyword searches to AI-enabled conversations</v>
      </c>
      <c r="B935" s="10" t="str">
        <f>IFERROR(__xludf.DUMMYFUNCTION("""COMPUTED_VALUE"""),"Rohit Prasad, VP &amp; Head Scientist for Amazon Alexa, shares his perspective on how far Alexa has come in the five years since launch, as well as how advancements in and democratisation of conversational AI will continue to deliver new experiences and seaml"&amp;"essly connect customers to services.")</f>
        <v>Rohit Prasad, VP &amp; Head Scientist for Amazon Alexa, shares his perspective on how far Alexa has come in the five years since launch, as well as how advancements in and democratisation of conversational AI will continue to deliver new experiences and seamlessly connect customers to services.</v>
      </c>
      <c r="C935" s="10" t="str">
        <f>IFERROR(__xludf.DUMMYFUNCTION("""COMPUTED_VALUE"""),"Centre Stage")</f>
        <v>Centre Stage</v>
      </c>
      <c r="D935" s="10" t="str">
        <f>IFERROR(__xludf.DUMMYFUNCTION("""COMPUTED_VALUE"""),"Rohit Prasad")</f>
        <v>Rohit Prasad</v>
      </c>
      <c r="E935" s="10" t="str">
        <f>IFERROR(__xludf.DUMMYFUNCTION("""COMPUTED_VALUE"""),"Rohit Prasad")</f>
        <v>Rohit Prasad</v>
      </c>
      <c r="F935" s="10" t="str">
        <f>IFERROR(__xludf.DUMMYFUNCTION("""COMPUTED_VALUE"""),"2019/11/05 15:30:00")</f>
        <v>2019/11/05 15:30:00</v>
      </c>
      <c r="G935" s="10" t="str">
        <f>IFERROR(__xludf.DUMMYFUNCTION("""COMPUTED_VALUE"""),"2019/11/05 15:50:00")</f>
        <v>2019/11/05 15:50:00</v>
      </c>
      <c r="H935" s="10" t="str">
        <f>IFERROR(__xludf.DUMMYFUNCTION("""COMPUTED_VALUE"""),"422cb568-1b51-4802-bf6e-86f3002c4fb2")</f>
        <v>422cb568-1b51-4802-bf6e-86f3002c4fb2</v>
      </c>
      <c r="I935" s="10" t="str">
        <f>IFERROR(__xludf.DUMMYFUNCTION("""COMPUTED_VALUE"""),"422cb568-1b51-4802-bf6e-86f3002c4fb2")</f>
        <v>422cb568-1b51-4802-bf6e-86f3002c4fb2</v>
      </c>
    </row>
    <row r="936">
      <c r="A936" s="10" t="str">
        <f>IFERROR(__xludf.DUMMYFUNCTION("""COMPUTED_VALUE"""),"ATM 3")</f>
        <v>ATM 3</v>
      </c>
      <c r="B936" s="10" t="str">
        <f>IFERROR(__xludf.DUMMYFUNCTION("""COMPUTED_VALUE"""),"")</f>
        <v/>
      </c>
      <c r="C936" s="10" t="str">
        <f>IFERROR(__xludf.DUMMYFUNCTION("""COMPUTED_VALUE"""),"ATM - 3 - Nov 5")</f>
        <v>ATM - 3 - Nov 5</v>
      </c>
      <c r="D936" s="10" t="str">
        <f>IFERROR(__xludf.DUMMYFUNCTION("""COMPUTED_VALUE"""),"")</f>
        <v/>
      </c>
      <c r="E936" s="10" t="str">
        <f>IFERROR(__xludf.DUMMYFUNCTION("""COMPUTED_VALUE"""),"")</f>
        <v/>
      </c>
      <c r="F936" s="10" t="str">
        <f>IFERROR(__xludf.DUMMYFUNCTION("""COMPUTED_VALUE"""),"2019/11/05 20:01:00")</f>
        <v>2019/11/05 20:01:00</v>
      </c>
      <c r="G936" s="10" t="str">
        <f>IFERROR(__xludf.DUMMYFUNCTION("""COMPUTED_VALUE"""),"2019/11/05 23:59:00")</f>
        <v>2019/11/05 23:59:00</v>
      </c>
      <c r="H936" s="10" t="str">
        <f>IFERROR(__xludf.DUMMYFUNCTION("""COMPUTED_VALUE"""),"e28f5320-b22d-4768-b4cf-e9aae0d10f3c")</f>
        <v>e28f5320-b22d-4768-b4cf-e9aae0d10f3c</v>
      </c>
      <c r="I936" s="10" t="str">
        <f>IFERROR(__xludf.DUMMYFUNCTION("""COMPUTED_VALUE"""),"e28f5320-b22d-4768-b4cf-e9aae0d10f3c")</f>
        <v>e28f5320-b22d-4768-b4cf-e9aae0d10f3c</v>
      </c>
    </row>
    <row r="937">
      <c r="A937" s="10" t="str">
        <f>IFERROR(__xludf.DUMMYFUNCTION("""COMPUTED_VALUE"""),"Lunch break")</f>
        <v>Lunch break</v>
      </c>
      <c r="B937" s="10" t="str">
        <f>IFERROR(__xludf.DUMMYFUNCTION("""COMPUTED_VALUE"""),"")</f>
        <v/>
      </c>
      <c r="C937" s="10" t="str">
        <f>IFERROR(__xludf.DUMMYFUNCTION("""COMPUTED_VALUE"""),"Centre Stage")</f>
        <v>Centre Stage</v>
      </c>
      <c r="D937" s="10" t="str">
        <f>IFERROR(__xludf.DUMMYFUNCTION("""COMPUTED_VALUE"""),"")</f>
        <v/>
      </c>
      <c r="E937" s="10" t="str">
        <f>IFERROR(__xludf.DUMMYFUNCTION("""COMPUTED_VALUE"""),"")</f>
        <v/>
      </c>
      <c r="F937" s="10" t="str">
        <f>IFERROR(__xludf.DUMMYFUNCTION("""COMPUTED_VALUE"""),"2019/11/06 13:00:00")</f>
        <v>2019/11/06 13:00:00</v>
      </c>
      <c r="G937" s="10" t="str">
        <f>IFERROR(__xludf.DUMMYFUNCTION("""COMPUTED_VALUE"""),"2019/11/06 13:10:00")</f>
        <v>2019/11/06 13:10:00</v>
      </c>
      <c r="H937" s="10" t="str">
        <f>IFERROR(__xludf.DUMMYFUNCTION("""COMPUTED_VALUE"""),"a073ad0e-182e-4925-8032-a00501472885")</f>
        <v>a073ad0e-182e-4925-8032-a00501472885</v>
      </c>
      <c r="I937" s="10" t="str">
        <f>IFERROR(__xludf.DUMMYFUNCTION("""COMPUTED_VALUE"""),"a073ad0e-182e-4925-8032-a00501472885")</f>
        <v>a073ad0e-182e-4925-8032-a00501472885</v>
      </c>
    </row>
    <row r="938">
      <c r="A938" s="10" t="str">
        <f>IFERROR(__xludf.DUMMYFUNCTION("""COMPUTED_VALUE"""),"Lunch break")</f>
        <v>Lunch break</v>
      </c>
      <c r="B938" s="10" t="str">
        <f>IFERROR(__xludf.DUMMYFUNCTION("""COMPUTED_VALUE"""),"")</f>
        <v/>
      </c>
      <c r="C938" s="10" t="str">
        <f>IFERROR(__xludf.DUMMYFUNCTION("""COMPUTED_VALUE"""),"Growth Summit")</f>
        <v>Growth Summit</v>
      </c>
      <c r="D938" s="10" t="str">
        <f>IFERROR(__xludf.DUMMYFUNCTION("""COMPUTED_VALUE"""),"")</f>
        <v/>
      </c>
      <c r="E938" s="10" t="str">
        <f>IFERROR(__xludf.DUMMYFUNCTION("""COMPUTED_VALUE"""),"")</f>
        <v/>
      </c>
      <c r="F938" s="10" t="str">
        <f>IFERROR(__xludf.DUMMYFUNCTION("""COMPUTED_VALUE"""),"2019/11/07 11:58:00")</f>
        <v>2019/11/07 11:58:00</v>
      </c>
      <c r="G938" s="10" t="str">
        <f>IFERROR(__xludf.DUMMYFUNCTION("""COMPUTED_VALUE"""),"2019/11/07 12:28:00")</f>
        <v>2019/11/07 12:28:00</v>
      </c>
      <c r="H938" s="10" t="str">
        <f>IFERROR(__xludf.DUMMYFUNCTION("""COMPUTED_VALUE"""),"514c6bf7-ec02-4796-b76d-c951723f457c")</f>
        <v>514c6bf7-ec02-4796-b76d-c951723f457c</v>
      </c>
      <c r="I938" s="10" t="str">
        <f>IFERROR(__xludf.DUMMYFUNCTION("""COMPUTED_VALUE"""),"514c6bf7-ec02-4796-b76d-c951723f457c")</f>
        <v>514c6bf7-ec02-4796-b76d-c951723f457c</v>
      </c>
    </row>
    <row r="939">
      <c r="A939" s="10" t="str">
        <f>IFERROR(__xludf.DUMMYFUNCTION("""COMPUTED_VALUE"""),"The athlete's guide to influence and brand building")</f>
        <v>The athlete's guide to influence and brand building</v>
      </c>
      <c r="B939" s="10" t="str">
        <f>IFERROR(__xludf.DUMMYFUNCTION("""COMPUTED_VALUE"""),"Louis Saha spent 15 years hitting the back of the net. Now he's joined forces with brand and digital marketing expert Kate Hamer to create the AxisStars platform. In this session, you'll find out how they are using the net to score a different kind of goa"&amp;"l. ")</f>
        <v>Louis Saha spent 15 years hitting the back of the net. Now he's joined forces with brand and digital marketing expert Kate Hamer to create the AxisStars platform. In this session, you'll find out how they are using the net to score a different kind of goal. </v>
      </c>
      <c r="C939" s="10" t="str">
        <f>IFERROR(__xludf.DUMMYFUNCTION("""COMPUTED_VALUE"""),"SportsTrade")</f>
        <v>SportsTrade</v>
      </c>
      <c r="D939" s="10" t="str">
        <f>IFERROR(__xludf.DUMMYFUNCTION("""COMPUTED_VALUE"""),"Louis Saha, Kate Hamer and Andy Mitten")</f>
        <v>Louis Saha, Kate Hamer and Andy Mitten</v>
      </c>
      <c r="E939" s="10" t="str">
        <f>IFERROR(__xludf.DUMMYFUNCTION("""COMPUTED_VALUE"""),"Louis Saha,Kate Hamer,Andy Mitten")</f>
        <v>Louis Saha,Kate Hamer,Andy Mitten</v>
      </c>
      <c r="F939" s="10" t="str">
        <f>IFERROR(__xludf.DUMMYFUNCTION("""COMPUTED_VALUE"""),"2019/11/05 15:35:00")</f>
        <v>2019/11/05 15:35:00</v>
      </c>
      <c r="G939" s="10" t="str">
        <f>IFERROR(__xludf.DUMMYFUNCTION("""COMPUTED_VALUE"""),"2019/11/05 15:55:00")</f>
        <v>2019/11/05 15:55:00</v>
      </c>
      <c r="H939" s="10" t="str">
        <f>IFERROR(__xludf.DUMMYFUNCTION("""COMPUTED_VALUE"""),"efde342b-590a-4149-af8f-e5cf476552d6")</f>
        <v>efde342b-590a-4149-af8f-e5cf476552d6</v>
      </c>
      <c r="I939" s="10" t="str">
        <f>IFERROR(__xludf.DUMMYFUNCTION("""COMPUTED_VALUE"""),"efde342b-590a-4149-af8f-e5cf476552d6")</f>
        <v>efde342b-590a-4149-af8f-e5cf476552d6</v>
      </c>
    </row>
    <row r="940">
      <c r="A940" s="10" t="str">
        <f>IFERROR(__xludf.DUMMYFUNCTION("""COMPUTED_VALUE"""),"21st century design is for everyone")</f>
        <v>21st century design is for everyone</v>
      </c>
      <c r="B940" s="10" t="str">
        <f>IFERROR(__xludf.DUMMYFUNCTION("""COMPUTED_VALUE"""),"We all have a universal understanding that visuals such as red denotes danger, a green man on a traffic light means it’s safe to cross, and a skeleton skull on a bottle of unknown liquid means poison. When it comes to design, communication is immediate; i"&amp;"t’s easy and transcendent. But other than simply being consumers of design, Canva CEO and co-founder Melanie Perkins poses a question - can we empower everyone to create? 
")</f>
        <v>We all have a universal understanding that visuals such as red denotes danger, a green man on a traffic light means it’s safe to cross, and a skeleton skull on a bottle of unknown liquid means poison. When it comes to design, communication is immediate; it’s easy and transcendent. But other than simply being consumers of design, Canva CEO and co-founder Melanie Perkins poses a question - can we empower everyone to create? 
</v>
      </c>
      <c r="C940" s="10" t="str">
        <f>IFERROR(__xludf.DUMMYFUNCTION("""COMPUTED_VALUE"""),"creatiff")</f>
        <v>creatiff</v>
      </c>
      <c r="D940" s="10" t="str">
        <f>IFERROR(__xludf.DUMMYFUNCTION("""COMPUTED_VALUE"""),"Melanie Perkins")</f>
        <v>Melanie Perkins</v>
      </c>
      <c r="E940" s="10" t="str">
        <f>IFERROR(__xludf.DUMMYFUNCTION("""COMPUTED_VALUE"""),"Melanie Perkins")</f>
        <v>Melanie Perkins</v>
      </c>
      <c r="F940" s="10" t="str">
        <f>IFERROR(__xludf.DUMMYFUNCTION("""COMPUTED_VALUE"""),"2019/11/05 11:15:00")</f>
        <v>2019/11/05 11:15:00</v>
      </c>
      <c r="G940" s="10" t="str">
        <f>IFERROR(__xludf.DUMMYFUNCTION("""COMPUTED_VALUE"""),"2019/11/05 11:35:00")</f>
        <v>2019/11/05 11:35:00</v>
      </c>
      <c r="H940" s="10" t="str">
        <f>IFERROR(__xludf.DUMMYFUNCTION("""COMPUTED_VALUE"""),"0363dbf3-9a0c-498b-9119-2dd41e3a9148")</f>
        <v>0363dbf3-9a0c-498b-9119-2dd41e3a9148</v>
      </c>
      <c r="I940" s="10" t="str">
        <f>IFERROR(__xludf.DUMMYFUNCTION("""COMPUTED_VALUE"""),"0363dbf3-9a0c-498b-9119-2dd41e3a9148")</f>
        <v>0363dbf3-9a0c-498b-9119-2dd41e3a9148</v>
      </c>
    </row>
    <row r="941">
      <c r="A941" s="10" t="str">
        <f>IFERROR(__xludf.DUMMYFUNCTION("""COMPUTED_VALUE"""),"Building the future of work with humanness")</f>
        <v>Building the future of work with humanness</v>
      </c>
      <c r="B941" s="10" t="str">
        <f>IFERROR(__xludf.DUMMYFUNCTION("""COMPUTED_VALUE"""),"In the world of self-driving cars, drones, and AI that seek to replace humans, Springboard has taken a contrarian approach and chosen humanness as a core company value. In this talk, I’ll share stories of how focusing on human relationships — both interna"&amp;"lly and with our users — has helped us stand out and grow stronger as a company.")</f>
        <v>In the world of self-driving cars, drones, and AI that seek to replace humans, Springboard has taken a contrarian approach and chosen humanness as a core company value. In this talk, I’ll share stories of how focusing on human relationships — both internally and with our users — has helped us stand out and grow stronger as a company.</v>
      </c>
      <c r="C941" s="10" t="str">
        <f>IFERROR(__xludf.DUMMYFUNCTION("""COMPUTED_VALUE"""),"Growth Summit")</f>
        <v>Growth Summit</v>
      </c>
      <c r="D941" s="10" t="str">
        <f>IFERROR(__xludf.DUMMYFUNCTION("""COMPUTED_VALUE"""),"Parul Gupta")</f>
        <v>Parul Gupta</v>
      </c>
      <c r="E941" s="10" t="str">
        <f>IFERROR(__xludf.DUMMYFUNCTION("""COMPUTED_VALUE"""),"Parul Gupta")</f>
        <v>Parul Gupta</v>
      </c>
      <c r="F941" s="10" t="str">
        <f>IFERROR(__xludf.DUMMYFUNCTION("""COMPUTED_VALUE"""),"2019/11/06 13:36:00")</f>
        <v>2019/11/06 13:36:00</v>
      </c>
      <c r="G941" s="10" t="str">
        <f>IFERROR(__xludf.DUMMYFUNCTION("""COMPUTED_VALUE"""),"2019/11/06 13:47:00")</f>
        <v>2019/11/06 13:47:00</v>
      </c>
      <c r="H941" s="10" t="str">
        <f>IFERROR(__xludf.DUMMYFUNCTION("""COMPUTED_VALUE"""),"584a298c-7cc3-41f2-a789-553523ed53b3")</f>
        <v>584a298c-7cc3-41f2-a789-553523ed53b3</v>
      </c>
      <c r="I941" s="10" t="str">
        <f>IFERROR(__xludf.DUMMYFUNCTION("""COMPUTED_VALUE"""),"584a298c-7cc3-41f2-a789-553523ed53b3")</f>
        <v>584a298c-7cc3-41f2-a789-553523ed53b3</v>
      </c>
    </row>
    <row r="942">
      <c r="A942" s="10" t="str">
        <f>IFERROR(__xludf.DUMMYFUNCTION("""COMPUTED_VALUE"""),"The future of startup investment")</f>
        <v>The future of startup investment</v>
      </c>
      <c r="B942" s="10" t="str">
        <f>IFERROR(__xludf.DUMMYFUNCTION("""COMPUTED_VALUE"""),"SeedLegals has transformed the way startups raise investment as the world’s first automated legal solution for funding rounds. Join SeedLegals founder Anthony Rose to hear what's on the horizon for the largest closer of funding rounds in the UK, and what "&amp;"the future of VC investing looks like.")</f>
        <v>SeedLegals has transformed the way startups raise investment as the world’s first automated legal solution for funding rounds. Join SeedLegals founder Anthony Rose to hear what's on the horizon for the largest closer of funding rounds in the UK, and what the future of VC investing looks like.</v>
      </c>
      <c r="C942" s="10" t="str">
        <f>IFERROR(__xludf.DUMMYFUNCTION("""COMPUTED_VALUE"""),"Growth Summit")</f>
        <v>Growth Summit</v>
      </c>
      <c r="D942" s="10" t="str">
        <f>IFERROR(__xludf.DUMMYFUNCTION("""COMPUTED_VALUE"""),"Anthony Rose")</f>
        <v>Anthony Rose</v>
      </c>
      <c r="E942" s="10" t="str">
        <f>IFERROR(__xludf.DUMMYFUNCTION("""COMPUTED_VALUE"""),"Anthony Rose")</f>
        <v>Anthony Rose</v>
      </c>
      <c r="F942" s="10" t="str">
        <f>IFERROR(__xludf.DUMMYFUNCTION("""COMPUTED_VALUE"""),"2019/11/06 10:42:00")</f>
        <v>2019/11/06 10:42:00</v>
      </c>
      <c r="G942" s="10" t="str">
        <f>IFERROR(__xludf.DUMMYFUNCTION("""COMPUTED_VALUE"""),"2019/11/06 10:46:00")</f>
        <v>2019/11/06 10:46:00</v>
      </c>
      <c r="H942" s="10" t="str">
        <f>IFERROR(__xludf.DUMMYFUNCTION("""COMPUTED_VALUE"""),"210701d5-9b54-4a39-ac67-62a830cf820c")</f>
        <v>210701d5-9b54-4a39-ac67-62a830cf820c</v>
      </c>
      <c r="I942" s="10" t="str">
        <f>IFERROR(__xludf.DUMMYFUNCTION("""COMPUTED_VALUE"""),"210701d5-9b54-4a39-ac67-62a830cf820c")</f>
        <v>210701d5-9b54-4a39-ac67-62a830cf820c</v>
      </c>
    </row>
    <row r="943">
      <c r="A943" s="10" t="str">
        <f>IFERROR(__xludf.DUMMYFUNCTION("""COMPUTED_VALUE"""),"Opening remarks")</f>
        <v>Opening remarks</v>
      </c>
      <c r="B943" s="10" t="str">
        <f>IFERROR(__xludf.DUMMYFUNCTION("""COMPUTED_VALUE"""),"")</f>
        <v/>
      </c>
      <c r="C943" s="10" t="str">
        <f>IFERROR(__xludf.DUMMYFUNCTION("""COMPUTED_VALUE"""),"Modum")</f>
        <v>Modum</v>
      </c>
      <c r="D943" s="10" t="str">
        <f>IFERROR(__xludf.DUMMYFUNCTION("""COMPUTED_VALUE"""),"Susana Chaves")</f>
        <v>Susana Chaves</v>
      </c>
      <c r="E943" s="10" t="str">
        <f>IFERROR(__xludf.DUMMYFUNCTION("""COMPUTED_VALUE"""),"Susana Chaves")</f>
        <v>Susana Chaves</v>
      </c>
      <c r="F943" s="10" t="str">
        <f>IFERROR(__xludf.DUMMYFUNCTION("""COMPUTED_VALUE"""),"2019/11/07 14:25:00")</f>
        <v>2019/11/07 14:25:00</v>
      </c>
      <c r="G943" s="10" t="str">
        <f>IFERROR(__xludf.DUMMYFUNCTION("""COMPUTED_VALUE"""),"2019/11/07 14:40:00")</f>
        <v>2019/11/07 14:40:00</v>
      </c>
      <c r="H943" s="10" t="str">
        <f>IFERROR(__xludf.DUMMYFUNCTION("""COMPUTED_VALUE"""),"632dabad-ad39-47d5-bea4-caec36b1e8d5")</f>
        <v>632dabad-ad39-47d5-bea4-caec36b1e8d5</v>
      </c>
      <c r="I943" s="10" t="str">
        <f>IFERROR(__xludf.DUMMYFUNCTION("""COMPUTED_VALUE"""),"632dabad-ad39-47d5-bea4-caec36b1e8d5")</f>
        <v>632dabad-ad39-47d5-bea4-caec36b1e8d5</v>
      </c>
    </row>
    <row r="944">
      <c r="A944" s="10" t="str">
        <f>IFERROR(__xludf.DUMMYFUNCTION("""COMPUTED_VALUE"""),"The role of technology in climate action")</f>
        <v>The role of technology in climate action</v>
      </c>
      <c r="B944" s="10" t="str">
        <f>IFERROR(__xludf.DUMMYFUNCTION("""COMPUTED_VALUE"""),"How can technology be utilized to address climate change? Kate Brandt discusses various ways in which Google technology is being developed and used to support a sustainable future. ")</f>
        <v>How can technology be utilized to address climate change? Kate Brandt discusses various ways in which Google technology is being developed and used to support a sustainable future. </v>
      </c>
      <c r="C944" s="10" t="str">
        <f>IFERROR(__xludf.DUMMYFUNCTION("""COMPUTED_VALUE"""),"planet:tech ")</f>
        <v>planet:tech </v>
      </c>
      <c r="D944" s="10" t="str">
        <f>IFERROR(__xludf.DUMMYFUNCTION("""COMPUTED_VALUE"""),"Kate Brandt")</f>
        <v>Kate Brandt</v>
      </c>
      <c r="E944" s="10" t="str">
        <f>IFERROR(__xludf.DUMMYFUNCTION("""COMPUTED_VALUE"""),"Kate Brandt")</f>
        <v>Kate Brandt</v>
      </c>
      <c r="F944" s="10" t="str">
        <f>IFERROR(__xludf.DUMMYFUNCTION("""COMPUTED_VALUE"""),"2019/11/05 15:55:00")</f>
        <v>2019/11/05 15:55:00</v>
      </c>
      <c r="G944" s="10" t="str">
        <f>IFERROR(__xludf.DUMMYFUNCTION("""COMPUTED_VALUE"""),"2019/11/05 16:10:00")</f>
        <v>2019/11/05 16:10:00</v>
      </c>
      <c r="H944" s="10" t="str">
        <f>IFERROR(__xludf.DUMMYFUNCTION("""COMPUTED_VALUE"""),"dd835a59-1ee3-4de2-9e48-3d8d3ca61e01")</f>
        <v>dd835a59-1ee3-4de2-9e48-3d8d3ca61e01</v>
      </c>
      <c r="I944" s="10" t="str">
        <f>IFERROR(__xludf.DUMMYFUNCTION("""COMPUTED_VALUE"""),"dd835a59-1ee3-4de2-9e48-3d8d3ca61e01")</f>
        <v>dd835a59-1ee3-4de2-9e48-3d8d3ca61e01</v>
      </c>
    </row>
    <row r="945">
      <c r="A945" s="10" t="str">
        <f>IFERROR(__xludf.DUMMYFUNCTION("""COMPUTED_VALUE"""),"Is it possible to access your intentions at the wrist? ")</f>
        <v>Is it possible to access your intentions at the wrist? </v>
      </c>
      <c r="B945" s="10" t="str">
        <f>IFERROR(__xludf.DUMMYFUNCTION("""COMPUTED_VALUE"""),"Thomas Reardon of CTRL-labs demonstrates how non-invasive neural control will transform how we interact with the world. See what developers are building now, and catch a glimpse of where the technology is headed next.")</f>
        <v>Thomas Reardon of CTRL-labs demonstrates how non-invasive neural control will transform how we interact with the world. See what developers are building now, and catch a glimpse of where the technology is headed next.</v>
      </c>
      <c r="C945" s="10" t="str">
        <f>IFERROR(__xludf.DUMMYFUNCTION("""COMPUTED_VALUE"""),"Centre Stage")</f>
        <v>Centre Stage</v>
      </c>
      <c r="D945" s="10" t="str">
        <f>IFERROR(__xludf.DUMMYFUNCTION("""COMPUTED_VALUE"""),"Thomas Reardon")</f>
        <v>Thomas Reardon</v>
      </c>
      <c r="E945" s="10" t="str">
        <f>IFERROR(__xludf.DUMMYFUNCTION("""COMPUTED_VALUE"""),"Thomas Reardon")</f>
        <v>Thomas Reardon</v>
      </c>
      <c r="F945" s="10" t="str">
        <f>IFERROR(__xludf.DUMMYFUNCTION("""COMPUTED_VALUE"""),"2019/11/06 16:05:00")</f>
        <v>2019/11/06 16:05:00</v>
      </c>
      <c r="G945" s="10" t="str">
        <f>IFERROR(__xludf.DUMMYFUNCTION("""COMPUTED_VALUE"""),"2019/11/06 16:15:00")</f>
        <v>2019/11/06 16:15:00</v>
      </c>
      <c r="H945" s="10" t="str">
        <f>IFERROR(__xludf.DUMMYFUNCTION("""COMPUTED_VALUE"""),"be5d178a-e86a-48c4-9a4e-083cc3c9b47c")</f>
        <v>be5d178a-e86a-48c4-9a4e-083cc3c9b47c</v>
      </c>
      <c r="I945" s="10" t="str">
        <f>IFERROR(__xludf.DUMMYFUNCTION("""COMPUTED_VALUE"""),"be5d178a-e86a-48c4-9a4e-083cc3c9b47c")</f>
        <v>be5d178a-e86a-48c4-9a4e-083cc3c9b47c</v>
      </c>
    </row>
    <row r="946">
      <c r="A946" s="10" t="str">
        <f>IFERROR(__xludf.DUMMYFUNCTION("""COMPUTED_VALUE"""),"Airport registration")</f>
        <v>Airport registration</v>
      </c>
      <c r="B946" s="10" t="str">
        <f>IFERROR(__xludf.DUMMYFUNCTION("""COMPUTED_VALUE"""),"Beat the queues and register at the airport. You can register from 7am to 3pm. All you need to do is head out of the terminal and follow the signs to our registration marquee. You’ll be done in a few minutes. 
")</f>
        <v>Beat the queues and register at the airport. You can register from 7am to 3pm. All you need to do is head out of the terminal and follow the signs to our registration marquee. You’ll be done in a few minutes. 
</v>
      </c>
      <c r="C946" s="10" t="str">
        <f>IFERROR(__xludf.DUMMYFUNCTION("""COMPUTED_VALUE"""),"Airport registration")</f>
        <v>Airport registration</v>
      </c>
      <c r="D946" s="10" t="str">
        <f>IFERROR(__xludf.DUMMYFUNCTION("""COMPUTED_VALUE"""),"")</f>
        <v/>
      </c>
      <c r="E946" s="10" t="str">
        <f>IFERROR(__xludf.DUMMYFUNCTION("""COMPUTED_VALUE"""),"")</f>
        <v/>
      </c>
      <c r="F946" s="10" t="str">
        <f>IFERROR(__xludf.DUMMYFUNCTION("""COMPUTED_VALUE"""),"2019/11/05 07:00:00")</f>
        <v>2019/11/05 07:00:00</v>
      </c>
      <c r="G946" s="10" t="str">
        <f>IFERROR(__xludf.DUMMYFUNCTION("""COMPUTED_VALUE"""),"2019/11/05 15:00:00")</f>
        <v>2019/11/05 15:00:00</v>
      </c>
      <c r="H946" s="10" t="str">
        <f>IFERROR(__xludf.DUMMYFUNCTION("""COMPUTED_VALUE"""),"ba5b6927-1c29-4932-8dcf-7e1b823a9dc5")</f>
        <v>ba5b6927-1c29-4932-8dcf-7e1b823a9dc5</v>
      </c>
      <c r="I946" s="10" t="str">
        <f>IFERROR(__xludf.DUMMYFUNCTION("""COMPUTED_VALUE"""),"ba5b6927-1c29-4932-8dcf-7e1b823a9dc5")</f>
        <v>ba5b6927-1c29-4932-8dcf-7e1b823a9dc5</v>
      </c>
    </row>
    <row r="947">
      <c r="A947" s="10" t="str">
        <f>IFERROR(__xludf.DUMMYFUNCTION("""COMPUTED_VALUE"""),"Featured venue: Bar do Cais")</f>
        <v>Featured venue: Bar do Cais</v>
      </c>
      <c r="B947" s="10" t="str">
        <f>IFERROR(__xludf.DUMMYFUNCTION("""COMPUTED_VALUE"""),"Some people go to Michelangelo's Sistene Chapel for a good ceiling, other people come here. Here, the ceiling is painted with the faces of artists and musicians who have already left us, as a memorial to culture. We think they'd be honoured to have front "&amp;"row seats to the party though - with DJ performances every day in this venue. There will be a special DJ event exclusively for Night Summit.
Night Summit deals: 
Free welcome drink")</f>
        <v>Some people go to Michelangelo's Sistene Chapel for a good ceiling, other people come here. Here, the ceiling is painted with the faces of artists and musicians who have already left us, as a memorial to culture. We think they'd be honoured to have front row seats to the party though - with DJ performances every day in this venue. There will be a special DJ event exclusively for Night Summit.
Night Summit deals: 
Free welcome drink</v>
      </c>
      <c r="C947" s="10" t="str">
        <f>IFERROR(__xludf.DUMMYFUNCTION("""COMPUTED_VALUE"""),"Bar do Cais")</f>
        <v>Bar do Cais</v>
      </c>
      <c r="D947" s="10" t="str">
        <f>IFERROR(__xludf.DUMMYFUNCTION("""COMPUTED_VALUE"""),"")</f>
        <v/>
      </c>
      <c r="E947" s="10" t="str">
        <f>IFERROR(__xludf.DUMMYFUNCTION("""COMPUTED_VALUE"""),"")</f>
        <v/>
      </c>
      <c r="F947" s="10" t="str">
        <f>IFERROR(__xludf.DUMMYFUNCTION("""COMPUTED_VALUE"""),"2019/11/05 20:00:00")</f>
        <v>2019/11/05 20:00:00</v>
      </c>
      <c r="G947" s="10" t="str">
        <f>IFERROR(__xludf.DUMMYFUNCTION("""COMPUTED_VALUE"""),"2019/11/06 00:00:00")</f>
        <v>2019/11/06 00:00:00</v>
      </c>
      <c r="H947" s="10" t="str">
        <f>IFERROR(__xludf.DUMMYFUNCTION("""COMPUTED_VALUE"""),"8e3d3ca9-8a03-45f9-a14e-1b3e2fb1f423")</f>
        <v>8e3d3ca9-8a03-45f9-a14e-1b3e2fb1f423</v>
      </c>
      <c r="I947" s="10" t="str">
        <f>IFERROR(__xludf.DUMMYFUNCTION("""COMPUTED_VALUE"""),"8e3d3ca9-8a03-45f9-a14e-1b3e2fb1f423")</f>
        <v>8e3d3ca9-8a03-45f9-a14e-1b3e2fb1f423</v>
      </c>
    </row>
    <row r="948">
      <c r="A948" s="10" t="str">
        <f>IFERROR(__xludf.DUMMYFUNCTION("""COMPUTED_VALUE"""),"Opening remarks")</f>
        <v>Opening remarks</v>
      </c>
      <c r="B948" s="10" t="str">
        <f>IFERROR(__xludf.DUMMYFUNCTION("""COMPUTED_VALUE"""),"")</f>
        <v/>
      </c>
      <c r="C948" s="10" t="str">
        <f>IFERROR(__xludf.DUMMYFUNCTION("""COMPUTED_VALUE"""),"Future Societies")</f>
        <v>Future Societies</v>
      </c>
      <c r="D948" s="10" t="str">
        <f>IFERROR(__xludf.DUMMYFUNCTION("""COMPUTED_VALUE"""),"Armand Arton")</f>
        <v>Armand Arton</v>
      </c>
      <c r="E948" s="10" t="str">
        <f>IFERROR(__xludf.DUMMYFUNCTION("""COMPUTED_VALUE"""),"Armand Arton")</f>
        <v>Armand Arton</v>
      </c>
      <c r="F948" s="10" t="str">
        <f>IFERROR(__xludf.DUMMYFUNCTION("""COMPUTED_VALUE"""),"2019/11/06 09:55:00")</f>
        <v>2019/11/06 09:55:00</v>
      </c>
      <c r="G948" s="10" t="str">
        <f>IFERROR(__xludf.DUMMYFUNCTION("""COMPUTED_VALUE"""),"2019/11/06 10:10:00")</f>
        <v>2019/11/06 10:10:00</v>
      </c>
      <c r="H948" s="10" t="str">
        <f>IFERROR(__xludf.DUMMYFUNCTION("""COMPUTED_VALUE"""),"ed708ac7-e837-47f1-bb25-7bc45a81e4ad")</f>
        <v>ed708ac7-e837-47f1-bb25-7bc45a81e4ad</v>
      </c>
      <c r="I948" s="10" t="str">
        <f>IFERROR(__xludf.DUMMYFUNCTION("""COMPUTED_VALUE"""),"ed708ac7-e837-47f1-bb25-7bc45a81e4ad")</f>
        <v>ed708ac7-e837-47f1-bb25-7bc45a81e4ad</v>
      </c>
    </row>
    <row r="949">
      <c r="A949" s="10" t="str">
        <f>IFERROR(__xludf.DUMMYFUNCTION("""COMPUTED_VALUE"""),"We have Quantum Supremacy – now what?  ")</f>
        <v>We have Quantum Supremacy – now what?  </v>
      </c>
      <c r="B949" s="10" t="str">
        <f>IFERROR(__xludf.DUMMYFUNCTION("""COMPUTED_VALUE"""),"Does Google’s quantum supremacy milestone signal the dawn of a new computer age? In this session, our experts give an overview of the ecosystem and strategic options on ‘how to play’ in the next few years.
")</f>
        <v>Does Google’s quantum supremacy milestone signal the dawn of a new computer age? In this session, our experts give an overview of the ecosystem and strategic options on ‘how to play’ in the next few years.
</v>
      </c>
      <c r="C949" s="10" t="str">
        <f>IFERROR(__xludf.DUMMYFUNCTION("""COMPUTED_VALUE"""),"DeepTech")</f>
        <v>DeepTech</v>
      </c>
      <c r="D949" s="10" t="str">
        <f>IFERROR(__xludf.DUMMYFUNCTION("""COMPUTED_VALUE"""),"Philipp Gerbert and Jeremy Wilks")</f>
        <v>Philipp Gerbert and Jeremy Wilks</v>
      </c>
      <c r="E949" s="10" t="str">
        <f>IFERROR(__xludf.DUMMYFUNCTION("""COMPUTED_VALUE"""),"Philipp Gerbert,Jeremy Wilks")</f>
        <v>Philipp Gerbert,Jeremy Wilks</v>
      </c>
      <c r="F949" s="10" t="str">
        <f>IFERROR(__xludf.DUMMYFUNCTION("""COMPUTED_VALUE"""),"2019/11/06 11:50:00")</f>
        <v>2019/11/06 11:50:00</v>
      </c>
      <c r="G949" s="10" t="str">
        <f>IFERROR(__xludf.DUMMYFUNCTION("""COMPUTED_VALUE"""),"2019/11/06 12:10:00")</f>
        <v>2019/11/06 12:10:00</v>
      </c>
      <c r="H949" s="10" t="str">
        <f>IFERROR(__xludf.DUMMYFUNCTION("""COMPUTED_VALUE"""),"1c58246b-8649-440a-b197-4a80396fede6")</f>
        <v>1c58246b-8649-440a-b197-4a80396fede6</v>
      </c>
      <c r="I949" s="10" t="str">
        <f>IFERROR(__xludf.DUMMYFUNCTION("""COMPUTED_VALUE"""),"1c58246b-8649-440a-b197-4a80396fede6")</f>
        <v>1c58246b-8649-440a-b197-4a80396fede6</v>
      </c>
    </row>
    <row r="950">
      <c r="A950" s="10" t="str">
        <f>IFERROR(__xludf.DUMMYFUNCTION("""COMPUTED_VALUE"""),"Machine Demo final")</f>
        <v>Machine Demo final</v>
      </c>
      <c r="B950" s="10" t="str">
        <f>IFERROR(__xludf.DUMMYFUNCTION("""COMPUTED_VALUE"""),"")</f>
        <v/>
      </c>
      <c r="C950" s="10" t="str">
        <f>IFERROR(__xludf.DUMMYFUNCTION("""COMPUTED_VALUE"""),"")</f>
        <v/>
      </c>
      <c r="D950" s="10" t="str">
        <f>IFERROR(__xludf.DUMMYFUNCTION("""COMPUTED_VALUE"""),"Ansgar Chorhummel,  Kaigham Gabriel,  Sven Illing,  Rytis Vitkauskas,  Bruno Meireles de Sousa and  Hugo Augusto
")</f>
        <v>Ansgar Chorhummel,  Kaigham Gabriel,  Sven Illing,  Rytis Vitkauskas,  Bruno Meireles de Sousa and  Hugo Augusto
</v>
      </c>
      <c r="E950" s="10" t="str">
        <f>IFERROR(__xludf.DUMMYFUNCTION("""COMPUTED_VALUE"""),"Ansgar Chorhummel, Kaigham Gabriel, Sven Illing, Rytis Vitkauskas, Bruno Meireles de Sousa, Hugo Augusto
")</f>
        <v>Ansgar Chorhummel, Kaigham Gabriel, Sven Illing, Rytis Vitkauskas, Bruno Meireles de Sousa, Hugo Augusto
</v>
      </c>
      <c r="F950" s="10" t="str">
        <f>IFERROR(__xludf.DUMMYFUNCTION("""COMPUTED_VALUE"""),"")</f>
        <v/>
      </c>
      <c r="G950" s="10" t="str">
        <f>IFERROR(__xludf.DUMMYFUNCTION("""COMPUTED_VALUE"""),"")</f>
        <v/>
      </c>
      <c r="H950" s="10" t="str">
        <f>IFERROR(__xludf.DUMMYFUNCTION("""COMPUTED_VALUE"""),"0a87dfc2-ccc3-57de-a85b-6331a807e8dd")</f>
        <v>0a87dfc2-ccc3-57de-a85b-6331a807e8dd</v>
      </c>
      <c r="I950" s="10" t="str">
        <f>IFERROR(__xludf.DUMMYFUNCTION("""COMPUTED_VALUE"""),"0a87dfc2-ccc3-57de-a85b-6331a807e8dd")</f>
        <v>0a87dfc2-ccc3-57de-a85b-6331a807e8dd</v>
      </c>
    </row>
    <row r="951">
      <c r="A951" s="10" t="str">
        <f>IFERROR(__xludf.DUMMYFUNCTION("""COMPUTED_VALUE"""),"Featured venue: Café na Fábrica")</f>
        <v>Featured venue: Café na Fábrica</v>
      </c>
      <c r="B951" s="10" t="str">
        <f>IFERROR(__xludf.DUMMYFUNCTION("""COMPUTED_VALUE"""),"Want to enjoy your drinks in a magical location? This bar is made to look like a dolls house and is in a great location. Check out the inviting terrace, taste some treats off the full menu or just spend the night with friends getting drinks from the three"&amp;" bars. Café na Fábrica promises all those who enter a unique, complete, and enjoyable experience. 
Night Summit deals:
Special Web Summit cocktail")</f>
        <v>Want to enjoy your drinks in a magical location? This bar is made to look like a dolls house and is in a great location. Check out the inviting terrace, taste some treats off the full menu or just spend the night with friends getting drinks from the three bars. Café na Fábrica promises all those who enter a unique, complete, and enjoyable experience. 
Night Summit deals:
Special Web Summit cocktail</v>
      </c>
      <c r="C951" s="10" t="str">
        <f>IFERROR(__xludf.DUMMYFUNCTION("""COMPUTED_VALUE"""),"Café na Fábrica")</f>
        <v>Café na Fábrica</v>
      </c>
      <c r="D951" s="10" t="str">
        <f>IFERROR(__xludf.DUMMYFUNCTION("""COMPUTED_VALUE"""),"")</f>
        <v/>
      </c>
      <c r="E951" s="10" t="str">
        <f>IFERROR(__xludf.DUMMYFUNCTION("""COMPUTED_VALUE"""),"")</f>
        <v/>
      </c>
      <c r="F951" s="10" t="str">
        <f>IFERROR(__xludf.DUMMYFUNCTION("""COMPUTED_VALUE"""),"2019/11/06 20:00:00")</f>
        <v>2019/11/06 20:00:00</v>
      </c>
      <c r="G951" s="10" t="str">
        <f>IFERROR(__xludf.DUMMYFUNCTION("""COMPUTED_VALUE"""),"2019/11/07 02:00:00")</f>
        <v>2019/11/07 02:00:00</v>
      </c>
      <c r="H951" s="10" t="str">
        <f>IFERROR(__xludf.DUMMYFUNCTION("""COMPUTED_VALUE"""),"247307b1-47fe-4748-ae6a-c46e312715ec")</f>
        <v>247307b1-47fe-4748-ae6a-c46e312715ec</v>
      </c>
      <c r="I951" s="10" t="str">
        <f>IFERROR(__xludf.DUMMYFUNCTION("""COMPUTED_VALUE"""),"247307b1-47fe-4748-ae6a-c46e312715ec")</f>
        <v>247307b1-47fe-4748-ae6a-c46e312715ec</v>
      </c>
    </row>
    <row r="952">
      <c r="A952" s="10" t="str">
        <f>IFERROR(__xludf.DUMMYFUNCTION("""COMPUTED_VALUE"""),"Startup Showcase")</f>
        <v>Startup Showcase</v>
      </c>
      <c r="B952" s="10"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v>
      </c>
      <c r="C952" s="10" t="str">
        <f>IFERROR(__xludf.DUMMYFUNCTION("""COMPUTED_VALUE"""),"Startup Showcase 2")</f>
        <v>Startup Showcase 2</v>
      </c>
      <c r="D952" s="10" t="str">
        <f>IFERROR(__xludf.DUMMYFUNCTION("""COMPUTED_VALUE"""),"Phil Gillman, Alvaro Llobet, Sam Boribon, Gianpaolo Pezzato, Saul Sutton, Andrea Osmar, Peyman Blumstengel, María del Pilar Palma Cuellar García, Anton Mishchenko, Marco Ferreira, Seun Owolabi, Jime Akpusugh, Alena Harbatava, Natasa Peric, Clemens Kirner,"&amp;" Tanja Sanders, Pilleriine Alter, Polina Medvedieva, Luke Gotszling, Ignacio Bermeo, Mariana Hagström, Axel Seth, Richard Awoyemi, Salvador Barros, Rotimi Odukoya, Jorge Pérez Ruiz, Val Sanin, Nathan Harris, Tomislaw Dalic, Olivier Bourdoux, Davy Loon, Le"&amp;"na Miglbauer, Pavlik Kiselev, Jeansy Molanza, Olivier de Montjoye, Farid El Machaoud, Ludvig Odin Hestvik, Marco Fraccalvieri, Alessandro Cillario, JuanMiguel Perez Rosas, Sunkanmi Ola, Stefano Onofri, Bohdan Flyorkiv, Hassane Lhasnaoui, Fátima Zayas Pére"&amp;"z, Jose Manuel Avelino, Paul Evans, Joséphine Rotivel , Juan Antonio Lopez and Antonio Reis")</f>
        <v>Phil Gillman, Alvaro Llobet, Sam Boribon, Gianpaolo Pezzato, Saul Sutton, Andrea Osmar, Peyman Blumstengel, María del Pilar Palma Cuellar García, Anton Mishchenko, Marco Ferreira, Seun Owolabi, Jime Akpusugh, Alena Harbatava, Natasa Peric, Clemens Kirner, Tanja Sanders, Pilleriine Alter, Polina Medvedieva, Luke Gotszling, Ignacio Bermeo, Mariana Hagström, Axel Seth, Richard Awoyemi, Salvador Barros, Rotimi Odukoya, Jorge Pérez Ruiz, Val Sanin, Nathan Harris, Tomislaw Dalic, Olivier Bourdoux, Davy Loon, Lena Miglbauer, Pavlik Kiselev, Jeansy Molanza, Olivier de Montjoye, Farid El Machaoud, Ludvig Odin Hestvik, Marco Fraccalvieri, Alessandro Cillario, JuanMiguel Perez Rosas, Sunkanmi Ola, Stefano Onofri, Bohdan Flyorkiv, Hassane Lhasnaoui, Fátima Zayas Pérez, Jose Manuel Avelino, Paul Evans, Joséphine Rotivel , Juan Antonio Lopez and Antonio Reis</v>
      </c>
      <c r="E952" s="10" t="str">
        <f>IFERROR(__xludf.DUMMYFUNCTION("""COMPUTED_VALUE"""),"Phil Gillman,Alvaro Llobet,Sam Boribon,Gianpaolo Pezzato,Saul Sutton,Andrea Osmar,Peyman Blumstengel,María del Pilar Palma Cuellar García,Anton Mishchenko,Marco Ferreira,Seun Owolabi,Jime Akpusugh,Alena Harbatava,Natasa Peric,Clemens Kirner,Tanja Sanders,"&amp;"Pilleriine Alter,Polina Medvedieva,Luke Gotszling,Ignacio Bermeo,Mariana Hagström,Axel Seth,Richard Awoyemi,Salvador Barros,Rotimi Odukoya,Jorge Pérez Ruiz,Val Sanin,Nathan Harris,Tomislaw Dalic,Olivier Bourdoux,Davy Loon,Lena Miglbauer,Pavlik Kiselev,Jea"&amp;"nsy Molanza,Olivier de Montjoye,Farid El Machaoud,Ludvig Odin Hestvik,Marco Fraccalvieri,Alessandro Cillario,JuanMiguel Perez Rosas,Sunkanmi Ola,Stefano Onofri,Bohdan Flyorkiv,Hassane Lhasnaoui,Fátima Zayas Pérez,Jose Manuel Avelino,Paul Evans,Joséphine R"&amp;"otivel ,Juan Antonio Lopez,Antonio Reis")</f>
        <v>Phil Gillman,Alvaro Llobet,Sam Boribon,Gianpaolo Pezzato,Saul Sutton,Andrea Osmar,Peyman Blumstengel,María del Pilar Palma Cuellar García,Anton Mishchenko,Marco Ferreira,Seun Owolabi,Jime Akpusugh,Alena Harbatava,Natasa Peric,Clemens Kirner,Tanja Sanders,Pilleriine Alter,Polina Medvedieva,Luke Gotszling,Ignacio Bermeo,Mariana Hagström,Axel Seth,Richard Awoyemi,Salvador Barros,Rotimi Odukoya,Jorge Pérez Ruiz,Val Sanin,Nathan Harris,Tomislaw Dalic,Olivier Bourdoux,Davy Loon,Lena Miglbauer,Pavlik Kiselev,Jeansy Molanza,Olivier de Montjoye,Farid El Machaoud,Ludvig Odin Hestvik,Marco Fraccalvieri,Alessandro Cillario,JuanMiguel Perez Rosas,Sunkanmi Ola,Stefano Onofri,Bohdan Flyorkiv,Hassane Lhasnaoui,Fátima Zayas Pérez,Jose Manuel Avelino,Paul Evans,Joséphine Rotivel ,Juan Antonio Lopez,Antonio Reis</v>
      </c>
      <c r="F952" s="10" t="str">
        <f>IFERROR(__xludf.DUMMYFUNCTION("""COMPUTED_VALUE"""),"2019/11/07 12:15:00")</f>
        <v>2019/11/07 12:15:00</v>
      </c>
      <c r="G952" s="10" t="str">
        <f>IFERROR(__xludf.DUMMYFUNCTION("""COMPUTED_VALUE"""),"2019/11/07 13:15:00")</f>
        <v>2019/11/07 13:15:00</v>
      </c>
      <c r="H952" s="10" t="str">
        <f>IFERROR(__xludf.DUMMYFUNCTION("""COMPUTED_VALUE"""),"e059363d-1a02-4c6e-9503-1de3712c9787")</f>
        <v>e059363d-1a02-4c6e-9503-1de3712c9787</v>
      </c>
      <c r="I952" s="10" t="str">
        <f>IFERROR(__xludf.DUMMYFUNCTION("""COMPUTED_VALUE"""),"e059363d-1a02-4c6e-9503-1de3712c9787")</f>
        <v>e059363d-1a02-4c6e-9503-1de3712c9787</v>
      </c>
    </row>
    <row r="953">
      <c r="A953" s="10" t="str">
        <f>IFERROR(__xludf.DUMMYFUNCTION("""COMPUTED_VALUE"""),"Partnering for growth")</f>
        <v>Partnering for growth</v>
      </c>
      <c r="B953" s="10" t="str">
        <f>IFERROR(__xludf.DUMMYFUNCTION("""COMPUTED_VALUE"""),"Sensei Labs helps the world’s largest companies execute their most critical projects including transformations, procurement, and M&amp;A. They’ve doubled their ARR by scaling a global ecosystem of partners like A.T. Kearney. Jay Goldman, CEO, shares how to de"&amp;"sign, track, and scale successful partnerships.")</f>
        <v>Sensei Labs helps the world’s largest companies execute their most critical projects including transformations, procurement, and M&amp;A. They’ve doubled their ARR by scaling a global ecosystem of partners like A.T. Kearney. Jay Goldman, CEO, shares how to design, track, and scale successful partnerships.</v>
      </c>
      <c r="C953" s="10" t="str">
        <f>IFERROR(__xludf.DUMMYFUNCTION("""COMPUTED_VALUE"""),"Growth Summit")</f>
        <v>Growth Summit</v>
      </c>
      <c r="D953" s="10" t="str">
        <f>IFERROR(__xludf.DUMMYFUNCTION("""COMPUTED_VALUE"""),"Jay Goldman")</f>
        <v>Jay Goldman</v>
      </c>
      <c r="E953" s="10" t="str">
        <f>IFERROR(__xludf.DUMMYFUNCTION("""COMPUTED_VALUE"""),"Jay Goldman")</f>
        <v>Jay Goldman</v>
      </c>
      <c r="F953" s="10" t="str">
        <f>IFERROR(__xludf.DUMMYFUNCTION("""COMPUTED_VALUE"""),"2019/11/07 11:06:00")</f>
        <v>2019/11/07 11:06:00</v>
      </c>
      <c r="G953" s="10" t="str">
        <f>IFERROR(__xludf.DUMMYFUNCTION("""COMPUTED_VALUE"""),"2019/11/07 11:10:00")</f>
        <v>2019/11/07 11:10:00</v>
      </c>
      <c r="H953" s="10" t="str">
        <f>IFERROR(__xludf.DUMMYFUNCTION("""COMPUTED_VALUE"""),"38d5c869-1f67-4bf5-be39-57bcac20f6dc")</f>
        <v>38d5c869-1f67-4bf5-be39-57bcac20f6dc</v>
      </c>
      <c r="I953" s="10" t="str">
        <f>IFERROR(__xludf.DUMMYFUNCTION("""COMPUTED_VALUE"""),"38d5c869-1f67-4bf5-be39-57bcac20f6dc")</f>
        <v>38d5c869-1f67-4bf5-be39-57bcac20f6dc</v>
      </c>
    </row>
    <row r="954">
      <c r="A954" s="10" t="str">
        <f>IFERROR(__xludf.DUMMYFUNCTION("""COMPUTED_VALUE"""),"Lunch break")</f>
        <v>Lunch break</v>
      </c>
      <c r="B954" s="10" t="str">
        <f>IFERROR(__xludf.DUMMYFUNCTION("""COMPUTED_VALUE"""),"")</f>
        <v/>
      </c>
      <c r="C954" s="10" t="str">
        <f>IFERROR(__xludf.DUMMYFUNCTION("""COMPUTED_VALUE"""),"Startup University")</f>
        <v>Startup University</v>
      </c>
      <c r="D954" s="10" t="str">
        <f>IFERROR(__xludf.DUMMYFUNCTION("""COMPUTED_VALUE"""),"")</f>
        <v/>
      </c>
      <c r="E954" s="10" t="str">
        <f>IFERROR(__xludf.DUMMYFUNCTION("""COMPUTED_VALUE"""),"")</f>
        <v/>
      </c>
      <c r="F954" s="10" t="str">
        <f>IFERROR(__xludf.DUMMYFUNCTION("""COMPUTED_VALUE"""),"2019/11/06 13:35:00")</f>
        <v>2019/11/06 13:35:00</v>
      </c>
      <c r="G954" s="10" t="str">
        <f>IFERROR(__xludf.DUMMYFUNCTION("""COMPUTED_VALUE"""),"2019/11/06 14:20:00")</f>
        <v>2019/11/06 14:20:00</v>
      </c>
      <c r="H954" s="10" t="str">
        <f>IFERROR(__xludf.DUMMYFUNCTION("""COMPUTED_VALUE"""),"b1c465ff-4f5a-49dc-8601-24314da684bf")</f>
        <v>b1c465ff-4f5a-49dc-8601-24314da684bf</v>
      </c>
      <c r="I954" s="10" t="str">
        <f>IFERROR(__xludf.DUMMYFUNCTION("""COMPUTED_VALUE"""),"b1c465ff-4f5a-49dc-8601-24314da684bf")</f>
        <v>b1c465ff-4f5a-49dc-8601-24314da684bf</v>
      </c>
    </row>
    <row r="955">
      <c r="A955" s="10" t="str">
        <f>IFERROR(__xludf.DUMMYFUNCTION("""COMPUTED_VALUE"""),"Adventures in cannabusiness")</f>
        <v>Adventures in cannabusiness</v>
      </c>
      <c r="B955" s="10" t="str">
        <f>IFERROR(__xludf.DUMMYFUNCTION("""COMPUTED_VALUE"""),"How do you spot a flower among the weeds? What's the best way to grow your cannabis portfolio, and spot the next budding cannabis unicorn? In this panel we'll explore cannabis investing for the green.")</f>
        <v>How do you spot a flower among the weeds? What's the best way to grow your cannabis portfolio, and spot the next budding cannabis unicorn? In this panel we'll explore cannabis investing for the green.</v>
      </c>
      <c r="C955" s="10" t="str">
        <f>IFERROR(__xludf.DUMMYFUNCTION("""COMPUTED_VALUE"""),"Venture stage")</f>
        <v>Venture stage</v>
      </c>
      <c r="D955" s="10" t="str">
        <f>IFERROR(__xludf.DUMMYFUNCTION("""COMPUTED_VALUE"""),"Tahira Rehmatullah, Emily Paxhia and Anne Gaviola")</f>
        <v>Tahira Rehmatullah, Emily Paxhia and Anne Gaviola</v>
      </c>
      <c r="E955" s="10" t="str">
        <f>IFERROR(__xludf.DUMMYFUNCTION("""COMPUTED_VALUE"""),"Tahira Rehmatullah,Emily Paxhia,Anne Gaviola")</f>
        <v>Tahira Rehmatullah,Emily Paxhia,Anne Gaviola</v>
      </c>
      <c r="F955" s="10" t="str">
        <f>IFERROR(__xludf.DUMMYFUNCTION("""COMPUTED_VALUE"""),"2019/11/06 12:10:00")</f>
        <v>2019/11/06 12:10:00</v>
      </c>
      <c r="G955" s="10" t="str">
        <f>IFERROR(__xludf.DUMMYFUNCTION("""COMPUTED_VALUE"""),"2019/11/06 12:30:00")</f>
        <v>2019/11/06 12:30:00</v>
      </c>
      <c r="H955" s="10" t="str">
        <f>IFERROR(__xludf.DUMMYFUNCTION("""COMPUTED_VALUE"""),"827d821c-6e8c-472f-b249-c315432ad50e")</f>
        <v>827d821c-6e8c-472f-b249-c315432ad50e</v>
      </c>
      <c r="I955" s="10" t="str">
        <f>IFERROR(__xludf.DUMMYFUNCTION("""COMPUTED_VALUE"""),"827d821c-6e8c-472f-b249-c315432ad50e")</f>
        <v>827d821c-6e8c-472f-b249-c315432ad50e</v>
      </c>
    </row>
    <row r="956">
      <c r="A956" s="10" t="str">
        <f>IFERROR(__xludf.DUMMYFUNCTION("""COMPUTED_VALUE"""),"Reinvention through reinvestment")</f>
        <v>Reinvention through reinvestment</v>
      </c>
      <c r="B956" s="10" t="str">
        <f>IFERROR(__xludf.DUMMYFUNCTION("""COMPUTED_VALUE"""),"Corporate venture capital offers many benefits such as investor patience and access to big markets. What about when a VC and a CVC join forces and co-invest? What are the shared advantages and what's different for startups?")</f>
        <v>Corporate venture capital offers many benefits such as investor patience and access to big markets. What about when a VC and a CVC join forces and co-invest? What are the shared advantages and what's different for startups?</v>
      </c>
      <c r="C956" s="10" t="str">
        <f>IFERROR(__xludf.DUMMYFUNCTION("""COMPUTED_VALUE"""),"Corporate Innovation Summit")</f>
        <v>Corporate Innovation Summit</v>
      </c>
      <c r="D956" s="10" t="str">
        <f>IFERROR(__xludf.DUMMYFUNCTION("""COMPUTED_VALUE"""),"Rashmi Gopinath, Christina Bechhold Russ, Deborah Magid and James Mawson")</f>
        <v>Rashmi Gopinath, Christina Bechhold Russ, Deborah Magid and James Mawson</v>
      </c>
      <c r="E956" s="10" t="str">
        <f>IFERROR(__xludf.DUMMYFUNCTION("""COMPUTED_VALUE"""),"Rashmi Gopinath,Christina Bechhold Russ,Deborah Magid,James Mawson")</f>
        <v>Rashmi Gopinath,Christina Bechhold Russ,Deborah Magid,James Mawson</v>
      </c>
      <c r="F956" s="10" t="str">
        <f>IFERROR(__xludf.DUMMYFUNCTION("""COMPUTED_VALUE"""),"2019/11/07 14:40:00")</f>
        <v>2019/11/07 14:40:00</v>
      </c>
      <c r="G956" s="10" t="str">
        <f>IFERROR(__xludf.DUMMYFUNCTION("""COMPUTED_VALUE"""),"2019/11/07 15:00:00")</f>
        <v>2019/11/07 15:00:00</v>
      </c>
      <c r="H956" s="10" t="str">
        <f>IFERROR(__xludf.DUMMYFUNCTION("""COMPUTED_VALUE"""),"4c726b46-cb82-4053-907c-02bdbd8ead64")</f>
        <v>4c726b46-cb82-4053-907c-02bdbd8ead64</v>
      </c>
      <c r="I956" s="10" t="str">
        <f>IFERROR(__xludf.DUMMYFUNCTION("""COMPUTED_VALUE"""),"4c726b46-cb82-4053-907c-02bdbd8ead64")</f>
        <v>4c726b46-cb82-4053-907c-02bdbd8ead64</v>
      </c>
    </row>
    <row r="957">
      <c r="A957" s="10" t="str">
        <f>IFERROR(__xludf.DUMMYFUNCTION("""COMPUTED_VALUE"""),"Ad tech is dead.  What’s next?")</f>
        <v>Ad tech is dead.  What’s next?</v>
      </c>
      <c r="B957" s="10" t="str">
        <f>IFERROR(__xludf.DUMMYFUNCTION("""COMPUTED_VALUE"""),"Tipser’s founder shares how Europe's biggest websites and media combat declining advertising and affiliate revenues with embedded ecommerce. This strategy has been proven to outperform ad tech revenues within three months, and provide long term exponentia"&amp;"l growth.")</f>
        <v>Tipser’s founder shares how Europe's biggest websites and media combat declining advertising and affiliate revenues with embedded ecommerce. This strategy has been proven to outperform ad tech revenues within three months, and provide long term exponential growth.</v>
      </c>
      <c r="C957" s="10" t="str">
        <f>IFERROR(__xludf.DUMMYFUNCTION("""COMPUTED_VALUE"""),"Growth Summit")</f>
        <v>Growth Summit</v>
      </c>
      <c r="D957" s="10" t="str">
        <f>IFERROR(__xludf.DUMMYFUNCTION("""COMPUTED_VALUE"""),"Marcus Jacobsson")</f>
        <v>Marcus Jacobsson</v>
      </c>
      <c r="E957" s="10" t="str">
        <f>IFERROR(__xludf.DUMMYFUNCTION("""COMPUTED_VALUE"""),"Marcus Jacobsson")</f>
        <v>Marcus Jacobsson</v>
      </c>
      <c r="F957" s="10" t="str">
        <f>IFERROR(__xludf.DUMMYFUNCTION("""COMPUTED_VALUE"""),"2019/11/05 10:38:00")</f>
        <v>2019/11/05 10:38:00</v>
      </c>
      <c r="G957" s="10" t="str">
        <f>IFERROR(__xludf.DUMMYFUNCTION("""COMPUTED_VALUE"""),"2019/11/05 10:42:00")</f>
        <v>2019/11/05 10:42:00</v>
      </c>
      <c r="H957" s="10" t="str">
        <f>IFERROR(__xludf.DUMMYFUNCTION("""COMPUTED_VALUE"""),"cae9db33-a98f-4c61-96a4-f22613ca158f")</f>
        <v>cae9db33-a98f-4c61-96a4-f22613ca158f</v>
      </c>
      <c r="I957" s="10" t="str">
        <f>IFERROR(__xludf.DUMMYFUNCTION("""COMPUTED_VALUE"""),"cae9db33-a98f-4c61-96a4-f22613ca158f")</f>
        <v>cae9db33-a98f-4c61-96a4-f22613ca158f</v>
      </c>
    </row>
    <row r="958">
      <c r="A958" s="10" t="str">
        <f>IFERROR(__xludf.DUMMYFUNCTION("""COMPUTED_VALUE"""),"How to move your business from startup to growth in five steps")</f>
        <v>How to move your business from startup to growth in five steps</v>
      </c>
      <c r="B958" s="10" t="str">
        <f>IFERROR(__xludf.DUMMYFUNCTION("""COMPUTED_VALUE"""),"Impact's CEO, David will share his experience in driving Impact forward - from a startup to a high-growth business. The audience can expect to see his five step roadmap for success.")</f>
        <v>Impact's CEO, David will share his experience in driving Impact forward - from a startup to a high-growth business. The audience can expect to see his five step roadmap for success.</v>
      </c>
      <c r="C958" s="10" t="str">
        <f>IFERROR(__xludf.DUMMYFUNCTION("""COMPUTED_VALUE"""),"Growth Summit")</f>
        <v>Growth Summit</v>
      </c>
      <c r="D958" s="10" t="str">
        <f>IFERROR(__xludf.DUMMYFUNCTION("""COMPUTED_VALUE"""),"David Yovanno")</f>
        <v>David Yovanno</v>
      </c>
      <c r="E958" s="10" t="str">
        <f>IFERROR(__xludf.DUMMYFUNCTION("""COMPUTED_VALUE"""),"David Yovanno")</f>
        <v>David Yovanno</v>
      </c>
      <c r="F958" s="10" t="str">
        <f>IFERROR(__xludf.DUMMYFUNCTION("""COMPUTED_VALUE"""),"2019/11/05 14:42:00")</f>
        <v>2019/11/05 14:42:00</v>
      </c>
      <c r="G958" s="10" t="str">
        <f>IFERROR(__xludf.DUMMYFUNCTION("""COMPUTED_VALUE"""),"2019/11/05 14:53:00")</f>
        <v>2019/11/05 14:53:00</v>
      </c>
      <c r="H958" s="10" t="str">
        <f>IFERROR(__xludf.DUMMYFUNCTION("""COMPUTED_VALUE"""),"e20b4bb4-2b9f-4029-8a10-60e3fe233692")</f>
        <v>e20b4bb4-2b9f-4029-8a10-60e3fe233692</v>
      </c>
      <c r="I958" s="10" t="str">
        <f>IFERROR(__xludf.DUMMYFUNCTION("""COMPUTED_VALUE"""),"e20b4bb4-2b9f-4029-8a10-60e3fe233692")</f>
        <v>e20b4bb4-2b9f-4029-8a10-60e3fe233692</v>
      </c>
    </row>
    <row r="959">
      <c r="A959" s="10" t="str">
        <f>IFERROR(__xludf.DUMMYFUNCTION("""COMPUTED_VALUE"""),"How product intelligence is redefining the global tech industry")</f>
        <v>How product intelligence is redefining the global tech industry</v>
      </c>
      <c r="B959" s="10" t="str">
        <f>IFERROR(__xludf.DUMMYFUNCTION("""COMPUTED_VALUE"""),"We are in a product-led era, where companies with the best product experience win. Product intelligence is the secret sauce for building frictionless customer experiences. See how product intelligence empowers teams to build exceptional experiences with i"&amp;"nsights that are relevant, timely, and contextualised to the customer’s behavior.")</f>
        <v>We are in a product-led era, where companies with the best product experience win. Product intelligence is the secret sauce for building frictionless customer experiences. See how product intelligence empowers teams to build exceptional experiences with insights that are relevant, timely, and contextualised to the customer’s behavior.</v>
      </c>
      <c r="C959" s="10" t="str">
        <f>IFERROR(__xludf.DUMMYFUNCTION("""COMPUTED_VALUE"""),"Growth Summit")</f>
        <v>Growth Summit</v>
      </c>
      <c r="D959" s="10" t="str">
        <f>IFERROR(__xludf.DUMMYFUNCTION("""COMPUTED_VALUE"""),"Spenser Skates")</f>
        <v>Spenser Skates</v>
      </c>
      <c r="E959" s="10" t="str">
        <f>IFERROR(__xludf.DUMMYFUNCTION("""COMPUTED_VALUE"""),"Spenser Skates")</f>
        <v>Spenser Skates</v>
      </c>
      <c r="F959" s="10" t="str">
        <f>IFERROR(__xludf.DUMMYFUNCTION("""COMPUTED_VALUE"""),"2019/11/05 13:47:00")</f>
        <v>2019/11/05 13:47:00</v>
      </c>
      <c r="G959" s="10" t="str">
        <f>IFERROR(__xludf.DUMMYFUNCTION("""COMPUTED_VALUE"""),"2019/11/05 13:58:00")</f>
        <v>2019/11/05 13:58:00</v>
      </c>
      <c r="H959" s="10" t="str">
        <f>IFERROR(__xludf.DUMMYFUNCTION("""COMPUTED_VALUE"""),"6c19e91e-3303-419c-a432-c67f0274e32b")</f>
        <v>6c19e91e-3303-419c-a432-c67f0274e32b</v>
      </c>
      <c r="I959" s="10" t="str">
        <f>IFERROR(__xludf.DUMMYFUNCTION("""COMPUTED_VALUE"""),"6c19e91e-3303-419c-a432-c67f0274e32b")</f>
        <v>6c19e91e-3303-419c-a432-c67f0274e32b</v>
      </c>
    </row>
    <row r="960">
      <c r="A960" s="10" t="str">
        <f>IFERROR(__xludf.DUMMYFUNCTION("""COMPUTED_VALUE"""),"Opening remarks - Global Venture Overview")</f>
        <v>Opening remarks - Global Venture Overview</v>
      </c>
      <c r="B960" s="10" t="str">
        <f>IFERROR(__xludf.DUMMYFUNCTION("""COMPUTED_VALUE"""),"")</f>
        <v/>
      </c>
      <c r="C960" s="10" t="str">
        <f>IFERROR(__xludf.DUMMYFUNCTION("""COMPUTED_VALUE"""),"Venture stage")</f>
        <v>Venture stage</v>
      </c>
      <c r="D960" s="10" t="str">
        <f>IFERROR(__xludf.DUMMYFUNCTION("""COMPUTED_VALUE"""),"Nizar Tarhuni")</f>
        <v>Nizar Tarhuni</v>
      </c>
      <c r="E960" s="10" t="str">
        <f>IFERROR(__xludf.DUMMYFUNCTION("""COMPUTED_VALUE"""),"Nizar Tarhuni")</f>
        <v>Nizar Tarhuni</v>
      </c>
      <c r="F960" s="10" t="str">
        <f>IFERROR(__xludf.DUMMYFUNCTION("""COMPUTED_VALUE"""),"2019/11/05 13:30:00")</f>
        <v>2019/11/05 13:30:00</v>
      </c>
      <c r="G960" s="10" t="str">
        <f>IFERROR(__xludf.DUMMYFUNCTION("""COMPUTED_VALUE"""),"2019/11/05 13:45:00")</f>
        <v>2019/11/05 13:45:00</v>
      </c>
      <c r="H960" s="10" t="str">
        <f>IFERROR(__xludf.DUMMYFUNCTION("""COMPUTED_VALUE"""),"5183caf9-5006-4cf8-a723-9de2854337fd")</f>
        <v>5183caf9-5006-4cf8-a723-9de2854337fd</v>
      </c>
      <c r="I960" s="10" t="str">
        <f>IFERROR(__xludf.DUMMYFUNCTION("""COMPUTED_VALUE"""),"5183caf9-5006-4cf8-a723-9de2854337fd")</f>
        <v>5183caf9-5006-4cf8-a723-9de2854337fd</v>
      </c>
    </row>
    <row r="961">
      <c r="A961" s="10" t="str">
        <f>IFERROR(__xludf.DUMMYFUNCTION("""COMPUTED_VALUE"""),"Fashiontech: Transforming a timeless brand")</f>
        <v>Fashiontech: Transforming a timeless brand</v>
      </c>
      <c r="B961" s="10" t="str">
        <f>IFERROR(__xludf.DUMMYFUNCTION("""COMPUTED_VALUE"""),"Tommy Hilfiger have turned their iconic red and blue brand into a fully formed digital entity. From VR fashion shows to partnerships with the world's most up-and-coming fashion names, come hear CEO Daniel Grieder share what's next for PVH and Tommy Hilfig"&amp;"er. ")</f>
        <v>Tommy Hilfiger have turned their iconic red and blue brand into a fully formed digital entity. From VR fashion shows to partnerships with the world's most up-and-coming fashion names, come hear CEO Daniel Grieder share what's next for PVH and Tommy Hilfiger. </v>
      </c>
      <c r="C961" s="10" t="str">
        <f>IFERROR(__xludf.DUMMYFUNCTION("""COMPUTED_VALUE"""),"Modum")</f>
        <v>Modum</v>
      </c>
      <c r="D961" s="10" t="str">
        <f>IFERROR(__xludf.DUMMYFUNCTION("""COMPUTED_VALUE"""),"Daniel Grieder")</f>
        <v>Daniel Grieder</v>
      </c>
      <c r="E961" s="10" t="str">
        <f>IFERROR(__xludf.DUMMYFUNCTION("""COMPUTED_VALUE"""),"Daniel Grieder")</f>
        <v>Daniel Grieder</v>
      </c>
      <c r="F961" s="10" t="str">
        <f>IFERROR(__xludf.DUMMYFUNCTION("""COMPUTED_VALUE"""),"2019/11/07 12:15:00")</f>
        <v>2019/11/07 12:15:00</v>
      </c>
      <c r="G961" s="10" t="str">
        <f>IFERROR(__xludf.DUMMYFUNCTION("""COMPUTED_VALUE"""),"2019/11/07 12:35:00")</f>
        <v>2019/11/07 12:35:00</v>
      </c>
      <c r="H961" s="10" t="str">
        <f>IFERROR(__xludf.DUMMYFUNCTION("""COMPUTED_VALUE"""),"0d5543cd-dd6e-4465-bb9d-54605cd5729c")</f>
        <v>0d5543cd-dd6e-4465-bb9d-54605cd5729c</v>
      </c>
      <c r="I961" s="10" t="str">
        <f>IFERROR(__xludf.DUMMYFUNCTION("""COMPUTED_VALUE"""),"0d5543cd-dd6e-4465-bb9d-54605cd5729c")</f>
        <v>0d5543cd-dd6e-4465-bb9d-54605cd5729c</v>
      </c>
    </row>
    <row r="962">
      <c r="A962" s="10" t="str">
        <f>IFERROR(__xludf.DUMMYFUNCTION("""COMPUTED_VALUE"""),"PITCH ground round 11")</f>
        <v>PITCH ground round 11</v>
      </c>
      <c r="B962" s="10" t="str">
        <f>IFERROR(__xludf.DUMMYFUNCTION("""COMPUTED_VALUE"""),"")</f>
        <v/>
      </c>
      <c r="C962" s="10" t="str">
        <f>IFERROR(__xludf.DUMMYFUNCTION("""COMPUTED_VALUE"""),"")</f>
        <v/>
      </c>
      <c r="D962" s="10" t="str">
        <f>IFERROR(__xludf.DUMMYFUNCTION("""COMPUTED_VALUE"""),"Alexia Arts,  Nicolas Goulet,  Yamilette Cano,  Niklas Rosenberg,  Faizal Javer,  Brett Kaluza,  Alex de Bold,  Simon Boulet,  Eric van Hall,  Wilco Verdoold,  José Luis Siñani and  Alexandra Stefan and Nenad Novovic")</f>
        <v>Alexia Arts,  Nicolas Goulet,  Yamilette Cano,  Niklas Rosenberg,  Faizal Javer,  Brett Kaluza,  Alex de Bold,  Simon Boulet,  Eric van Hall,  Wilco Verdoold,  José Luis Siñani and  Alexandra Stefan and Nenad Novovic</v>
      </c>
      <c r="E962" s="10" t="str">
        <f>IFERROR(__xludf.DUMMYFUNCTION("""COMPUTED_VALUE"""),"Alexia Arts, Nicolas Goulet, Yamilette Cano, Niklas Rosenberg, Faizal Javer, Brett Kaluza, Alex de Bold, Simon Boulet, Eric van Hall, Wilco Verdoold, José Luis Siñani, Alexandra Stefan and Nenad Novovic")</f>
        <v>Alexia Arts, Nicolas Goulet, Yamilette Cano, Niklas Rosenberg, Faizal Javer, Brett Kaluza, Alex de Bold, Simon Boulet, Eric van Hall, Wilco Verdoold, José Luis Siñani, Alexandra Stefan and Nenad Novovic</v>
      </c>
      <c r="F962" s="10" t="str">
        <f>IFERROR(__xludf.DUMMYFUNCTION("""COMPUTED_VALUE"""),"")</f>
        <v/>
      </c>
      <c r="G962" s="10" t="str">
        <f>IFERROR(__xludf.DUMMYFUNCTION("""COMPUTED_VALUE"""),"")</f>
        <v/>
      </c>
      <c r="H962" s="10" t="str">
        <f>IFERROR(__xludf.DUMMYFUNCTION("""COMPUTED_VALUE"""),"3e9ecdbd-22f2-50bb-9d63-97cf97d2112d")</f>
        <v>3e9ecdbd-22f2-50bb-9d63-97cf97d2112d</v>
      </c>
      <c r="I962" s="10" t="str">
        <f>IFERROR(__xludf.DUMMYFUNCTION("""COMPUTED_VALUE"""),"3e9ecdbd-22f2-50bb-9d63-97cf97d2112d")</f>
        <v>3e9ecdbd-22f2-50bb-9d63-97cf97d2112d</v>
      </c>
    </row>
    <row r="963">
      <c r="A963" s="10" t="str">
        <f>IFERROR(__xludf.DUMMYFUNCTION("""COMPUTED_VALUE"""),"The life and times of a modern CTO")</f>
        <v>The life and times of a modern CTO</v>
      </c>
      <c r="B963" s="10" t="str">
        <f>IFERROR(__xludf.DUMMYFUNCTION("""COMPUTED_VALUE"""),"A panel of CTOs from large enterprise, unicorn and fast growing tech startup discuss the evolution of the CTO role, the need for innovation and how to adapt and capitalise on emerging technology trends.")</f>
        <v>A panel of CTOs from large enterprise, unicorn and fast growing tech startup discuss the evolution of the CTO role, the need for innovation and how to adapt and capitalise on emerging technology trends.</v>
      </c>
      <c r="C963" s="10" t="str">
        <f>IFERROR(__xludf.DUMMYFUNCTION("""COMPUTED_VALUE"""),"FullSTK")</f>
        <v>FullSTK</v>
      </c>
      <c r="D963" s="10" t="str">
        <f>IFERROR(__xludf.DUMMYFUNCTION("""COMPUTED_VALUE"""),"Ilan Twig, Alan Boehme, Christine Spang, Calvin French-Owen and Julie Bort")</f>
        <v>Ilan Twig, Alan Boehme, Christine Spang, Calvin French-Owen and Julie Bort</v>
      </c>
      <c r="E963" s="10" t="str">
        <f>IFERROR(__xludf.DUMMYFUNCTION("""COMPUTED_VALUE"""),"Ilan Twig,Alan Boehme,Christine Spang,Calvin French-Owen,Julie Bort")</f>
        <v>Ilan Twig,Alan Boehme,Christine Spang,Calvin French-Owen,Julie Bort</v>
      </c>
      <c r="F963" s="10" t="str">
        <f>IFERROR(__xludf.DUMMYFUNCTION("""COMPUTED_VALUE"""),"2019/11/07 14:55:00")</f>
        <v>2019/11/07 14:55:00</v>
      </c>
      <c r="G963" s="10" t="str">
        <f>IFERROR(__xludf.DUMMYFUNCTION("""COMPUTED_VALUE"""),"2019/11/07 15:20:00")</f>
        <v>2019/11/07 15:20:00</v>
      </c>
      <c r="H963" s="10" t="str">
        <f>IFERROR(__xludf.DUMMYFUNCTION("""COMPUTED_VALUE"""),"e1646f75-7c16-472d-a930-3b956b842308")</f>
        <v>e1646f75-7c16-472d-a930-3b956b842308</v>
      </c>
      <c r="I963" s="10" t="str">
        <f>IFERROR(__xludf.DUMMYFUNCTION("""COMPUTED_VALUE"""),"e1646f75-7c16-472d-a930-3b956b842308")</f>
        <v>e1646f75-7c16-472d-a930-3b956b842308</v>
      </c>
    </row>
    <row r="964">
      <c r="A964" s="10" t="str">
        <f>IFERROR(__xludf.DUMMYFUNCTION("""COMPUTED_VALUE"""),"Unlocking the opportunities with AI in large enterprises")</f>
        <v>Unlocking the opportunities with AI in large enterprises</v>
      </c>
      <c r="B964" s="10" t="str">
        <f>IFERROR(__xludf.DUMMYFUNCTION("""COMPUTED_VALUE"""),"A discussion with industry innovators to understand how big corporations best take advantage of AI, focusing on understanding suitable use cases, finding the right tools and creating the right internal structures to succeed.")</f>
        <v>A discussion with industry innovators to understand how big corporations best take advantage of AI, focusing on understanding suitable use cases, finding the right tools and creating the right internal structures to succeed.</v>
      </c>
      <c r="C964" s="10" t="str">
        <f>IFERROR(__xludf.DUMMYFUNCTION("""COMPUTED_VALUE"""),"SaaS Monster")</f>
        <v>SaaS Monster</v>
      </c>
      <c r="D964" s="10" t="str">
        <f>IFERROR(__xludf.DUMMYFUNCTION("""COMPUTED_VALUE"""),"Lucy Thomas, John Paul, Barry Panayi, Luis Alveirinho and Princess Beatrice of York")</f>
        <v>Lucy Thomas, John Paul, Barry Panayi, Luis Alveirinho and Princess Beatrice of York</v>
      </c>
      <c r="E964" s="10" t="str">
        <f>IFERROR(__xludf.DUMMYFUNCTION("""COMPUTED_VALUE"""),"Lucy Thomas,John Paul,Barry Panayi,Luis Alveirinho,Princess Beatrice of York")</f>
        <v>Lucy Thomas,John Paul,Barry Panayi,Luis Alveirinho,Princess Beatrice of York</v>
      </c>
      <c r="F964" s="10" t="str">
        <f>IFERROR(__xludf.DUMMYFUNCTION("""COMPUTED_VALUE"""),"2019/11/05 15:45:00")</f>
        <v>2019/11/05 15:45:00</v>
      </c>
      <c r="G964" s="10" t="str">
        <f>IFERROR(__xludf.DUMMYFUNCTION("""COMPUTED_VALUE"""),"2019/11/05 16:05:00")</f>
        <v>2019/11/05 16:05:00</v>
      </c>
      <c r="H964" s="10" t="str">
        <f>IFERROR(__xludf.DUMMYFUNCTION("""COMPUTED_VALUE"""),"8cc845ab-5e39-4ad1-aa5a-d7383ca4e8e1")</f>
        <v>8cc845ab-5e39-4ad1-aa5a-d7383ca4e8e1</v>
      </c>
      <c r="I964" s="10" t="str">
        <f>IFERROR(__xludf.DUMMYFUNCTION("""COMPUTED_VALUE"""),"8cc845ab-5e39-4ad1-aa5a-d7383ca4e8e1")</f>
        <v>8cc845ab-5e39-4ad1-aa5a-d7383ca4e8e1</v>
      </c>
    </row>
    <row r="965">
      <c r="A965" s="10" t="str">
        <f>IFERROR(__xludf.DUMMYFUNCTION("""COMPUTED_VALUE"""),"Explore your digital futures, hosted by Shell")</f>
        <v>Explore your digital futures, hosted by Shell</v>
      </c>
      <c r="B965" s="10"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965" s="10" t="str">
        <f>IFERROR(__xludf.DUMMYFUNCTION("""COMPUTED_VALUE"""),"Workshop 3")</f>
        <v>Workshop 3</v>
      </c>
      <c r="D965" s="10" t="str">
        <f>IFERROR(__xludf.DUMMYFUNCTION("""COMPUTED_VALUE"""),"Adam Eales")</f>
        <v>Adam Eales</v>
      </c>
      <c r="E965" s="10" t="str">
        <f>IFERROR(__xludf.DUMMYFUNCTION("""COMPUTED_VALUE"""),"Adam Eales")</f>
        <v>Adam Eales</v>
      </c>
      <c r="F965" s="10" t="str">
        <f>IFERROR(__xludf.DUMMYFUNCTION("""COMPUTED_VALUE"""),"2019/11/07 12:00:00")</f>
        <v>2019/11/07 12:00:00</v>
      </c>
      <c r="G965" s="10" t="str">
        <f>IFERROR(__xludf.DUMMYFUNCTION("""COMPUTED_VALUE"""),"2019/11/07 12:45:00")</f>
        <v>2019/11/07 12:45:00</v>
      </c>
      <c r="H965" s="10" t="str">
        <f>IFERROR(__xludf.DUMMYFUNCTION("""COMPUTED_VALUE"""),"d51aa7f8-954b-4e73-90c8-04737dacec4e")</f>
        <v>d51aa7f8-954b-4e73-90c8-04737dacec4e</v>
      </c>
      <c r="I965" s="10" t="str">
        <f>IFERROR(__xludf.DUMMYFUNCTION("""COMPUTED_VALUE"""),"d51aa7f8-954b-4e73-90c8-04737dacec4e")</f>
        <v>d51aa7f8-954b-4e73-90c8-04737dacec4e</v>
      </c>
    </row>
    <row r="966">
      <c r="A966" s="10" t="str">
        <f>IFERROR(__xludf.DUMMYFUNCTION("""COMPUTED_VALUE"""),"UN Global Compact SDG Media Zone")</f>
        <v>UN Global Compact SDG Media Zone</v>
      </c>
      <c r="B966" s="10"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966" s="10" t="str">
        <f>IFERROR(__xludf.DUMMYFUNCTION("""COMPUTED_VALUE"""),"UN Global Compact SDG Media Zone, E214, FIL 2")</f>
        <v>UN Global Compact SDG Media Zone, E214, FIL 2</v>
      </c>
      <c r="D966" s="10" t="str">
        <f>IFERROR(__xludf.DUMMYFUNCTION("""COMPUTED_VALUE"""),"")</f>
        <v/>
      </c>
      <c r="E966" s="10" t="str">
        <f>IFERROR(__xludf.DUMMYFUNCTION("""COMPUTED_VALUE"""),"")</f>
        <v/>
      </c>
      <c r="F966" s="10" t="str">
        <f>IFERROR(__xludf.DUMMYFUNCTION("""COMPUTED_VALUE"""),"2019/11/07 10:00:00")</f>
        <v>2019/11/07 10:00:00</v>
      </c>
      <c r="G966" s="10" t="str">
        <f>IFERROR(__xludf.DUMMYFUNCTION("""COMPUTED_VALUE"""),"2019/11/07 16:00:00")</f>
        <v>2019/11/07 16:00:00</v>
      </c>
      <c r="H966" s="10" t="str">
        <f>IFERROR(__xludf.DUMMYFUNCTION("""COMPUTED_VALUE"""),"94b8ebe1-2c28-4fe4-a543-a550c2c6d8df")</f>
        <v>94b8ebe1-2c28-4fe4-a543-a550c2c6d8df</v>
      </c>
      <c r="I966" s="10" t="str">
        <f>IFERROR(__xludf.DUMMYFUNCTION("""COMPUTED_VALUE"""),"94b8ebe1-2c28-4fe4-a543-a550c2c6d8df")</f>
        <v>94b8ebe1-2c28-4fe4-a543-a550c2c6d8df</v>
      </c>
    </row>
    <row r="967">
      <c r="A967" s="10" t="str">
        <f>IFERROR(__xludf.DUMMYFUNCTION("""COMPUTED_VALUE"""),"Are our cars smart enough?")</f>
        <v>Are our cars smart enough?</v>
      </c>
      <c r="B967" s="10" t="str">
        <f>IFERROR(__xludf.DUMMYFUNCTION("""COMPUTED_VALUE"""),"In an age where we're putting a lot of responsibility on our autonomous vehicles — but are they smart enough? In this panel, we're going to explore three different lanes of intelligent autonomy.")</f>
        <v>In an age where we're putting a lot of responsibility on our autonomous vehicles — but are they smart enough? In this panel, we're going to explore three different lanes of intelligent autonomy.</v>
      </c>
      <c r="C967" s="10" t="str">
        <f>IFERROR(__xludf.DUMMYFUNCTION("""COMPUTED_VALUE"""),"Auto/Tech &amp; TalkRobot")</f>
        <v>Auto/Tech &amp; TalkRobot</v>
      </c>
      <c r="D967" s="10" t="str">
        <f>IFERROR(__xludf.DUMMYFUNCTION("""COMPUTED_VALUE"""),"Christopher Heiser, Karlheinz Wurm, Dieter May and Jim Motavalli")</f>
        <v>Christopher Heiser, Karlheinz Wurm, Dieter May and Jim Motavalli</v>
      </c>
      <c r="E967" s="10" t="str">
        <f>IFERROR(__xludf.DUMMYFUNCTION("""COMPUTED_VALUE"""),"Christopher Heiser,Karlheinz Wurm,Dieter May,Jim Motavalli")</f>
        <v>Christopher Heiser,Karlheinz Wurm,Dieter May,Jim Motavalli</v>
      </c>
      <c r="F967" s="10" t="str">
        <f>IFERROR(__xludf.DUMMYFUNCTION("""COMPUTED_VALUE"""),"2019/11/06 14:40:00")</f>
        <v>2019/11/06 14:40:00</v>
      </c>
      <c r="G967" s="10" t="str">
        <f>IFERROR(__xludf.DUMMYFUNCTION("""COMPUTED_VALUE"""),"2019/11/06 15:00:00")</f>
        <v>2019/11/06 15:00:00</v>
      </c>
      <c r="H967" s="10" t="str">
        <f>IFERROR(__xludf.DUMMYFUNCTION("""COMPUTED_VALUE"""),"0fdbfb24-a37b-4cbc-b2f1-5bb73dd1471e")</f>
        <v>0fdbfb24-a37b-4cbc-b2f1-5bb73dd1471e</v>
      </c>
      <c r="I967" s="10" t="str">
        <f>IFERROR(__xludf.DUMMYFUNCTION("""COMPUTED_VALUE"""),"0fdbfb24-a37b-4cbc-b2f1-5bb73dd1471e")</f>
        <v>0fdbfb24-a37b-4cbc-b2f1-5bb73dd1471e</v>
      </c>
    </row>
    <row r="968">
      <c r="A968" s="10" t="str">
        <f>IFERROR(__xludf.DUMMYFUNCTION("""COMPUTED_VALUE"""),"Abbey Road: From yesterday to tomorrow never knows")</f>
        <v>Abbey Road: From yesterday to tomorrow never knows</v>
      </c>
      <c r="B968" s="10" t="str">
        <f>IFERROR(__xludf.DUMMYFUNCTION("""COMPUTED_VALUE"""),"The studio that invented stereo and countless pioneering advances in recording technology, continues to innovate with its music tech incubator Abbey Road Red. Discover what the future might hold with Red founder and Studios' Managing Director, Isabel Garv"&amp;"ey.")</f>
        <v>The studio that invented stereo and countless pioneering advances in recording technology, continues to innovate with its music tech incubator Abbey Road Red. Discover what the future might hold with Red founder and Studios' Managing Director, Isabel Garvey.</v>
      </c>
      <c r="C968" s="10" t="str">
        <f>IFERROR(__xludf.DUMMYFUNCTION("""COMPUTED_VALUE"""),"MusicNotes")</f>
        <v>MusicNotes</v>
      </c>
      <c r="D968" s="10" t="str">
        <f>IFERROR(__xludf.DUMMYFUNCTION("""COMPUTED_VALUE"""),"Isabel Garvey")</f>
        <v>Isabel Garvey</v>
      </c>
      <c r="E968" s="10" t="str">
        <f>IFERROR(__xludf.DUMMYFUNCTION("""COMPUTED_VALUE"""),"Isabel Garvey")</f>
        <v>Isabel Garvey</v>
      </c>
      <c r="F968" s="10" t="str">
        <f>IFERROR(__xludf.DUMMYFUNCTION("""COMPUTED_VALUE"""),"2019/11/07 15:00:00")</f>
        <v>2019/11/07 15:00:00</v>
      </c>
      <c r="G968" s="10" t="str">
        <f>IFERROR(__xludf.DUMMYFUNCTION("""COMPUTED_VALUE"""),"2019/11/07 15:15:00")</f>
        <v>2019/11/07 15:15:00</v>
      </c>
      <c r="H968" s="10" t="str">
        <f>IFERROR(__xludf.DUMMYFUNCTION("""COMPUTED_VALUE"""),"92612d79-b319-4b37-b083-527248be59b3")</f>
        <v>92612d79-b319-4b37-b083-527248be59b3</v>
      </c>
      <c r="I968" s="10" t="str">
        <f>IFERROR(__xludf.DUMMYFUNCTION("""COMPUTED_VALUE"""),"92612d79-b319-4b37-b083-527248be59b3")</f>
        <v>92612d79-b319-4b37-b083-527248be59b3</v>
      </c>
    </row>
    <row r="969">
      <c r="A969" s="10" t="str">
        <f>IFERROR(__xludf.DUMMYFUNCTION("""COMPUTED_VALUE"""),"Lunch break")</f>
        <v>Lunch break</v>
      </c>
      <c r="B969" s="10" t="str">
        <f>IFERROR(__xludf.DUMMYFUNCTION("""COMPUTED_VALUE"""),"")</f>
        <v/>
      </c>
      <c r="C969" s="10" t="str">
        <f>IFERROR(__xludf.DUMMYFUNCTION("""COMPUTED_VALUE"""),"PandaConf")</f>
        <v>PandaConf</v>
      </c>
      <c r="D969" s="10" t="str">
        <f>IFERROR(__xludf.DUMMYFUNCTION("""COMPUTED_VALUE"""),"")</f>
        <v/>
      </c>
      <c r="E969" s="10" t="str">
        <f>IFERROR(__xludf.DUMMYFUNCTION("""COMPUTED_VALUE"""),"")</f>
        <v/>
      </c>
      <c r="F969" s="10" t="str">
        <f>IFERROR(__xludf.DUMMYFUNCTION("""COMPUTED_VALUE"""),"2019/11/07 12:50:00")</f>
        <v>2019/11/07 12:50:00</v>
      </c>
      <c r="G969" s="10" t="str">
        <f>IFERROR(__xludf.DUMMYFUNCTION("""COMPUTED_VALUE"""),"2019/11/07 13:35:00")</f>
        <v>2019/11/07 13:35:00</v>
      </c>
      <c r="H969" s="10" t="str">
        <f>IFERROR(__xludf.DUMMYFUNCTION("""COMPUTED_VALUE"""),"a2e61a36-7cc0-4b6a-9ee4-7b5a4cd18351")</f>
        <v>a2e61a36-7cc0-4b6a-9ee4-7b5a4cd18351</v>
      </c>
      <c r="I969" s="10" t="str">
        <f>IFERROR(__xludf.DUMMYFUNCTION("""COMPUTED_VALUE"""),"a2e61a36-7cc0-4b6a-9ee4-7b5a4cd18351")</f>
        <v>a2e61a36-7cc0-4b6a-9ee4-7b5a4cd18351</v>
      </c>
    </row>
    <row r="970">
      <c r="A970" s="10" t="str">
        <f>IFERROR(__xludf.DUMMYFUNCTION("""COMPUTED_VALUE"""),"AI = Easier access to healthcare?")</f>
        <v>AI = Easier access to healthcare?</v>
      </c>
      <c r="B970" s="10" t="str">
        <f>IFERROR(__xludf.DUMMYFUNCTION("""COMPUTED_VALUE"""),"Critics say tech only serves those already on the grid; the rich, the connected, the Western. But from rural China, to remotest Africa, our expert speakers say AI is making healthcare easier to access by the day, no matter who, no matter where.")</f>
        <v>Critics say tech only serves those already on the grid; the rich, the connected, the Western. But from rural China, to remotest Africa, our expert speakers say AI is making healthcare easier to access by the day, no matter who, no matter where.</v>
      </c>
      <c r="C970" s="10" t="str">
        <f>IFERROR(__xludf.DUMMYFUNCTION("""COMPUTED_VALUE"""),"HealthConf")</f>
        <v>HealthConf</v>
      </c>
      <c r="D970" s="10" t="str">
        <f>IFERROR(__xludf.DUMMYFUNCTION("""COMPUTED_VALUE"""),"Constance Lehman, Dr Marco Huesch and Paul Nuki")</f>
        <v>Constance Lehman, Dr Marco Huesch and Paul Nuki</v>
      </c>
      <c r="E970" s="10" t="str">
        <f>IFERROR(__xludf.DUMMYFUNCTION("""COMPUTED_VALUE"""),"Constance Lehman,Dr Marco Huesch,Paul Nuki")</f>
        <v>Constance Lehman,Dr Marco Huesch,Paul Nuki</v>
      </c>
      <c r="F970" s="10" t="str">
        <f>IFERROR(__xludf.DUMMYFUNCTION("""COMPUTED_VALUE"""),"2019/11/07 10:45:00")</f>
        <v>2019/11/07 10:45:00</v>
      </c>
      <c r="G970" s="10" t="str">
        <f>IFERROR(__xludf.DUMMYFUNCTION("""COMPUTED_VALUE"""),"2019/11/07 11:05:00")</f>
        <v>2019/11/07 11:05:00</v>
      </c>
      <c r="H970" s="10" t="str">
        <f>IFERROR(__xludf.DUMMYFUNCTION("""COMPUTED_VALUE"""),"c4905bad-4447-4470-98a1-e275fbf55507")</f>
        <v>c4905bad-4447-4470-98a1-e275fbf55507</v>
      </c>
      <c r="I970" s="10" t="str">
        <f>IFERROR(__xludf.DUMMYFUNCTION("""COMPUTED_VALUE"""),"c4905bad-4447-4470-98a1-e275fbf55507")</f>
        <v>c4905bad-4447-4470-98a1-e275fbf55507</v>
      </c>
    </row>
    <row r="971">
      <c r="A971" s="10" t="str">
        <f>IFERROR(__xludf.DUMMYFUNCTION("""COMPUTED_VALUE"""),"PITCH group round 10")</f>
        <v>PITCH group round 10</v>
      </c>
      <c r="B971" s="10" t="str">
        <f>IFERROR(__xludf.DUMMYFUNCTION("""COMPUTED_VALUE"""),"")</f>
        <v/>
      </c>
      <c r="C971" s="10" t="str">
        <f>IFERROR(__xludf.DUMMYFUNCTION("""COMPUTED_VALUE"""),"PITCH 1")</f>
        <v>PITCH 1</v>
      </c>
      <c r="D971" s="10" t="str">
        <f>IFERROR(__xludf.DUMMYFUNCTION("""COMPUTED_VALUE"""),"Sander Geels, Curtis MacDonald, Jim Hunter, Raúl Saraiva, Soulama Sakar, Benjamin Gareis, Kevin Feeney, Simon Puleston Jones and Leila Lech")</f>
        <v>Sander Geels, Curtis MacDonald, Jim Hunter, Raúl Saraiva, Soulama Sakar, Benjamin Gareis, Kevin Feeney, Simon Puleston Jones and Leila Lech</v>
      </c>
      <c r="E971" s="10" t="str">
        <f>IFERROR(__xludf.DUMMYFUNCTION("""COMPUTED_VALUE"""),"Sander Geels,Curtis MacDonald,Jim Hunter,Raúl Saraiva,Soulama Sakar,Benjamin Gareis,Kevin Feeney,Simon Puleston Jones,Leila Lech")</f>
        <v>Sander Geels,Curtis MacDonald,Jim Hunter,Raúl Saraiva,Soulama Sakar,Benjamin Gareis,Kevin Feeney,Simon Puleston Jones,Leila Lech</v>
      </c>
      <c r="F971" s="10" t="str">
        <f>IFERROR(__xludf.DUMMYFUNCTION("""COMPUTED_VALUE"""),"2019/11/05 12:15:00")</f>
        <v>2019/11/05 12:15:00</v>
      </c>
      <c r="G971" s="10" t="str">
        <f>IFERROR(__xludf.DUMMYFUNCTION("""COMPUTED_VALUE"""),"2019/11/05 13:15:00")</f>
        <v>2019/11/05 13:15:00</v>
      </c>
      <c r="H971" s="10" t="str">
        <f>IFERROR(__xludf.DUMMYFUNCTION("""COMPUTED_VALUE"""),"d44c75dc-1312-4f92-81e7-f426dc8d239f")</f>
        <v>d44c75dc-1312-4f92-81e7-f426dc8d239f</v>
      </c>
      <c r="I971" s="10" t="str">
        <f>IFERROR(__xludf.DUMMYFUNCTION("""COMPUTED_VALUE"""),"d44c75dc-1312-4f92-81e7-f426dc8d239f")</f>
        <v>d44c75dc-1312-4f92-81e7-f426dc8d239f</v>
      </c>
    </row>
    <row r="972">
      <c r="A972" s="10" t="str">
        <f>IFERROR(__xludf.DUMMYFUNCTION("""COMPUTED_VALUE"""),"Pivot or die: When it’s time to move on")</f>
        <v>Pivot or die: When it’s time to move on</v>
      </c>
      <c r="B972" s="10" t="str">
        <f>IFERROR(__xludf.DUMMYFUNCTION("""COMPUTED_VALUE"""),"Starting as an IoT company, Ubirch thought that it would be essential to release its own hardware - even though their focus was more on software . CEO Stephan will share how they had to learn to refocus on developing the blockchain IoT protocol which save"&amp;"d their company.")</f>
        <v>Starting as an IoT company, Ubirch thought that it would be essential to release its own hardware - even though their focus was more on software . CEO Stephan will share how they had to learn to refocus on developing the blockchain IoT protocol which saved their company.</v>
      </c>
      <c r="C972" s="10" t="str">
        <f>IFERROR(__xludf.DUMMYFUNCTION("""COMPUTED_VALUE"""),"Growth Summit")</f>
        <v>Growth Summit</v>
      </c>
      <c r="D972" s="10" t="str">
        <f>IFERROR(__xludf.DUMMYFUNCTION("""COMPUTED_VALUE"""),"Stephan Noller")</f>
        <v>Stephan Noller</v>
      </c>
      <c r="E972" s="10" t="str">
        <f>IFERROR(__xludf.DUMMYFUNCTION("""COMPUTED_VALUE"""),"Stephan Noller")</f>
        <v>Stephan Noller</v>
      </c>
      <c r="F972" s="10" t="str">
        <f>IFERROR(__xludf.DUMMYFUNCTION("""COMPUTED_VALUE"""),"2019/11/06 10:54:00")</f>
        <v>2019/11/06 10:54:00</v>
      </c>
      <c r="G972" s="10" t="str">
        <f>IFERROR(__xludf.DUMMYFUNCTION("""COMPUTED_VALUE"""),"2019/11/06 10:58:00")</f>
        <v>2019/11/06 10:58:00</v>
      </c>
      <c r="H972" s="10" t="str">
        <f>IFERROR(__xludf.DUMMYFUNCTION("""COMPUTED_VALUE"""),"154214db-f685-43a7-b2e7-d5ea78b00fe4")</f>
        <v>154214db-f685-43a7-b2e7-d5ea78b00fe4</v>
      </c>
      <c r="I972" s="10" t="str">
        <f>IFERROR(__xludf.DUMMYFUNCTION("""COMPUTED_VALUE"""),"154214db-f685-43a7-b2e7-d5ea78b00fe4")</f>
        <v>154214db-f685-43a7-b2e7-d5ea78b00fe4</v>
      </c>
    </row>
    <row r="973">
      <c r="A973" s="10" t="str">
        <f>IFERROR(__xludf.DUMMYFUNCTION("""COMPUTED_VALUE"""),"Opening remarks")</f>
        <v>Opening remarks</v>
      </c>
      <c r="B973" s="10" t="str">
        <f>IFERROR(__xludf.DUMMYFUNCTION("""COMPUTED_VALUE"""),"")</f>
        <v/>
      </c>
      <c r="C973" s="10" t="str">
        <f>IFERROR(__xludf.DUMMYFUNCTION("""COMPUTED_VALUE"""),"PandaConf")</f>
        <v>PandaConf</v>
      </c>
      <c r="D973" s="10" t="str">
        <f>IFERROR(__xludf.DUMMYFUNCTION("""COMPUTED_VALUE"""),"Noel Toolan and Natalie Monbiot")</f>
        <v>Noel Toolan and Natalie Monbiot</v>
      </c>
      <c r="E973" s="10" t="str">
        <f>IFERROR(__xludf.DUMMYFUNCTION("""COMPUTED_VALUE"""),"Noel Toolan,Natalie Monbiot")</f>
        <v>Noel Toolan,Natalie Monbiot</v>
      </c>
      <c r="F973" s="10" t="str">
        <f>IFERROR(__xludf.DUMMYFUNCTION("""COMPUTED_VALUE"""),"2019/11/07 13:35:00")</f>
        <v>2019/11/07 13:35:00</v>
      </c>
      <c r="G973" s="10" t="str">
        <f>IFERROR(__xludf.DUMMYFUNCTION("""COMPUTED_VALUE"""),"2019/11/07 13:50:00")</f>
        <v>2019/11/07 13:50:00</v>
      </c>
      <c r="H973" s="10" t="str">
        <f>IFERROR(__xludf.DUMMYFUNCTION("""COMPUTED_VALUE"""),"f8285afa-6bd0-44af-8054-00b419dbdaf9")</f>
        <v>f8285afa-6bd0-44af-8054-00b419dbdaf9</v>
      </c>
      <c r="I973" s="10" t="str">
        <f>IFERROR(__xludf.DUMMYFUNCTION("""COMPUTED_VALUE"""),"f8285afa-6bd0-44af-8054-00b419dbdaf9")</f>
        <v>f8285afa-6bd0-44af-8054-00b419dbdaf9</v>
      </c>
    </row>
    <row r="974">
      <c r="A974" s="10" t="str">
        <f>IFERROR(__xludf.DUMMYFUNCTION("""COMPUTED_VALUE"""),"PITCH group round 11")</f>
        <v>PITCH group round 11</v>
      </c>
      <c r="B974" s="10" t="str">
        <f>IFERROR(__xludf.DUMMYFUNCTION("""COMPUTED_VALUE"""),"")</f>
        <v/>
      </c>
      <c r="C974" s="10" t="str">
        <f>IFERROR(__xludf.DUMMYFUNCTION("""COMPUTED_VALUE"""),"PITCH 2")</f>
        <v>PITCH 2</v>
      </c>
      <c r="D974" s="10" t="str">
        <f>IFERROR(__xludf.DUMMYFUNCTION("""COMPUTED_VALUE"""),"Alexia Arts, Nicolas Goulet, Yamilette Cano, Niklas Rosenberg, Faizal Javer, Brett Kaluza, Alex de Bold, Simon Boulet, Eric van Hall, Wilco Verdoold, José Luis Siñani, Alexandra Stefan and Nenad Novovic")</f>
        <v>Alexia Arts, Nicolas Goulet, Yamilette Cano, Niklas Rosenberg, Faizal Javer, Brett Kaluza, Alex de Bold, Simon Boulet, Eric van Hall, Wilco Verdoold, José Luis Siñani, Alexandra Stefan and Nenad Novovic</v>
      </c>
      <c r="E974" s="10" t="str">
        <f>IFERROR(__xludf.DUMMYFUNCTION("""COMPUTED_VALUE"""),"Alexia Arts,Nicolas Goulet,Yamilette Cano,Niklas Rosenberg,Faizal Javer,Brett Kaluza,Alex de Bold,Simon Boulet,Eric van Hall,Wilco Verdoold,José Luis Siñani,Alexandra Stefan,Nenad Novovic")</f>
        <v>Alexia Arts,Nicolas Goulet,Yamilette Cano,Niklas Rosenberg,Faizal Javer,Brett Kaluza,Alex de Bold,Simon Boulet,Eric van Hall,Wilco Verdoold,José Luis Siñani,Alexandra Stefan,Nenad Novovic</v>
      </c>
      <c r="F974" s="10" t="str">
        <f>IFERROR(__xludf.DUMMYFUNCTION("""COMPUTED_VALUE"""),"2019/11/05 12:15:00")</f>
        <v>2019/11/05 12:15:00</v>
      </c>
      <c r="G974" s="10" t="str">
        <f>IFERROR(__xludf.DUMMYFUNCTION("""COMPUTED_VALUE"""),"2019/11/05 13:15:00")</f>
        <v>2019/11/05 13:15:00</v>
      </c>
      <c r="H974" s="10" t="str">
        <f>IFERROR(__xludf.DUMMYFUNCTION("""COMPUTED_VALUE"""),"32b1a735-43a4-4274-8338-4da90e6c4d21")</f>
        <v>32b1a735-43a4-4274-8338-4da90e6c4d21</v>
      </c>
      <c r="I974" s="10" t="str">
        <f>IFERROR(__xludf.DUMMYFUNCTION("""COMPUTED_VALUE"""),"32b1a735-43a4-4274-8338-4da90e6c4d21")</f>
        <v>32b1a735-43a4-4274-8338-4da90e6c4d21</v>
      </c>
    </row>
    <row r="975">
      <c r="A975" s="10" t="str">
        <f>IFERROR(__xludf.DUMMYFUNCTION("""COMPUTED_VALUE"""),"The State of AI 2019: Divergence")</f>
        <v>The State of AI 2019: Divergence</v>
      </c>
      <c r="B975" s="10" t="str">
        <f>IFERROR(__xludf.DUMMYFUNCTION("""COMPUTED_VALUE"""),"")</f>
        <v/>
      </c>
      <c r="C975" s="10" t="str">
        <f>IFERROR(__xludf.DUMMYFUNCTION("""COMPUTED_VALUE"""),"Venture stage")</f>
        <v>Venture stage</v>
      </c>
      <c r="D975" s="10" t="str">
        <f>IFERROR(__xludf.DUMMYFUNCTION("""COMPUTED_VALUE"""),"David Kelnar")</f>
        <v>David Kelnar</v>
      </c>
      <c r="E975" s="10" t="str">
        <f>IFERROR(__xludf.DUMMYFUNCTION("""COMPUTED_VALUE"""),"David Kelnar")</f>
        <v>David Kelnar</v>
      </c>
      <c r="F975" s="10" t="str">
        <f>IFERROR(__xludf.DUMMYFUNCTION("""COMPUTED_VALUE"""),"2019/11/07 14:45:00")</f>
        <v>2019/11/07 14:45:00</v>
      </c>
      <c r="G975" s="10" t="str">
        <f>IFERROR(__xludf.DUMMYFUNCTION("""COMPUTED_VALUE"""),"2019/11/07 15:00:00")</f>
        <v>2019/11/07 15:00:00</v>
      </c>
      <c r="H975" s="10" t="str">
        <f>IFERROR(__xludf.DUMMYFUNCTION("""COMPUTED_VALUE"""),"26aadd95-c7d6-40b3-be13-2715f2834038")</f>
        <v>26aadd95-c7d6-40b3-be13-2715f2834038</v>
      </c>
      <c r="I975" s="10" t="str">
        <f>IFERROR(__xludf.DUMMYFUNCTION("""COMPUTED_VALUE"""),"26aadd95-c7d6-40b3-be13-2715f2834038")</f>
        <v>26aadd95-c7d6-40b3-be13-2715f2834038</v>
      </c>
    </row>
    <row r="976">
      <c r="A976" s="10" t="str">
        <f>IFERROR(__xludf.DUMMYFUNCTION("""COMPUTED_VALUE"""),"Featured venue: Dogs")</f>
        <v>Featured venue: Dogs</v>
      </c>
      <c r="B976" s="10" t="str">
        <f>IFERROR(__xludf.DUMMYFUNCTION("""COMPUTED_VALUE"""),"Many places claim to be authentic but this place truly is. Sourcing their bread from a Lisbon bakery, and their sausages from a small family business in the north of Portugal, this quirky little place has over ten hotdog combinations to choose from. Make "&amp;"your choice, then enjoy with the smooth groovings of the live DJ, located in the outdoor area.
Night Summit deals: 
€5 gourmet hot dogs")</f>
        <v>Many places claim to be authentic but this place truly is. Sourcing their bread from a Lisbon bakery, and their sausages from a small family business in the north of Portugal, this quirky little place has over ten hotdog combinations to choose from. Make your choice, then enjoy with the smooth groovings of the live DJ, located in the outdoor area.
Night Summit deals: 
€5 gourmet hot dogs</v>
      </c>
      <c r="C976" s="10" t="str">
        <f>IFERROR(__xludf.DUMMYFUNCTION("""COMPUTED_VALUE"""),"Dogs")</f>
        <v>Dogs</v>
      </c>
      <c r="D976" s="10" t="str">
        <f>IFERROR(__xludf.DUMMYFUNCTION("""COMPUTED_VALUE"""),"")</f>
        <v/>
      </c>
      <c r="E976" s="10" t="str">
        <f>IFERROR(__xludf.DUMMYFUNCTION("""COMPUTED_VALUE"""),"")</f>
        <v/>
      </c>
      <c r="F976" s="10" t="str">
        <f>IFERROR(__xludf.DUMMYFUNCTION("""COMPUTED_VALUE"""),"2019/11/06 20:00:00")</f>
        <v>2019/11/06 20:00:00</v>
      </c>
      <c r="G976" s="10" t="str">
        <f>IFERROR(__xludf.DUMMYFUNCTION("""COMPUTED_VALUE"""),"2019/11/07 02:00:00")</f>
        <v>2019/11/07 02:00:00</v>
      </c>
      <c r="H976" s="10" t="str">
        <f>IFERROR(__xludf.DUMMYFUNCTION("""COMPUTED_VALUE"""),"bcf8e424-72f0-4e36-8dc6-632078b1d743")</f>
        <v>bcf8e424-72f0-4e36-8dc6-632078b1d743</v>
      </c>
      <c r="I976" s="10" t="str">
        <f>IFERROR(__xludf.DUMMYFUNCTION("""COMPUTED_VALUE"""),"bcf8e424-72f0-4e36-8dc6-632078b1d743")</f>
        <v>bcf8e424-72f0-4e36-8dc6-632078b1d743</v>
      </c>
    </row>
    <row r="977">
      <c r="A977" s="10" t="str">
        <f>IFERROR(__xludf.DUMMYFUNCTION("""COMPUTED_VALUE"""),"Headphones to soundtrack your life with")</f>
        <v>Headphones to soundtrack your life with</v>
      </c>
      <c r="B977" s="10" t="str">
        <f>IFERROR(__xludf.DUMMYFUNCTION("""COMPUTED_VALUE"""),"Meet the breathtaking new devices that will have audiophiles soundtracking their lives like never before. Our panel will introduce you to top-of-the range new releases onto the market.")</f>
        <v>Meet the breathtaking new devices that will have audiophiles soundtracking their lives like never before. Our panel will introduce you to top-of-the range new releases onto the market.</v>
      </c>
      <c r="C977" s="10" t="str">
        <f>IFERROR(__xludf.DUMMYFUNCTION("""COMPUTED_VALUE"""),"UnBoxed")</f>
        <v>UnBoxed</v>
      </c>
      <c r="D977" s="10" t="str">
        <f>IFERROR(__xludf.DUMMYFUNCTION("""COMPUTED_VALUE"""),"Kris Carlon, Kevin Lynch, Daniel Catalão and Jess Kelly")</f>
        <v>Kris Carlon, Kevin Lynch, Daniel Catalão and Jess Kelly</v>
      </c>
      <c r="E977" s="10" t="str">
        <f>IFERROR(__xludf.DUMMYFUNCTION("""COMPUTED_VALUE"""),"Kris Carlon,Kevin Lynch,Daniel Catalão,Jess Kelly")</f>
        <v>Kris Carlon,Kevin Lynch,Daniel Catalão,Jess Kelly</v>
      </c>
      <c r="F977" s="10" t="str">
        <f>IFERROR(__xludf.DUMMYFUNCTION("""COMPUTED_VALUE"""),"2019/11/05 15:00:00")</f>
        <v>2019/11/05 15:00:00</v>
      </c>
      <c r="G977" s="10" t="str">
        <f>IFERROR(__xludf.DUMMYFUNCTION("""COMPUTED_VALUE"""),"2019/11/05 15:25:00")</f>
        <v>2019/11/05 15:25:00</v>
      </c>
      <c r="H977" s="10" t="str">
        <f>IFERROR(__xludf.DUMMYFUNCTION("""COMPUTED_VALUE"""),"22b9440e-d57c-40bb-8bb6-a1658e5a7e01")</f>
        <v>22b9440e-d57c-40bb-8bb6-a1658e5a7e01</v>
      </c>
      <c r="I977" s="10" t="str">
        <f>IFERROR(__xludf.DUMMYFUNCTION("""COMPUTED_VALUE"""),"22b9440e-d57c-40bb-8bb6-a1658e5a7e01")</f>
        <v>22b9440e-d57c-40bb-8bb6-a1658e5a7e01</v>
      </c>
    </row>
    <row r="978">
      <c r="A978" s="10" t="str">
        <f>IFERROR(__xludf.DUMMYFUNCTION("""COMPUTED_VALUE"""),"Small world, big market")</f>
        <v>Small world, big market</v>
      </c>
      <c r="B978" s="10" t="str">
        <f>IFERROR(__xludf.DUMMYFUNCTION("""COMPUTED_VALUE"""),"How can investors support startups in a global marketplace? Two leading investors will discuss how to best operate across time zones and make the world a little bit smaller.")</f>
        <v>How can investors support startups in a global marketplace? Two leading investors will discuss how to best operate across time zones and make the world a little bit smaller.</v>
      </c>
      <c r="C978" s="10" t="str">
        <f>IFERROR(__xludf.DUMMYFUNCTION("""COMPUTED_VALUE"""),"Venture stage")</f>
        <v>Venture stage</v>
      </c>
      <c r="D978" s="10" t="str">
        <f>IFERROR(__xludf.DUMMYFUNCTION("""COMPUTED_VALUE"""),"Dr Marco Huesch, Angus Davis, George Henry and Alara Basul")</f>
        <v>Dr Marco Huesch, Angus Davis, George Henry and Alara Basul</v>
      </c>
      <c r="E978" s="10" t="str">
        <f>IFERROR(__xludf.DUMMYFUNCTION("""COMPUTED_VALUE"""),"Dr Marco Huesch,Angus Davis,George Henry,Alara Basul")</f>
        <v>Dr Marco Huesch,Angus Davis,George Henry,Alara Basul</v>
      </c>
      <c r="F978" s="10" t="str">
        <f>IFERROR(__xludf.DUMMYFUNCTION("""COMPUTED_VALUE"""),"2019/11/07 13:45:00")</f>
        <v>2019/11/07 13:45:00</v>
      </c>
      <c r="G978" s="10" t="str">
        <f>IFERROR(__xludf.DUMMYFUNCTION("""COMPUTED_VALUE"""),"2019/11/07 14:05:00")</f>
        <v>2019/11/07 14:05:00</v>
      </c>
      <c r="H978" s="10" t="str">
        <f>IFERROR(__xludf.DUMMYFUNCTION("""COMPUTED_VALUE"""),"6ee51dd9-a1ce-4f89-adbf-87909117725d")</f>
        <v>6ee51dd9-a1ce-4f89-adbf-87909117725d</v>
      </c>
      <c r="I978" s="10" t="str">
        <f>IFERROR(__xludf.DUMMYFUNCTION("""COMPUTED_VALUE"""),"6ee51dd9-a1ce-4f89-adbf-87909117725d")</f>
        <v>6ee51dd9-a1ce-4f89-adbf-87909117725d</v>
      </c>
    </row>
    <row r="979">
      <c r="A979" s="10" t="str">
        <f>IFERROR(__xludf.DUMMYFUNCTION("""COMPUTED_VALUE"""),"Customer care in a complex connected world")</f>
        <v>Customer care in a complex connected world</v>
      </c>
      <c r="B979" s="10" t="str">
        <f>IFERROR(__xludf.DUMMYFUNCTION("""COMPUTED_VALUE"""),"As our homes grow increasingly connected, and in turn complicated, how does customer support evolve to keep pace in a cost effective way while continuing to delight the consumer. And what new business models might this evolution open up?")</f>
        <v>As our homes grow increasingly connected, and in turn complicated, how does customer support evolve to keep pace in a cost effective way while continuing to delight the consumer. And what new business models might this evolution open up?</v>
      </c>
      <c r="C979" s="10" t="str">
        <f>IFERROR(__xludf.DUMMYFUNCTION("""COMPUTED_VALUE"""),"Growth Summit")</f>
        <v>Growth Summit</v>
      </c>
      <c r="D979" s="10" t="str">
        <f>IFERROR(__xludf.DUMMYFUNCTION("""COMPUTED_VALUE"""),"Alan Coleman")</f>
        <v>Alan Coleman</v>
      </c>
      <c r="E979" s="10" t="str">
        <f>IFERROR(__xludf.DUMMYFUNCTION("""COMPUTED_VALUE"""),"Alan Coleman")</f>
        <v>Alan Coleman</v>
      </c>
      <c r="F979" s="10" t="str">
        <f>IFERROR(__xludf.DUMMYFUNCTION("""COMPUTED_VALUE"""),"2019/11/07 11:22:00")</f>
        <v>2019/11/07 11:22:00</v>
      </c>
      <c r="G979" s="10" t="str">
        <f>IFERROR(__xludf.DUMMYFUNCTION("""COMPUTED_VALUE"""),"2019/11/07 11:26:00")</f>
        <v>2019/11/07 11:26:00</v>
      </c>
      <c r="H979" s="10" t="str">
        <f>IFERROR(__xludf.DUMMYFUNCTION("""COMPUTED_VALUE"""),"3be139d2-b35d-4b30-ad62-a7672c881a90")</f>
        <v>3be139d2-b35d-4b30-ad62-a7672c881a90</v>
      </c>
      <c r="I979" s="10" t="str">
        <f>IFERROR(__xludf.DUMMYFUNCTION("""COMPUTED_VALUE"""),"3be139d2-b35d-4b30-ad62-a7672c881a90")</f>
        <v>3be139d2-b35d-4b30-ad62-a7672c881a90</v>
      </c>
    </row>
    <row r="980">
      <c r="A980" s="10" t="str">
        <f>IFERROR(__xludf.DUMMYFUNCTION("""COMPUTED_VALUE"""),"In conversation with Edward Snowden")</f>
        <v>In conversation with Edward Snowden</v>
      </c>
      <c r="B980" s="10" t="str">
        <f>IFERROR(__xludf.DUMMYFUNCTION("""COMPUTED_VALUE"""),"Edward Snowden, the man who risked everything to expose the US government’s system of mass surveillance. A name familiar to us all, we know the actions which have led him to living a life in hiding. But how much do we really know about the background and "&amp;"motivations which led him to take these seismic societal actions? Edward will go into detail about the story that has shaped his life, including how he helped to build that system and what motivated him to try to bring it down.")</f>
        <v>Edward Snowden, the man who risked everything to expose the US government’s system of mass surveillance. A name familiar to us all, we know the actions which have led him to living a life in hiding. But how much do we really know about the background and motivations which led him to take these seismic societal actions? Edward will go into detail about the story that has shaped his life, including how he helped to build that system and what motivated him to try to bring it down.</v>
      </c>
      <c r="C980" s="10" t="str">
        <f>IFERROR(__xludf.DUMMYFUNCTION("""COMPUTED_VALUE"""),"Centre Stage")</f>
        <v>Centre Stage</v>
      </c>
      <c r="D980" s="10" t="str">
        <f>IFERROR(__xludf.DUMMYFUNCTION("""COMPUTED_VALUE"""),"Edward Snowden and James Ball")</f>
        <v>Edward Snowden and James Ball</v>
      </c>
      <c r="E980" s="10" t="str">
        <f>IFERROR(__xludf.DUMMYFUNCTION("""COMPUTED_VALUE"""),"Edward Snowden,James Ball")</f>
        <v>Edward Snowden,James Ball</v>
      </c>
      <c r="F980" s="10" t="str">
        <f>IFERROR(__xludf.DUMMYFUNCTION("""COMPUTED_VALUE"""),"2019/11/04 18:30:00")</f>
        <v>2019/11/04 18:30:00</v>
      </c>
      <c r="G980" s="10" t="str">
        <f>IFERROR(__xludf.DUMMYFUNCTION("""COMPUTED_VALUE"""),"2019/11/04 18:50:00")</f>
        <v>2019/11/04 18:50:00</v>
      </c>
      <c r="H980" s="10" t="str">
        <f>IFERROR(__xludf.DUMMYFUNCTION("""COMPUTED_VALUE"""),"7687743f-ee40-43a7-9618-4ad73248ab97")</f>
        <v>7687743f-ee40-43a7-9618-4ad73248ab97</v>
      </c>
      <c r="I980" s="10" t="str">
        <f>IFERROR(__xludf.DUMMYFUNCTION("""COMPUTED_VALUE"""),"7687743f-ee40-43a7-9618-4ad73248ab97")</f>
        <v>7687743f-ee40-43a7-9618-4ad73248ab97</v>
      </c>
    </row>
    <row r="981">
      <c r="A981" s="10" t="str">
        <f>IFERROR(__xludf.DUMMYFUNCTION("""COMPUTED_VALUE"""),"Opening remarks ")</f>
        <v>Opening remarks </v>
      </c>
      <c r="B981" s="10" t="str">
        <f>IFERROR(__xludf.DUMMYFUNCTION("""COMPUTED_VALUE"""),"")</f>
        <v/>
      </c>
      <c r="C981" s="10" t="str">
        <f>IFERROR(__xludf.DUMMYFUNCTION("""COMPUTED_VALUE"""),"Venture stage")</f>
        <v>Venture stage</v>
      </c>
      <c r="D981" s="10" t="str">
        <f>IFERROR(__xludf.DUMMYFUNCTION("""COMPUTED_VALUE"""),"Natsuko Mitsugi")</f>
        <v>Natsuko Mitsugi</v>
      </c>
      <c r="E981" s="10" t="str">
        <f>IFERROR(__xludf.DUMMYFUNCTION("""COMPUTED_VALUE"""),"Natsuko Mitsugi")</f>
        <v>Natsuko Mitsugi</v>
      </c>
      <c r="F981" s="10" t="str">
        <f>IFERROR(__xludf.DUMMYFUNCTION("""COMPUTED_VALUE"""),"2019/11/07 13:30:00")</f>
        <v>2019/11/07 13:30:00</v>
      </c>
      <c r="G981" s="10" t="str">
        <f>IFERROR(__xludf.DUMMYFUNCTION("""COMPUTED_VALUE"""),"2019/11/07 13:45:00")</f>
        <v>2019/11/07 13:45:00</v>
      </c>
      <c r="H981" s="10" t="str">
        <f>IFERROR(__xludf.DUMMYFUNCTION("""COMPUTED_VALUE"""),"64093230-22f1-4f95-adc4-ccb2171d1ebe")</f>
        <v>64093230-22f1-4f95-adc4-ccb2171d1ebe</v>
      </c>
      <c r="I981" s="10" t="str">
        <f>IFERROR(__xludf.DUMMYFUNCTION("""COMPUTED_VALUE"""),"64093230-22f1-4f95-adc4-ccb2171d1ebe")</f>
        <v>64093230-22f1-4f95-adc4-ccb2171d1ebe</v>
      </c>
    </row>
    <row r="982">
      <c r="A982" s="10" t="str">
        <f>IFERROR(__xludf.DUMMYFUNCTION("""COMPUTED_VALUE"""),"Ronaldinho: Reimagining the beautiful game ")</f>
        <v>Ronaldinho: Reimagining the beautiful game </v>
      </c>
      <c r="B982" s="10" t="str">
        <f>IFERROR(__xludf.DUMMYFUNCTION("""COMPUTED_VALUE"""),"Two-time FIFA World Player of the Year Ronaldinho talks Teqball and the evolution of the beautiful game.")</f>
        <v>Two-time FIFA World Player of the Year Ronaldinho talks Teqball and the evolution of the beautiful game.</v>
      </c>
      <c r="C982" s="10" t="str">
        <f>IFERROR(__xludf.DUMMYFUNCTION("""COMPUTED_VALUE"""),"SportsTrade")</f>
        <v>SportsTrade</v>
      </c>
      <c r="D982" s="10" t="str">
        <f>IFERROR(__xludf.DUMMYFUNCTION("""COMPUTED_VALUE""")," , Viktor Huszar and Pedro Pinto")</f>
        <v> , Viktor Huszar and Pedro Pinto</v>
      </c>
      <c r="E982" s="10" t="str">
        <f>IFERROR(__xludf.DUMMYFUNCTION("""COMPUTED_VALUE""")," ,Viktor Huszar,Pedro Pinto")</f>
        <v> ,Viktor Huszar,Pedro Pinto</v>
      </c>
      <c r="F982" s="10" t="str">
        <f>IFERROR(__xludf.DUMMYFUNCTION("""COMPUTED_VALUE"""),"2019/11/05 13:45:00")</f>
        <v>2019/11/05 13:45:00</v>
      </c>
      <c r="G982" s="10" t="str">
        <f>IFERROR(__xludf.DUMMYFUNCTION("""COMPUTED_VALUE"""),"2019/11/05 14:05:00")</f>
        <v>2019/11/05 14:05:00</v>
      </c>
      <c r="H982" s="10" t="str">
        <f>IFERROR(__xludf.DUMMYFUNCTION("""COMPUTED_VALUE"""),"79dca639-2de9-4ac3-8b32-6b854f29d659")</f>
        <v>79dca639-2de9-4ac3-8b32-6b854f29d659</v>
      </c>
      <c r="I982" s="10" t="str">
        <f>IFERROR(__xludf.DUMMYFUNCTION("""COMPUTED_VALUE"""),"79dca639-2de9-4ac3-8b32-6b854f29d659")</f>
        <v>79dca639-2de9-4ac3-8b32-6b854f29d659</v>
      </c>
    </row>
    <row r="983">
      <c r="A983" s="10" t="str">
        <f>IFERROR(__xludf.DUMMYFUNCTION("""COMPUTED_VALUE"""),"Opening remarks")</f>
        <v>Opening remarks</v>
      </c>
      <c r="B983" s="10" t="str">
        <f>IFERROR(__xludf.DUMMYFUNCTION("""COMPUTED_VALUE"""),"")</f>
        <v/>
      </c>
      <c r="C983" s="10" t="str">
        <f>IFERROR(__xludf.DUMMYFUNCTION("""COMPUTED_VALUE"""),"Future Societies")</f>
        <v>Future Societies</v>
      </c>
      <c r="D983" s="10" t="str">
        <f>IFERROR(__xludf.DUMMYFUNCTION("""COMPUTED_VALUE"""),"Orla Canavan")</f>
        <v>Orla Canavan</v>
      </c>
      <c r="E983" s="10" t="str">
        <f>IFERROR(__xludf.DUMMYFUNCTION("""COMPUTED_VALUE"""),"Orla Canavan")</f>
        <v>Orla Canavan</v>
      </c>
      <c r="F983" s="10" t="str">
        <f>IFERROR(__xludf.DUMMYFUNCTION("""COMPUTED_VALUE"""),"2019/11/07 12:50:00")</f>
        <v>2019/11/07 12:50:00</v>
      </c>
      <c r="G983" s="10" t="str">
        <f>IFERROR(__xludf.DUMMYFUNCTION("""COMPUTED_VALUE"""),"2019/11/07 13:00:00")</f>
        <v>2019/11/07 13:00:00</v>
      </c>
      <c r="H983" s="10" t="str">
        <f>IFERROR(__xludf.DUMMYFUNCTION("""COMPUTED_VALUE"""),"2261562b-dac4-486b-97b0-6e973c0a384d")</f>
        <v>2261562b-dac4-486b-97b0-6e973c0a384d</v>
      </c>
      <c r="I983" s="10" t="str">
        <f>IFERROR(__xludf.DUMMYFUNCTION("""COMPUTED_VALUE"""),"2261562b-dac4-486b-97b0-6e973c0a384d")</f>
        <v>2261562b-dac4-486b-97b0-6e973c0a384d</v>
      </c>
    </row>
    <row r="984">
      <c r="A984" s="10" t="str">
        <f>IFERROR(__xludf.DUMMYFUNCTION("""COMPUTED_VALUE"""),"Lunch break")</f>
        <v>Lunch break</v>
      </c>
      <c r="B984" s="10" t="str">
        <f>IFERROR(__xludf.DUMMYFUNCTION("""COMPUTED_VALUE"""),"")</f>
        <v/>
      </c>
      <c r="C984" s="10" t="str">
        <f>IFERROR(__xludf.DUMMYFUNCTION("""COMPUTED_VALUE"""),"Growth Summit")</f>
        <v>Growth Summit</v>
      </c>
      <c r="D984" s="10" t="str">
        <f>IFERROR(__xludf.DUMMYFUNCTION("""COMPUTED_VALUE"""),"")</f>
        <v/>
      </c>
      <c r="E984" s="10" t="str">
        <f>IFERROR(__xludf.DUMMYFUNCTION("""COMPUTED_VALUE"""),"")</f>
        <v/>
      </c>
      <c r="F984" s="10" t="str">
        <f>IFERROR(__xludf.DUMMYFUNCTION("""COMPUTED_VALUE"""),"2019/11/05 11:58:00")</f>
        <v>2019/11/05 11:58:00</v>
      </c>
      <c r="G984" s="10" t="str">
        <f>IFERROR(__xludf.DUMMYFUNCTION("""COMPUTED_VALUE"""),"2019/11/05 12:28:00")</f>
        <v>2019/11/05 12:28:00</v>
      </c>
      <c r="H984" s="10" t="str">
        <f>IFERROR(__xludf.DUMMYFUNCTION("""COMPUTED_VALUE"""),"e3d03cc0-328a-404b-94dd-16533107e93f")</f>
        <v>e3d03cc0-328a-404b-94dd-16533107e93f</v>
      </c>
      <c r="I984" s="10" t="str">
        <f>IFERROR(__xludf.DUMMYFUNCTION("""COMPUTED_VALUE"""),"e3d03cc0-328a-404b-94dd-16533107e93f")</f>
        <v>e3d03cc0-328a-404b-94dd-16533107e93f</v>
      </c>
    </row>
    <row r="985">
      <c r="A985" s="10" t="str">
        <f>IFERROR(__xludf.DUMMYFUNCTION("""COMPUTED_VALUE"""),"Conscious design: making wellbeing the default")</f>
        <v>Conscious design: making wellbeing the default</v>
      </c>
      <c r="B985" s="10" t="str">
        <f>IFERROR(__xludf.DUMMYFUNCTION("""COMPUTED_VALUE"""),"The products we use - both physical and digital - have a massive impact on how we live our lives. Product design can be a double edged sword and here we will find out how it can be used to promote happiness.")</f>
        <v>The products we use - both physical and digital - have a massive impact on how we live our lives. Product design can be a double edged sword and here we will find out how it can be used to promote happiness.</v>
      </c>
      <c r="C985" s="10" t="str">
        <f>IFERROR(__xludf.DUMMYFUNCTION("""COMPUTED_VALUE"""),"Future Societies")</f>
        <v>Future Societies</v>
      </c>
      <c r="D985" s="10" t="str">
        <f>IFERROR(__xludf.DUMMYFUNCTION("""COMPUTED_VALUE"""),"Maggie Stanphill and Jeremy Wilks")</f>
        <v>Maggie Stanphill and Jeremy Wilks</v>
      </c>
      <c r="E985" s="10" t="str">
        <f>IFERROR(__xludf.DUMMYFUNCTION("""COMPUTED_VALUE"""),"Maggie Stanphill,Jeremy Wilks")</f>
        <v>Maggie Stanphill,Jeremy Wilks</v>
      </c>
      <c r="F985" s="10" t="str">
        <f>IFERROR(__xludf.DUMMYFUNCTION("""COMPUTED_VALUE"""),"2019/11/06 13:35:00")</f>
        <v>2019/11/06 13:35:00</v>
      </c>
      <c r="G985" s="10" t="str">
        <f>IFERROR(__xludf.DUMMYFUNCTION("""COMPUTED_VALUE"""),"2019/11/06 13:55:00")</f>
        <v>2019/11/06 13:55:00</v>
      </c>
      <c r="H985" s="10" t="str">
        <f>IFERROR(__xludf.DUMMYFUNCTION("""COMPUTED_VALUE"""),"f953328c-b802-4b28-95ba-8ce1d81ab7f6")</f>
        <v>f953328c-b802-4b28-95ba-8ce1d81ab7f6</v>
      </c>
      <c r="I985" s="10" t="str">
        <f>IFERROR(__xludf.DUMMYFUNCTION("""COMPUTED_VALUE"""),"f953328c-b802-4b28-95ba-8ce1d81ab7f6")</f>
        <v>f953328c-b802-4b28-95ba-8ce1d81ab7f6</v>
      </c>
    </row>
    <row r="986">
      <c r="A986" s="10" t="str">
        <f>IFERROR(__xludf.DUMMYFUNCTION("""COMPUTED_VALUE"""),"Akon, Akoin and Africa's emerging economy")</f>
        <v>Akon, Akoin and Africa's emerging economy</v>
      </c>
      <c r="B986" s="10" t="str">
        <f>IFERROR(__xludf.DUMMYFUNCTION("""COMPUTED_VALUE"""),"Akon is a Grammy award-winning hip-hop artist turned philanthropist and cryptocurrency founder. He’ll join us to discuss why now is more important than ever to make this pivot, and how he has turned a broad philanthropy vision for Africa into a concrete e"&amp;"conomic endeavour.")</f>
        <v>Akon is a Grammy award-winning hip-hop artist turned philanthropist and cryptocurrency founder. He’ll join us to discuss why now is more important than ever to make this pivot, and how he has turned a broad philanthropy vision for Africa into a concrete economic endeavour.</v>
      </c>
      <c r="C986" s="10" t="str">
        <f>IFERROR(__xludf.DUMMYFUNCTION("""COMPUTED_VALUE"""),"MoneyConf")</f>
        <v>MoneyConf</v>
      </c>
      <c r="D986" s="10" t="str">
        <f>IFERROR(__xludf.DUMMYFUNCTION("""COMPUTED_VALUE""")," , Jon Karas and Noelle Acheson")</f>
        <v> , Jon Karas and Noelle Acheson</v>
      </c>
      <c r="E986" s="10" t="str">
        <f>IFERROR(__xludf.DUMMYFUNCTION("""COMPUTED_VALUE""")," ,Jon Karas,Noelle Acheson")</f>
        <v> ,Jon Karas,Noelle Acheson</v>
      </c>
      <c r="F986" s="10" t="str">
        <f>IFERROR(__xludf.DUMMYFUNCTION("""COMPUTED_VALUE"""),"2019/11/06 14:20:00")</f>
        <v>2019/11/06 14:20:00</v>
      </c>
      <c r="G986" s="10" t="str">
        <f>IFERROR(__xludf.DUMMYFUNCTION("""COMPUTED_VALUE"""),"2019/11/06 14:40:00")</f>
        <v>2019/11/06 14:40:00</v>
      </c>
      <c r="H986" s="10" t="str">
        <f>IFERROR(__xludf.DUMMYFUNCTION("""COMPUTED_VALUE"""),"e719ab39-a0f3-4cf3-b97a-c7421a9b892d")</f>
        <v>e719ab39-a0f3-4cf3-b97a-c7421a9b892d</v>
      </c>
      <c r="I986" s="10" t="str">
        <f>IFERROR(__xludf.DUMMYFUNCTION("""COMPUTED_VALUE"""),"e719ab39-a0f3-4cf3-b97a-c7421a9b892d")</f>
        <v>e719ab39-a0f3-4cf3-b97a-c7421a9b892d</v>
      </c>
    </row>
    <row r="987">
      <c r="A987" s="10" t="str">
        <f>IFERROR(__xludf.DUMMYFUNCTION("""COMPUTED_VALUE"""),"Planes, trains and automobiles: How can we travel sustainably?")</f>
        <v>Planes, trains and automobiles: How can we travel sustainably?</v>
      </c>
      <c r="B987" s="10" t="str">
        <f>IFERROR(__xludf.DUMMYFUNCTION("""COMPUTED_VALUE"""),"Flight shaming is growing, carbon footprints are shrinking and the need to provide climate friendly travel methods is reaching new heights. What's next for travel and transport in a world that's increasingly unhappy with the options currently on offer?")</f>
        <v>Flight shaming is growing, carbon footprints are shrinking and the need to provide climate friendly travel methods is reaching new heights. What's next for travel and transport in a world that's increasingly unhappy with the options currently on offer?</v>
      </c>
      <c r="C987" s="10" t="str">
        <f>IFERROR(__xludf.DUMMYFUNCTION("""COMPUTED_VALUE"""),"planet:tech ")</f>
        <v>planet:tech </v>
      </c>
      <c r="D987" s="10" t="str">
        <f>IFERROR(__xludf.DUMMYFUNCTION("""COMPUTED_VALUE"""),"Sandra Bour Schaeffer, Kevin Conrad and Isabel Hilton")</f>
        <v>Sandra Bour Schaeffer, Kevin Conrad and Isabel Hilton</v>
      </c>
      <c r="E987" s="10" t="str">
        <f>IFERROR(__xludf.DUMMYFUNCTION("""COMPUTED_VALUE"""),"Sandra Bour Schaeffer,Kevin Conrad,Isabel Hilton")</f>
        <v>Sandra Bour Schaeffer,Kevin Conrad,Isabel Hilton</v>
      </c>
      <c r="F987" s="10" t="str">
        <f>IFERROR(__xludf.DUMMYFUNCTION("""COMPUTED_VALUE"""),"2019/11/05 11:15:00")</f>
        <v>2019/11/05 11:15:00</v>
      </c>
      <c r="G987" s="10" t="str">
        <f>IFERROR(__xludf.DUMMYFUNCTION("""COMPUTED_VALUE"""),"2019/11/05 11:35:00")</f>
        <v>2019/11/05 11:35:00</v>
      </c>
      <c r="H987" s="10" t="str">
        <f>IFERROR(__xludf.DUMMYFUNCTION("""COMPUTED_VALUE"""),"2f86e340-455b-4cf1-9ed1-dc5369aabb73")</f>
        <v>2f86e340-455b-4cf1-9ed1-dc5369aabb73</v>
      </c>
      <c r="I987" s="10" t="str">
        <f>IFERROR(__xludf.DUMMYFUNCTION("""COMPUTED_VALUE"""),"2f86e340-455b-4cf1-9ed1-dc5369aabb73")</f>
        <v>2f86e340-455b-4cf1-9ed1-dc5369aabb73</v>
      </c>
    </row>
    <row r="988">
      <c r="A988" s="10" t="str">
        <f>IFERROR(__xludf.DUMMYFUNCTION("""COMPUTED_VALUE"""),"")</f>
        <v/>
      </c>
      <c r="B988" s="10" t="str">
        <f>IFERROR(__xludf.DUMMYFUNCTION("""COMPUTED_VALUE"""),"")</f>
        <v/>
      </c>
      <c r="C988" s="10" t="str">
        <f>IFERROR(__xludf.DUMMYFUNCTION("""COMPUTED_VALUE"""),"")</f>
        <v/>
      </c>
      <c r="D988" s="10" t="str">
        <f>IFERROR(__xludf.DUMMYFUNCTION("""COMPUTED_VALUE"""),"")</f>
        <v/>
      </c>
      <c r="E988" s="10" t="str">
        <f>IFERROR(__xludf.DUMMYFUNCTION("""COMPUTED_VALUE"""),"")</f>
        <v/>
      </c>
      <c r="F988" s="10" t="str">
        <f>IFERROR(__xludf.DUMMYFUNCTION("""COMPUTED_VALUE"""),"")</f>
        <v/>
      </c>
      <c r="G988" s="10" t="str">
        <f>IFERROR(__xludf.DUMMYFUNCTION("""COMPUTED_VALUE"""),"")</f>
        <v/>
      </c>
      <c r="H988" s="10" t="str">
        <f>IFERROR(__xludf.DUMMYFUNCTION("""COMPUTED_VALUE"""),"")</f>
        <v/>
      </c>
      <c r="I988" s="10" t="str">
        <f>IFERROR(__xludf.DUMMYFUNCTION("""COMPUTED_VALUE"""),"")</f>
        <v/>
      </c>
    </row>
    <row r="989">
      <c r="A989" s="10" t="str">
        <f>IFERROR(__xludf.DUMMYFUNCTION("""COMPUTED_VALUE"""),"")</f>
        <v/>
      </c>
      <c r="B989" s="10" t="str">
        <f>IFERROR(__xludf.DUMMYFUNCTION("""COMPUTED_VALUE"""),"")</f>
        <v/>
      </c>
      <c r="C989" s="10" t="str">
        <f>IFERROR(__xludf.DUMMYFUNCTION("""COMPUTED_VALUE"""),"")</f>
        <v/>
      </c>
      <c r="D989" s="10" t="str">
        <f>IFERROR(__xludf.DUMMYFUNCTION("""COMPUTED_VALUE"""),"")</f>
        <v/>
      </c>
      <c r="E989" s="10" t="str">
        <f>IFERROR(__xludf.DUMMYFUNCTION("""COMPUTED_VALUE"""),"")</f>
        <v/>
      </c>
      <c r="F989" s="10" t="str">
        <f>IFERROR(__xludf.DUMMYFUNCTION("""COMPUTED_VALUE"""),"")</f>
        <v/>
      </c>
      <c r="G989" s="10" t="str">
        <f>IFERROR(__xludf.DUMMYFUNCTION("""COMPUTED_VALUE"""),"")</f>
        <v/>
      </c>
      <c r="H989" s="10" t="str">
        <f>IFERROR(__xludf.DUMMYFUNCTION("""COMPUTED_VALUE"""),"")</f>
        <v/>
      </c>
      <c r="I989" s="10" t="str">
        <f>IFERROR(__xludf.DUMMYFUNCTION("""COMPUTED_VALUE"""),"")</f>
        <v/>
      </c>
    </row>
    <row r="990">
      <c r="A990" s="10" t="str">
        <f>IFERROR(__xludf.DUMMYFUNCTION("""COMPUTED_VALUE"""),"")</f>
        <v/>
      </c>
      <c r="B990" s="10" t="str">
        <f>IFERROR(__xludf.DUMMYFUNCTION("""COMPUTED_VALUE"""),"")</f>
        <v/>
      </c>
      <c r="C990" s="10" t="str">
        <f>IFERROR(__xludf.DUMMYFUNCTION("""COMPUTED_VALUE"""),"")</f>
        <v/>
      </c>
      <c r="D990" s="10" t="str">
        <f>IFERROR(__xludf.DUMMYFUNCTION("""COMPUTED_VALUE"""),"")</f>
        <v/>
      </c>
      <c r="E990" s="10" t="str">
        <f>IFERROR(__xludf.DUMMYFUNCTION("""COMPUTED_VALUE"""),"")</f>
        <v/>
      </c>
      <c r="F990" s="10" t="str">
        <f>IFERROR(__xludf.DUMMYFUNCTION("""COMPUTED_VALUE"""),"")</f>
        <v/>
      </c>
      <c r="G990" s="10" t="str">
        <f>IFERROR(__xludf.DUMMYFUNCTION("""COMPUTED_VALUE"""),"")</f>
        <v/>
      </c>
      <c r="H990" s="10" t="str">
        <f>IFERROR(__xludf.DUMMYFUNCTION("""COMPUTED_VALUE"""),"")</f>
        <v/>
      </c>
      <c r="I990" s="10" t="str">
        <f>IFERROR(__xludf.DUMMYFUNCTION("""COMPUTED_VALUE"""),"")</f>
        <v/>
      </c>
    </row>
    <row r="991">
      <c r="A991" s="10" t="str">
        <f>IFERROR(__xludf.DUMMYFUNCTION("""COMPUTED_VALUE"""),"")</f>
        <v/>
      </c>
      <c r="B991" s="10" t="str">
        <f>IFERROR(__xludf.DUMMYFUNCTION("""COMPUTED_VALUE"""),"")</f>
        <v/>
      </c>
      <c r="C991" s="10" t="str">
        <f>IFERROR(__xludf.DUMMYFUNCTION("""COMPUTED_VALUE"""),"")</f>
        <v/>
      </c>
      <c r="D991" s="10" t="str">
        <f>IFERROR(__xludf.DUMMYFUNCTION("""COMPUTED_VALUE"""),"")</f>
        <v/>
      </c>
      <c r="E991" s="10" t="str">
        <f>IFERROR(__xludf.DUMMYFUNCTION("""COMPUTED_VALUE"""),"")</f>
        <v/>
      </c>
      <c r="F991" s="10" t="str">
        <f>IFERROR(__xludf.DUMMYFUNCTION("""COMPUTED_VALUE"""),"")</f>
        <v/>
      </c>
      <c r="G991" s="10" t="str">
        <f>IFERROR(__xludf.DUMMYFUNCTION("""COMPUTED_VALUE"""),"")</f>
        <v/>
      </c>
      <c r="H991" s="10" t="str">
        <f>IFERROR(__xludf.DUMMYFUNCTION("""COMPUTED_VALUE"""),"")</f>
        <v/>
      </c>
      <c r="I991" s="10" t="str">
        <f>IFERROR(__xludf.DUMMYFUNCTION("""COMPUTED_VALUE"""),"")</f>
        <v/>
      </c>
    </row>
    <row r="992">
      <c r="A992" s="10" t="str">
        <f>IFERROR(__xludf.DUMMYFUNCTION("""COMPUTED_VALUE"""),"")</f>
        <v/>
      </c>
      <c r="B992" s="10" t="str">
        <f>IFERROR(__xludf.DUMMYFUNCTION("""COMPUTED_VALUE"""),"")</f>
        <v/>
      </c>
      <c r="C992" s="10" t="str">
        <f>IFERROR(__xludf.DUMMYFUNCTION("""COMPUTED_VALUE"""),"")</f>
        <v/>
      </c>
      <c r="D992" s="10" t="str">
        <f>IFERROR(__xludf.DUMMYFUNCTION("""COMPUTED_VALUE"""),"")</f>
        <v/>
      </c>
      <c r="E992" s="10" t="str">
        <f>IFERROR(__xludf.DUMMYFUNCTION("""COMPUTED_VALUE"""),"")</f>
        <v/>
      </c>
      <c r="F992" s="10" t="str">
        <f>IFERROR(__xludf.DUMMYFUNCTION("""COMPUTED_VALUE"""),"")</f>
        <v/>
      </c>
      <c r="G992" s="10" t="str">
        <f>IFERROR(__xludf.DUMMYFUNCTION("""COMPUTED_VALUE"""),"")</f>
        <v/>
      </c>
      <c r="H992" s="10" t="str">
        <f>IFERROR(__xludf.DUMMYFUNCTION("""COMPUTED_VALUE"""),"")</f>
        <v/>
      </c>
      <c r="I992" s="10" t="str">
        <f>IFERROR(__xludf.DUMMYFUNCTION("""COMPUTED_VALUE"""),"")</f>
        <v/>
      </c>
    </row>
    <row r="993">
      <c r="A993" s="10" t="str">
        <f>IFERROR(__xludf.DUMMYFUNCTION("""COMPUTED_VALUE"""),"")</f>
        <v/>
      </c>
      <c r="B993" s="10" t="str">
        <f>IFERROR(__xludf.DUMMYFUNCTION("""COMPUTED_VALUE"""),"")</f>
        <v/>
      </c>
      <c r="C993" s="10" t="str">
        <f>IFERROR(__xludf.DUMMYFUNCTION("""COMPUTED_VALUE"""),"")</f>
        <v/>
      </c>
      <c r="D993" s="10" t="str">
        <f>IFERROR(__xludf.DUMMYFUNCTION("""COMPUTED_VALUE"""),"")</f>
        <v/>
      </c>
      <c r="E993" s="10" t="str">
        <f>IFERROR(__xludf.DUMMYFUNCTION("""COMPUTED_VALUE"""),"")</f>
        <v/>
      </c>
      <c r="F993" s="10" t="str">
        <f>IFERROR(__xludf.DUMMYFUNCTION("""COMPUTED_VALUE"""),"")</f>
        <v/>
      </c>
      <c r="G993" s="10" t="str">
        <f>IFERROR(__xludf.DUMMYFUNCTION("""COMPUTED_VALUE"""),"")</f>
        <v/>
      </c>
      <c r="H993" s="10" t="str">
        <f>IFERROR(__xludf.DUMMYFUNCTION("""COMPUTED_VALUE"""),"")</f>
        <v/>
      </c>
      <c r="I993" s="10" t="str">
        <f>IFERROR(__xludf.DUMMYFUNCTION("""COMPUTED_VALUE"""),"")</f>
        <v/>
      </c>
    </row>
    <row r="994">
      <c r="A994" s="10" t="str">
        <f>IFERROR(__xludf.DUMMYFUNCTION("""COMPUTED_VALUE"""),"")</f>
        <v/>
      </c>
      <c r="B994" s="10" t="str">
        <f>IFERROR(__xludf.DUMMYFUNCTION("""COMPUTED_VALUE"""),"")</f>
        <v/>
      </c>
      <c r="C994" s="10" t="str">
        <f>IFERROR(__xludf.DUMMYFUNCTION("""COMPUTED_VALUE"""),"")</f>
        <v/>
      </c>
      <c r="D994" s="10" t="str">
        <f>IFERROR(__xludf.DUMMYFUNCTION("""COMPUTED_VALUE"""),"")</f>
        <v/>
      </c>
      <c r="E994" s="10" t="str">
        <f>IFERROR(__xludf.DUMMYFUNCTION("""COMPUTED_VALUE"""),"")</f>
        <v/>
      </c>
      <c r="F994" s="10" t="str">
        <f>IFERROR(__xludf.DUMMYFUNCTION("""COMPUTED_VALUE"""),"")</f>
        <v/>
      </c>
      <c r="G994" s="10" t="str">
        <f>IFERROR(__xludf.DUMMYFUNCTION("""COMPUTED_VALUE"""),"")</f>
        <v/>
      </c>
      <c r="H994" s="10" t="str">
        <f>IFERROR(__xludf.DUMMYFUNCTION("""COMPUTED_VALUE"""),"")</f>
        <v/>
      </c>
      <c r="I994" s="10" t="str">
        <f>IFERROR(__xludf.DUMMYFUNCTION("""COMPUTED_VALUE"""),"")</f>
        <v/>
      </c>
    </row>
    <row r="995">
      <c r="A995" s="10" t="str">
        <f>IFERROR(__xludf.DUMMYFUNCTION("""COMPUTED_VALUE"""),"")</f>
        <v/>
      </c>
      <c r="B995" s="10" t="str">
        <f>IFERROR(__xludf.DUMMYFUNCTION("""COMPUTED_VALUE"""),"")</f>
        <v/>
      </c>
      <c r="C995" s="10" t="str">
        <f>IFERROR(__xludf.DUMMYFUNCTION("""COMPUTED_VALUE"""),"")</f>
        <v/>
      </c>
      <c r="D995" s="10" t="str">
        <f>IFERROR(__xludf.DUMMYFUNCTION("""COMPUTED_VALUE"""),"")</f>
        <v/>
      </c>
      <c r="E995" s="10" t="str">
        <f>IFERROR(__xludf.DUMMYFUNCTION("""COMPUTED_VALUE"""),"")</f>
        <v/>
      </c>
      <c r="F995" s="10" t="str">
        <f>IFERROR(__xludf.DUMMYFUNCTION("""COMPUTED_VALUE"""),"")</f>
        <v/>
      </c>
      <c r="G995" s="10" t="str">
        <f>IFERROR(__xludf.DUMMYFUNCTION("""COMPUTED_VALUE"""),"")</f>
        <v/>
      </c>
      <c r="H995" s="10" t="str">
        <f>IFERROR(__xludf.DUMMYFUNCTION("""COMPUTED_VALUE"""),"")</f>
        <v/>
      </c>
      <c r="I995" s="10" t="str">
        <f>IFERROR(__xludf.DUMMYFUNCTION("""COMPUTED_VALUE"""),"")</f>
        <v/>
      </c>
    </row>
    <row r="996">
      <c r="A996" s="10" t="str">
        <f>IFERROR(__xludf.DUMMYFUNCTION("""COMPUTED_VALUE"""),"")</f>
        <v/>
      </c>
      <c r="B996" s="10" t="str">
        <f>IFERROR(__xludf.DUMMYFUNCTION("""COMPUTED_VALUE"""),"")</f>
        <v/>
      </c>
      <c r="C996" s="10" t="str">
        <f>IFERROR(__xludf.DUMMYFUNCTION("""COMPUTED_VALUE"""),"")</f>
        <v/>
      </c>
      <c r="D996" s="10" t="str">
        <f>IFERROR(__xludf.DUMMYFUNCTION("""COMPUTED_VALUE"""),"")</f>
        <v/>
      </c>
      <c r="E996" s="10" t="str">
        <f>IFERROR(__xludf.DUMMYFUNCTION("""COMPUTED_VALUE"""),"")</f>
        <v/>
      </c>
      <c r="F996" s="10" t="str">
        <f>IFERROR(__xludf.DUMMYFUNCTION("""COMPUTED_VALUE"""),"")</f>
        <v/>
      </c>
      <c r="G996" s="10" t="str">
        <f>IFERROR(__xludf.DUMMYFUNCTION("""COMPUTED_VALUE"""),"")</f>
        <v/>
      </c>
      <c r="H996" s="10" t="str">
        <f>IFERROR(__xludf.DUMMYFUNCTION("""COMPUTED_VALUE"""),"")</f>
        <v/>
      </c>
      <c r="I996" s="10" t="str">
        <f>IFERROR(__xludf.DUMMYFUNCTION("""COMPUTED_VALUE"""),"")</f>
        <v/>
      </c>
    </row>
    <row r="997">
      <c r="A997" s="10" t="str">
        <f>IFERROR(__xludf.DUMMYFUNCTION("""COMPUTED_VALUE"""),"")</f>
        <v/>
      </c>
      <c r="B997" s="10" t="str">
        <f>IFERROR(__xludf.DUMMYFUNCTION("""COMPUTED_VALUE"""),"")</f>
        <v/>
      </c>
      <c r="C997" s="10" t="str">
        <f>IFERROR(__xludf.DUMMYFUNCTION("""COMPUTED_VALUE"""),"")</f>
        <v/>
      </c>
      <c r="D997" s="10" t="str">
        <f>IFERROR(__xludf.DUMMYFUNCTION("""COMPUTED_VALUE"""),"")</f>
        <v/>
      </c>
      <c r="E997" s="10" t="str">
        <f>IFERROR(__xludf.DUMMYFUNCTION("""COMPUTED_VALUE"""),"")</f>
        <v/>
      </c>
      <c r="F997" s="10" t="str">
        <f>IFERROR(__xludf.DUMMYFUNCTION("""COMPUTED_VALUE"""),"")</f>
        <v/>
      </c>
      <c r="G997" s="10" t="str">
        <f>IFERROR(__xludf.DUMMYFUNCTION("""COMPUTED_VALUE"""),"")</f>
        <v/>
      </c>
      <c r="H997" s="10" t="str">
        <f>IFERROR(__xludf.DUMMYFUNCTION("""COMPUTED_VALUE"""),"")</f>
        <v/>
      </c>
      <c r="I997" s="10" t="str">
        <f>IFERROR(__xludf.DUMMYFUNCTION("""COMPUTED_VALUE"""),"")</f>
        <v/>
      </c>
    </row>
    <row r="998">
      <c r="A998" s="10" t="str">
        <f>IFERROR(__xludf.DUMMYFUNCTION("""COMPUTED_VALUE"""),"")</f>
        <v/>
      </c>
      <c r="B998" s="10" t="str">
        <f>IFERROR(__xludf.DUMMYFUNCTION("""COMPUTED_VALUE"""),"")</f>
        <v/>
      </c>
      <c r="C998" s="10" t="str">
        <f>IFERROR(__xludf.DUMMYFUNCTION("""COMPUTED_VALUE"""),"")</f>
        <v/>
      </c>
      <c r="D998" s="10" t="str">
        <f>IFERROR(__xludf.DUMMYFUNCTION("""COMPUTED_VALUE"""),"")</f>
        <v/>
      </c>
      <c r="E998" s="10" t="str">
        <f>IFERROR(__xludf.DUMMYFUNCTION("""COMPUTED_VALUE"""),"")</f>
        <v/>
      </c>
      <c r="F998" s="10" t="str">
        <f>IFERROR(__xludf.DUMMYFUNCTION("""COMPUTED_VALUE"""),"")</f>
        <v/>
      </c>
      <c r="G998" s="10" t="str">
        <f>IFERROR(__xludf.DUMMYFUNCTION("""COMPUTED_VALUE"""),"")</f>
        <v/>
      </c>
      <c r="H998" s="10" t="str">
        <f>IFERROR(__xludf.DUMMYFUNCTION("""COMPUTED_VALUE"""),"")</f>
        <v/>
      </c>
      <c r="I998" s="10" t="str">
        <f>IFERROR(__xludf.DUMMYFUNCTION("""COMPUTED_VALUE"""),"")</f>
        <v/>
      </c>
    </row>
    <row r="999">
      <c r="A999" s="10" t="str">
        <f>IFERROR(__xludf.DUMMYFUNCTION("""COMPUTED_VALUE"""),"")</f>
        <v/>
      </c>
      <c r="B999" s="10" t="str">
        <f>IFERROR(__xludf.DUMMYFUNCTION("""COMPUTED_VALUE"""),"")</f>
        <v/>
      </c>
      <c r="C999" s="10" t="str">
        <f>IFERROR(__xludf.DUMMYFUNCTION("""COMPUTED_VALUE"""),"")</f>
        <v/>
      </c>
      <c r="D999" s="10" t="str">
        <f>IFERROR(__xludf.DUMMYFUNCTION("""COMPUTED_VALUE"""),"")</f>
        <v/>
      </c>
      <c r="E999" s="10" t="str">
        <f>IFERROR(__xludf.DUMMYFUNCTION("""COMPUTED_VALUE"""),"")</f>
        <v/>
      </c>
      <c r="F999" s="10" t="str">
        <f>IFERROR(__xludf.DUMMYFUNCTION("""COMPUTED_VALUE"""),"")</f>
        <v/>
      </c>
      <c r="G999" s="10" t="str">
        <f>IFERROR(__xludf.DUMMYFUNCTION("""COMPUTED_VALUE"""),"")</f>
        <v/>
      </c>
      <c r="H999" s="10" t="str">
        <f>IFERROR(__xludf.DUMMYFUNCTION("""COMPUTED_VALUE"""),"")</f>
        <v/>
      </c>
      <c r="I999" s="10" t="str">
        <f>IFERROR(__xludf.DUMMYFUNCTION("""COMPUTED_VALUE"""),"")</f>
        <v/>
      </c>
    </row>
    <row r="1000">
      <c r="A1000" s="10" t="str">
        <f>IFERROR(__xludf.DUMMYFUNCTION("""COMPUTED_VALUE"""),"")</f>
        <v/>
      </c>
      <c r="B1000" s="10" t="str">
        <f>IFERROR(__xludf.DUMMYFUNCTION("""COMPUTED_VALUE"""),"")</f>
        <v/>
      </c>
      <c r="C1000" s="10" t="str">
        <f>IFERROR(__xludf.DUMMYFUNCTION("""COMPUTED_VALUE"""),"")</f>
        <v/>
      </c>
      <c r="D1000" s="10" t="str">
        <f>IFERROR(__xludf.DUMMYFUNCTION("""COMPUTED_VALUE"""),"")</f>
        <v/>
      </c>
      <c r="E1000" s="10" t="str">
        <f>IFERROR(__xludf.DUMMYFUNCTION("""COMPUTED_VALUE"""),"")</f>
        <v/>
      </c>
      <c r="F1000" s="10" t="str">
        <f>IFERROR(__xludf.DUMMYFUNCTION("""COMPUTED_VALUE"""),"")</f>
        <v/>
      </c>
      <c r="G1000" s="10" t="str">
        <f>IFERROR(__xludf.DUMMYFUNCTION("""COMPUTED_VALUE"""),"")</f>
        <v/>
      </c>
      <c r="H1000" s="10" t="str">
        <f>IFERROR(__xludf.DUMMYFUNCTION("""COMPUTED_VALUE"""),"")</f>
        <v/>
      </c>
      <c r="I1000" s="10" t="str">
        <f>IFERROR(__xludf.DUMMYFUNCTION("""COMPUTED_VALUE"""),"")</f>
        <v/>
      </c>
    </row>
    <row r="1001">
      <c r="A1001" s="10" t="str">
        <f>IFERROR(__xludf.DUMMYFUNCTION("""COMPUTED_VALUE"""),"")</f>
        <v/>
      </c>
      <c r="B1001" s="10" t="str">
        <f>IFERROR(__xludf.DUMMYFUNCTION("""COMPUTED_VALUE"""),"")</f>
        <v/>
      </c>
      <c r="C1001" s="10" t="str">
        <f>IFERROR(__xludf.DUMMYFUNCTION("""COMPUTED_VALUE"""),"")</f>
        <v/>
      </c>
      <c r="D1001" s="10" t="str">
        <f>IFERROR(__xludf.DUMMYFUNCTION("""COMPUTED_VALUE"""),"")</f>
        <v/>
      </c>
      <c r="E1001" s="10" t="str">
        <f>IFERROR(__xludf.DUMMYFUNCTION("""COMPUTED_VALUE"""),"")</f>
        <v/>
      </c>
      <c r="F1001" s="10" t="str">
        <f>IFERROR(__xludf.DUMMYFUNCTION("""COMPUTED_VALUE"""),"")</f>
        <v/>
      </c>
      <c r="G1001" s="10" t="str">
        <f>IFERROR(__xludf.DUMMYFUNCTION("""COMPUTED_VALUE"""),"")</f>
        <v/>
      </c>
      <c r="H1001" s="10" t="str">
        <f>IFERROR(__xludf.DUMMYFUNCTION("""COMPUTED_VALUE"""),"")</f>
        <v/>
      </c>
      <c r="I1001" s="10" t="str">
        <f>IFERROR(__xludf.DUMMYFUNCTION("""COMPUTED_VALUE"""),"")</f>
        <v/>
      </c>
    </row>
    <row r="1002">
      <c r="A1002" s="10" t="str">
        <f>IFERROR(__xludf.DUMMYFUNCTION("""COMPUTED_VALUE"""),"")</f>
        <v/>
      </c>
      <c r="B1002" s="10" t="str">
        <f>IFERROR(__xludf.DUMMYFUNCTION("""COMPUTED_VALUE"""),"")</f>
        <v/>
      </c>
      <c r="C1002" s="10" t="str">
        <f>IFERROR(__xludf.DUMMYFUNCTION("""COMPUTED_VALUE"""),"")</f>
        <v/>
      </c>
      <c r="D1002" s="10" t="str">
        <f>IFERROR(__xludf.DUMMYFUNCTION("""COMPUTED_VALUE"""),"")</f>
        <v/>
      </c>
      <c r="E1002" s="10" t="str">
        <f>IFERROR(__xludf.DUMMYFUNCTION("""COMPUTED_VALUE"""),"")</f>
        <v/>
      </c>
      <c r="F1002" s="10" t="str">
        <f>IFERROR(__xludf.DUMMYFUNCTION("""COMPUTED_VALUE"""),"")</f>
        <v/>
      </c>
      <c r="G1002" s="10" t="str">
        <f>IFERROR(__xludf.DUMMYFUNCTION("""COMPUTED_VALUE"""),"")</f>
        <v/>
      </c>
      <c r="H1002" s="10" t="str">
        <f>IFERROR(__xludf.DUMMYFUNCTION("""COMPUTED_VALUE"""),"")</f>
        <v/>
      </c>
      <c r="I1002" s="10" t="str">
        <f>IFERROR(__xludf.DUMMYFUNCTION("""COMPUTED_VALUE"""),"")</f>
        <v/>
      </c>
    </row>
    <row r="1003">
      <c r="A1003" s="10" t="str">
        <f>IFERROR(__xludf.DUMMYFUNCTION("""COMPUTED_VALUE"""),"")</f>
        <v/>
      </c>
      <c r="B1003" s="10" t="str">
        <f>IFERROR(__xludf.DUMMYFUNCTION("""COMPUTED_VALUE"""),"")</f>
        <v/>
      </c>
      <c r="C1003" s="10" t="str">
        <f>IFERROR(__xludf.DUMMYFUNCTION("""COMPUTED_VALUE"""),"")</f>
        <v/>
      </c>
      <c r="D1003" s="10" t="str">
        <f>IFERROR(__xludf.DUMMYFUNCTION("""COMPUTED_VALUE"""),"")</f>
        <v/>
      </c>
      <c r="E1003" s="10" t="str">
        <f>IFERROR(__xludf.DUMMYFUNCTION("""COMPUTED_VALUE"""),"")</f>
        <v/>
      </c>
      <c r="F1003" s="10" t="str">
        <f>IFERROR(__xludf.DUMMYFUNCTION("""COMPUTED_VALUE"""),"")</f>
        <v/>
      </c>
      <c r="G1003" s="10" t="str">
        <f>IFERROR(__xludf.DUMMYFUNCTION("""COMPUTED_VALUE"""),"")</f>
        <v/>
      </c>
      <c r="H1003" s="10" t="str">
        <f>IFERROR(__xludf.DUMMYFUNCTION("""COMPUTED_VALUE"""),"")</f>
        <v/>
      </c>
      <c r="I1003" s="10" t="str">
        <f>IFERROR(__xludf.DUMMYFUNCTION("""COMPUTED_VALUE"""),"")</f>
        <v/>
      </c>
    </row>
    <row r="1004">
      <c r="A1004" s="10" t="str">
        <f>IFERROR(__xludf.DUMMYFUNCTION("""COMPUTED_VALUE"""),"")</f>
        <v/>
      </c>
      <c r="B1004" s="10" t="str">
        <f>IFERROR(__xludf.DUMMYFUNCTION("""COMPUTED_VALUE"""),"")</f>
        <v/>
      </c>
      <c r="C1004" s="10" t="str">
        <f>IFERROR(__xludf.DUMMYFUNCTION("""COMPUTED_VALUE"""),"")</f>
        <v/>
      </c>
      <c r="D1004" s="10" t="str">
        <f>IFERROR(__xludf.DUMMYFUNCTION("""COMPUTED_VALUE"""),"")</f>
        <v/>
      </c>
      <c r="E1004" s="10" t="str">
        <f>IFERROR(__xludf.DUMMYFUNCTION("""COMPUTED_VALUE"""),"")</f>
        <v/>
      </c>
      <c r="F1004" s="10" t="str">
        <f>IFERROR(__xludf.DUMMYFUNCTION("""COMPUTED_VALUE"""),"")</f>
        <v/>
      </c>
      <c r="G1004" s="10" t="str">
        <f>IFERROR(__xludf.DUMMYFUNCTION("""COMPUTED_VALUE"""),"")</f>
        <v/>
      </c>
      <c r="H1004" s="10" t="str">
        <f>IFERROR(__xludf.DUMMYFUNCTION("""COMPUTED_VALUE"""),"")</f>
        <v/>
      </c>
      <c r="I1004" s="10" t="str">
        <f>IFERROR(__xludf.DUMMYFUNCTION("""COMPUTED_VALUE"""),"")</f>
        <v/>
      </c>
    </row>
    <row r="1005">
      <c r="A1005" s="10" t="str">
        <f>IFERROR(__xludf.DUMMYFUNCTION("""COMPUTED_VALUE"""),"")</f>
        <v/>
      </c>
      <c r="B1005" s="10" t="str">
        <f>IFERROR(__xludf.DUMMYFUNCTION("""COMPUTED_VALUE"""),"")</f>
        <v/>
      </c>
      <c r="C1005" s="10" t="str">
        <f>IFERROR(__xludf.DUMMYFUNCTION("""COMPUTED_VALUE"""),"")</f>
        <v/>
      </c>
      <c r="D1005" s="10" t="str">
        <f>IFERROR(__xludf.DUMMYFUNCTION("""COMPUTED_VALUE"""),"")</f>
        <v/>
      </c>
      <c r="E1005" s="10" t="str">
        <f>IFERROR(__xludf.DUMMYFUNCTION("""COMPUTED_VALUE"""),"")</f>
        <v/>
      </c>
      <c r="F1005" s="10" t="str">
        <f>IFERROR(__xludf.DUMMYFUNCTION("""COMPUTED_VALUE"""),"")</f>
        <v/>
      </c>
      <c r="G1005" s="10" t="str">
        <f>IFERROR(__xludf.DUMMYFUNCTION("""COMPUTED_VALUE"""),"")</f>
        <v/>
      </c>
      <c r="H1005" s="10" t="str">
        <f>IFERROR(__xludf.DUMMYFUNCTION("""COMPUTED_VALUE"""),"")</f>
        <v/>
      </c>
      <c r="I1005" s="10" t="str">
        <f>IFERROR(__xludf.DUMMYFUNCTION("""COMPUTED_VALUE"""),"")</f>
        <v/>
      </c>
    </row>
    <row r="1006">
      <c r="A1006" s="10" t="str">
        <f>IFERROR(__xludf.DUMMYFUNCTION("""COMPUTED_VALUE"""),"")</f>
        <v/>
      </c>
      <c r="B1006" s="10" t="str">
        <f>IFERROR(__xludf.DUMMYFUNCTION("""COMPUTED_VALUE"""),"")</f>
        <v/>
      </c>
      <c r="C1006" s="10" t="str">
        <f>IFERROR(__xludf.DUMMYFUNCTION("""COMPUTED_VALUE"""),"")</f>
        <v/>
      </c>
      <c r="D1006" s="10" t="str">
        <f>IFERROR(__xludf.DUMMYFUNCTION("""COMPUTED_VALUE"""),"")</f>
        <v/>
      </c>
      <c r="E1006" s="10" t="str">
        <f>IFERROR(__xludf.DUMMYFUNCTION("""COMPUTED_VALUE"""),"")</f>
        <v/>
      </c>
      <c r="F1006" s="10" t="str">
        <f>IFERROR(__xludf.DUMMYFUNCTION("""COMPUTED_VALUE"""),"")</f>
        <v/>
      </c>
      <c r="G1006" s="10" t="str">
        <f>IFERROR(__xludf.DUMMYFUNCTION("""COMPUTED_VALUE"""),"")</f>
        <v/>
      </c>
      <c r="H1006" s="10" t="str">
        <f>IFERROR(__xludf.DUMMYFUNCTION("""COMPUTED_VALUE"""),"")</f>
        <v/>
      </c>
      <c r="I1006" s="10" t="str">
        <f>IFERROR(__xludf.DUMMYFUNCTION("""COMPUTED_VALUE"""),"")</f>
        <v/>
      </c>
    </row>
    <row r="1007">
      <c r="A1007" s="10" t="str">
        <f>IFERROR(__xludf.DUMMYFUNCTION("""COMPUTED_VALUE"""),"")</f>
        <v/>
      </c>
      <c r="B1007" s="10" t="str">
        <f>IFERROR(__xludf.DUMMYFUNCTION("""COMPUTED_VALUE"""),"")</f>
        <v/>
      </c>
      <c r="C1007" s="10" t="str">
        <f>IFERROR(__xludf.DUMMYFUNCTION("""COMPUTED_VALUE"""),"")</f>
        <v/>
      </c>
      <c r="D1007" s="10" t="str">
        <f>IFERROR(__xludf.DUMMYFUNCTION("""COMPUTED_VALUE"""),"")</f>
        <v/>
      </c>
      <c r="E1007" s="10" t="str">
        <f>IFERROR(__xludf.DUMMYFUNCTION("""COMPUTED_VALUE"""),"")</f>
        <v/>
      </c>
      <c r="F1007" s="10" t="str">
        <f>IFERROR(__xludf.DUMMYFUNCTION("""COMPUTED_VALUE"""),"")</f>
        <v/>
      </c>
      <c r="G1007" s="10" t="str">
        <f>IFERROR(__xludf.DUMMYFUNCTION("""COMPUTED_VALUE"""),"")</f>
        <v/>
      </c>
      <c r="H1007" s="10" t="str">
        <f>IFERROR(__xludf.DUMMYFUNCTION("""COMPUTED_VALUE"""),"")</f>
        <v/>
      </c>
      <c r="I1007" s="10" t="str">
        <f>IFERROR(__xludf.DUMMYFUNCTION("""COMPUTED_VALUE"""),"")</f>
        <v/>
      </c>
    </row>
    <row r="1008">
      <c r="A1008" s="10" t="str">
        <f>IFERROR(__xludf.DUMMYFUNCTION("""COMPUTED_VALUE"""),"")</f>
        <v/>
      </c>
      <c r="B1008" s="10" t="str">
        <f>IFERROR(__xludf.DUMMYFUNCTION("""COMPUTED_VALUE"""),"")</f>
        <v/>
      </c>
      <c r="C1008" s="10" t="str">
        <f>IFERROR(__xludf.DUMMYFUNCTION("""COMPUTED_VALUE"""),"")</f>
        <v/>
      </c>
      <c r="D1008" s="10" t="str">
        <f>IFERROR(__xludf.DUMMYFUNCTION("""COMPUTED_VALUE"""),"")</f>
        <v/>
      </c>
      <c r="E1008" s="10" t="str">
        <f>IFERROR(__xludf.DUMMYFUNCTION("""COMPUTED_VALUE"""),"")</f>
        <v/>
      </c>
      <c r="F1008" s="10" t="str">
        <f>IFERROR(__xludf.DUMMYFUNCTION("""COMPUTED_VALUE"""),"")</f>
        <v/>
      </c>
      <c r="G1008" s="10" t="str">
        <f>IFERROR(__xludf.DUMMYFUNCTION("""COMPUTED_VALUE"""),"")</f>
        <v/>
      </c>
      <c r="H1008" s="10" t="str">
        <f>IFERROR(__xludf.DUMMYFUNCTION("""COMPUTED_VALUE"""),"")</f>
        <v/>
      </c>
      <c r="I1008" s="10" t="str">
        <f>IFERROR(__xludf.DUMMYFUNCTION("""COMPUTED_VALUE"""),"")</f>
        <v/>
      </c>
    </row>
    <row r="1009">
      <c r="A1009" s="10" t="str">
        <f>IFERROR(__xludf.DUMMYFUNCTION("""COMPUTED_VALUE"""),"")</f>
        <v/>
      </c>
      <c r="B1009" s="10" t="str">
        <f>IFERROR(__xludf.DUMMYFUNCTION("""COMPUTED_VALUE"""),"")</f>
        <v/>
      </c>
      <c r="C1009" s="10" t="str">
        <f>IFERROR(__xludf.DUMMYFUNCTION("""COMPUTED_VALUE"""),"")</f>
        <v/>
      </c>
      <c r="D1009" s="10" t="str">
        <f>IFERROR(__xludf.DUMMYFUNCTION("""COMPUTED_VALUE"""),"")</f>
        <v/>
      </c>
      <c r="E1009" s="10" t="str">
        <f>IFERROR(__xludf.DUMMYFUNCTION("""COMPUTED_VALUE"""),"")</f>
        <v/>
      </c>
      <c r="F1009" s="10" t="str">
        <f>IFERROR(__xludf.DUMMYFUNCTION("""COMPUTED_VALUE"""),"")</f>
        <v/>
      </c>
      <c r="G1009" s="10" t="str">
        <f>IFERROR(__xludf.DUMMYFUNCTION("""COMPUTED_VALUE"""),"")</f>
        <v/>
      </c>
      <c r="H1009" s="10" t="str">
        <f>IFERROR(__xludf.DUMMYFUNCTION("""COMPUTED_VALUE"""),"")</f>
        <v/>
      </c>
      <c r="I1009" s="10" t="str">
        <f>IFERROR(__xludf.DUMMYFUNCTION("""COMPUTED_VALUE"""),"")</f>
        <v/>
      </c>
    </row>
    <row r="1010">
      <c r="A1010" s="10" t="str">
        <f>IFERROR(__xludf.DUMMYFUNCTION("""COMPUTED_VALUE"""),"")</f>
        <v/>
      </c>
      <c r="B1010" s="10" t="str">
        <f>IFERROR(__xludf.DUMMYFUNCTION("""COMPUTED_VALUE"""),"")</f>
        <v/>
      </c>
      <c r="C1010" s="10" t="str">
        <f>IFERROR(__xludf.DUMMYFUNCTION("""COMPUTED_VALUE"""),"")</f>
        <v/>
      </c>
      <c r="D1010" s="10" t="str">
        <f>IFERROR(__xludf.DUMMYFUNCTION("""COMPUTED_VALUE"""),"")</f>
        <v/>
      </c>
      <c r="E1010" s="10" t="str">
        <f>IFERROR(__xludf.DUMMYFUNCTION("""COMPUTED_VALUE"""),"")</f>
        <v/>
      </c>
      <c r="F1010" s="10" t="str">
        <f>IFERROR(__xludf.DUMMYFUNCTION("""COMPUTED_VALUE"""),"")</f>
        <v/>
      </c>
      <c r="G1010" s="10" t="str">
        <f>IFERROR(__xludf.DUMMYFUNCTION("""COMPUTED_VALUE"""),"")</f>
        <v/>
      </c>
      <c r="H1010" s="10" t="str">
        <f>IFERROR(__xludf.DUMMYFUNCTION("""COMPUTED_VALUE"""),"")</f>
        <v/>
      </c>
      <c r="I1010" s="10" t="str">
        <f>IFERROR(__xludf.DUMMYFUNCTION("""COMPUTED_VALUE"""),"")</f>
        <v/>
      </c>
    </row>
    <row r="1011">
      <c r="A1011" s="10" t="str">
        <f>IFERROR(__xludf.DUMMYFUNCTION("""COMPUTED_VALUE"""),"")</f>
        <v/>
      </c>
      <c r="B1011" s="10" t="str">
        <f>IFERROR(__xludf.DUMMYFUNCTION("""COMPUTED_VALUE"""),"")</f>
        <v/>
      </c>
      <c r="C1011" s="10" t="str">
        <f>IFERROR(__xludf.DUMMYFUNCTION("""COMPUTED_VALUE"""),"")</f>
        <v/>
      </c>
      <c r="D1011" s="10" t="str">
        <f>IFERROR(__xludf.DUMMYFUNCTION("""COMPUTED_VALUE"""),"")</f>
        <v/>
      </c>
      <c r="E1011" s="10" t="str">
        <f>IFERROR(__xludf.DUMMYFUNCTION("""COMPUTED_VALUE"""),"")</f>
        <v/>
      </c>
      <c r="F1011" s="10" t="str">
        <f>IFERROR(__xludf.DUMMYFUNCTION("""COMPUTED_VALUE"""),"")</f>
        <v/>
      </c>
      <c r="G1011" s="10" t="str">
        <f>IFERROR(__xludf.DUMMYFUNCTION("""COMPUTED_VALUE"""),"")</f>
        <v/>
      </c>
      <c r="H1011" s="10" t="str">
        <f>IFERROR(__xludf.DUMMYFUNCTION("""COMPUTED_VALUE"""),"")</f>
        <v/>
      </c>
      <c r="I1011" s="10" t="str">
        <f>IFERROR(__xludf.DUMMYFUNCTION("""COMPUTED_VALUE"""),"")</f>
        <v/>
      </c>
    </row>
    <row r="1012">
      <c r="A1012" s="10" t="str">
        <f>IFERROR(__xludf.DUMMYFUNCTION("""COMPUTED_VALUE"""),"")</f>
        <v/>
      </c>
      <c r="B1012" s="10" t="str">
        <f>IFERROR(__xludf.DUMMYFUNCTION("""COMPUTED_VALUE"""),"")</f>
        <v/>
      </c>
      <c r="C1012" s="10" t="str">
        <f>IFERROR(__xludf.DUMMYFUNCTION("""COMPUTED_VALUE"""),"")</f>
        <v/>
      </c>
      <c r="D1012" s="10" t="str">
        <f>IFERROR(__xludf.DUMMYFUNCTION("""COMPUTED_VALUE"""),"")</f>
        <v/>
      </c>
      <c r="E1012" s="10" t="str">
        <f>IFERROR(__xludf.DUMMYFUNCTION("""COMPUTED_VALUE"""),"")</f>
        <v/>
      </c>
      <c r="F1012" s="10" t="str">
        <f>IFERROR(__xludf.DUMMYFUNCTION("""COMPUTED_VALUE"""),"")</f>
        <v/>
      </c>
      <c r="G1012" s="10" t="str">
        <f>IFERROR(__xludf.DUMMYFUNCTION("""COMPUTED_VALUE"""),"")</f>
        <v/>
      </c>
      <c r="H1012" s="10" t="str">
        <f>IFERROR(__xludf.DUMMYFUNCTION("""COMPUTED_VALUE"""),"")</f>
        <v/>
      </c>
      <c r="I1012" s="10" t="str">
        <f>IFERROR(__xludf.DUMMYFUNCTION("""COMPUTED_VALUE"""),"")</f>
        <v/>
      </c>
    </row>
    <row r="1013">
      <c r="A1013" s="10" t="str">
        <f>IFERROR(__xludf.DUMMYFUNCTION("""COMPUTED_VALUE"""),"")</f>
        <v/>
      </c>
      <c r="B1013" s="10" t="str">
        <f>IFERROR(__xludf.DUMMYFUNCTION("""COMPUTED_VALUE"""),"")</f>
        <v/>
      </c>
      <c r="C1013" s="10" t="str">
        <f>IFERROR(__xludf.DUMMYFUNCTION("""COMPUTED_VALUE"""),"")</f>
        <v/>
      </c>
      <c r="D1013" s="10" t="str">
        <f>IFERROR(__xludf.DUMMYFUNCTION("""COMPUTED_VALUE"""),"")</f>
        <v/>
      </c>
      <c r="E1013" s="10" t="str">
        <f>IFERROR(__xludf.DUMMYFUNCTION("""COMPUTED_VALUE"""),"")</f>
        <v/>
      </c>
      <c r="F1013" s="10" t="str">
        <f>IFERROR(__xludf.DUMMYFUNCTION("""COMPUTED_VALUE"""),"")</f>
        <v/>
      </c>
      <c r="G1013" s="10" t="str">
        <f>IFERROR(__xludf.DUMMYFUNCTION("""COMPUTED_VALUE"""),"")</f>
        <v/>
      </c>
      <c r="H1013" s="10" t="str">
        <f>IFERROR(__xludf.DUMMYFUNCTION("""COMPUTED_VALUE"""),"")</f>
        <v/>
      </c>
      <c r="I1013" s="10" t="str">
        <f>IFERROR(__xludf.DUMMYFUNCTION("""COMPUTED_VALUE"""),"")</f>
        <v/>
      </c>
    </row>
    <row r="1014">
      <c r="A1014" s="10" t="str">
        <f>IFERROR(__xludf.DUMMYFUNCTION("""COMPUTED_VALUE"""),"")</f>
        <v/>
      </c>
      <c r="B1014" s="10" t="str">
        <f>IFERROR(__xludf.DUMMYFUNCTION("""COMPUTED_VALUE"""),"")</f>
        <v/>
      </c>
      <c r="C1014" s="10" t="str">
        <f>IFERROR(__xludf.DUMMYFUNCTION("""COMPUTED_VALUE"""),"")</f>
        <v/>
      </c>
      <c r="D1014" s="10" t="str">
        <f>IFERROR(__xludf.DUMMYFUNCTION("""COMPUTED_VALUE"""),"")</f>
        <v/>
      </c>
      <c r="E1014" s="10" t="str">
        <f>IFERROR(__xludf.DUMMYFUNCTION("""COMPUTED_VALUE"""),"")</f>
        <v/>
      </c>
      <c r="F1014" s="10" t="str">
        <f>IFERROR(__xludf.DUMMYFUNCTION("""COMPUTED_VALUE"""),"")</f>
        <v/>
      </c>
      <c r="G1014" s="10" t="str">
        <f>IFERROR(__xludf.DUMMYFUNCTION("""COMPUTED_VALUE"""),"")</f>
        <v/>
      </c>
      <c r="H1014" s="10" t="str">
        <f>IFERROR(__xludf.DUMMYFUNCTION("""COMPUTED_VALUE"""),"")</f>
        <v/>
      </c>
      <c r="I1014" s="10" t="str">
        <f>IFERROR(__xludf.DUMMYFUNCTION("""COMPUTED_VALUE"""),"")</f>
        <v/>
      </c>
    </row>
    <row r="1015">
      <c r="A1015" s="10" t="str">
        <f>IFERROR(__xludf.DUMMYFUNCTION("""COMPUTED_VALUE"""),"")</f>
        <v/>
      </c>
      <c r="B1015" s="10" t="str">
        <f>IFERROR(__xludf.DUMMYFUNCTION("""COMPUTED_VALUE"""),"")</f>
        <v/>
      </c>
      <c r="C1015" s="10" t="str">
        <f>IFERROR(__xludf.DUMMYFUNCTION("""COMPUTED_VALUE"""),"")</f>
        <v/>
      </c>
      <c r="D1015" s="10" t="str">
        <f>IFERROR(__xludf.DUMMYFUNCTION("""COMPUTED_VALUE"""),"")</f>
        <v/>
      </c>
      <c r="E1015" s="10" t="str">
        <f>IFERROR(__xludf.DUMMYFUNCTION("""COMPUTED_VALUE"""),"")</f>
        <v/>
      </c>
      <c r="F1015" s="10" t="str">
        <f>IFERROR(__xludf.DUMMYFUNCTION("""COMPUTED_VALUE"""),"")</f>
        <v/>
      </c>
      <c r="G1015" s="10" t="str">
        <f>IFERROR(__xludf.DUMMYFUNCTION("""COMPUTED_VALUE"""),"")</f>
        <v/>
      </c>
      <c r="H1015" s="10" t="str">
        <f>IFERROR(__xludf.DUMMYFUNCTION("""COMPUTED_VALUE"""),"")</f>
        <v/>
      </c>
      <c r="I1015" s="10" t="str">
        <f>IFERROR(__xludf.DUMMYFUNCTION("""COMPUTED_VALUE"""),"")</f>
        <v/>
      </c>
    </row>
    <row r="1016">
      <c r="A1016" s="10" t="str">
        <f>IFERROR(__xludf.DUMMYFUNCTION("""COMPUTED_VALUE"""),"")</f>
        <v/>
      </c>
      <c r="B1016" s="10" t="str">
        <f>IFERROR(__xludf.DUMMYFUNCTION("""COMPUTED_VALUE"""),"")</f>
        <v/>
      </c>
      <c r="C1016" s="10" t="str">
        <f>IFERROR(__xludf.DUMMYFUNCTION("""COMPUTED_VALUE"""),"")</f>
        <v/>
      </c>
      <c r="D1016" s="10" t="str">
        <f>IFERROR(__xludf.DUMMYFUNCTION("""COMPUTED_VALUE"""),"")</f>
        <v/>
      </c>
      <c r="E1016" s="10" t="str">
        <f>IFERROR(__xludf.DUMMYFUNCTION("""COMPUTED_VALUE"""),"")</f>
        <v/>
      </c>
      <c r="F1016" s="10" t="str">
        <f>IFERROR(__xludf.DUMMYFUNCTION("""COMPUTED_VALUE"""),"")</f>
        <v/>
      </c>
      <c r="G1016" s="10" t="str">
        <f>IFERROR(__xludf.DUMMYFUNCTION("""COMPUTED_VALUE"""),"")</f>
        <v/>
      </c>
      <c r="H1016" s="10" t="str">
        <f>IFERROR(__xludf.DUMMYFUNCTION("""COMPUTED_VALUE"""),"")</f>
        <v/>
      </c>
      <c r="I1016" s="10" t="str">
        <f>IFERROR(__xludf.DUMMYFUNCTION("""COMPUTED_VALUE"""),"")</f>
        <v/>
      </c>
    </row>
    <row r="1017">
      <c r="A1017" s="10" t="str">
        <f>IFERROR(__xludf.DUMMYFUNCTION("""COMPUTED_VALUE"""),"")</f>
        <v/>
      </c>
      <c r="B1017" s="10" t="str">
        <f>IFERROR(__xludf.DUMMYFUNCTION("""COMPUTED_VALUE"""),"")</f>
        <v/>
      </c>
      <c r="C1017" s="10" t="str">
        <f>IFERROR(__xludf.DUMMYFUNCTION("""COMPUTED_VALUE"""),"")</f>
        <v/>
      </c>
      <c r="D1017" s="10" t="str">
        <f>IFERROR(__xludf.DUMMYFUNCTION("""COMPUTED_VALUE"""),"")</f>
        <v/>
      </c>
      <c r="E1017" s="10" t="str">
        <f>IFERROR(__xludf.DUMMYFUNCTION("""COMPUTED_VALUE"""),"")</f>
        <v/>
      </c>
      <c r="F1017" s="10" t="str">
        <f>IFERROR(__xludf.DUMMYFUNCTION("""COMPUTED_VALUE"""),"")</f>
        <v/>
      </c>
      <c r="G1017" s="10" t="str">
        <f>IFERROR(__xludf.DUMMYFUNCTION("""COMPUTED_VALUE"""),"")</f>
        <v/>
      </c>
      <c r="H1017" s="10" t="str">
        <f>IFERROR(__xludf.DUMMYFUNCTION("""COMPUTED_VALUE"""),"")</f>
        <v/>
      </c>
      <c r="I1017" s="10" t="str">
        <f>IFERROR(__xludf.DUMMYFUNCTION("""COMPUTED_VALUE"""),"")</f>
        <v/>
      </c>
    </row>
    <row r="1018">
      <c r="A1018" s="10" t="str">
        <f>IFERROR(__xludf.DUMMYFUNCTION("""COMPUTED_VALUE"""),"")</f>
        <v/>
      </c>
      <c r="B1018" s="10" t="str">
        <f>IFERROR(__xludf.DUMMYFUNCTION("""COMPUTED_VALUE"""),"")</f>
        <v/>
      </c>
      <c r="C1018" s="10" t="str">
        <f>IFERROR(__xludf.DUMMYFUNCTION("""COMPUTED_VALUE"""),"")</f>
        <v/>
      </c>
      <c r="D1018" s="10" t="str">
        <f>IFERROR(__xludf.DUMMYFUNCTION("""COMPUTED_VALUE"""),"")</f>
        <v/>
      </c>
      <c r="E1018" s="10" t="str">
        <f>IFERROR(__xludf.DUMMYFUNCTION("""COMPUTED_VALUE"""),"")</f>
        <v/>
      </c>
      <c r="F1018" s="10" t="str">
        <f>IFERROR(__xludf.DUMMYFUNCTION("""COMPUTED_VALUE"""),"")</f>
        <v/>
      </c>
      <c r="G1018" s="10" t="str">
        <f>IFERROR(__xludf.DUMMYFUNCTION("""COMPUTED_VALUE"""),"")</f>
        <v/>
      </c>
      <c r="H1018" s="10" t="str">
        <f>IFERROR(__xludf.DUMMYFUNCTION("""COMPUTED_VALUE"""),"")</f>
        <v/>
      </c>
      <c r="I1018" s="10" t="str">
        <f>IFERROR(__xludf.DUMMYFUNCTION("""COMPUTED_VALUE"""),"")</f>
        <v/>
      </c>
    </row>
    <row r="1019">
      <c r="A1019" s="10" t="str">
        <f>IFERROR(__xludf.DUMMYFUNCTION("""COMPUTED_VALUE"""),"")</f>
        <v/>
      </c>
      <c r="B1019" s="10" t="str">
        <f>IFERROR(__xludf.DUMMYFUNCTION("""COMPUTED_VALUE"""),"")</f>
        <v/>
      </c>
      <c r="C1019" s="10" t="str">
        <f>IFERROR(__xludf.DUMMYFUNCTION("""COMPUTED_VALUE"""),"")</f>
        <v/>
      </c>
      <c r="D1019" s="10" t="str">
        <f>IFERROR(__xludf.DUMMYFUNCTION("""COMPUTED_VALUE"""),"")</f>
        <v/>
      </c>
      <c r="E1019" s="10" t="str">
        <f>IFERROR(__xludf.DUMMYFUNCTION("""COMPUTED_VALUE"""),"")</f>
        <v/>
      </c>
      <c r="F1019" s="10" t="str">
        <f>IFERROR(__xludf.DUMMYFUNCTION("""COMPUTED_VALUE"""),"")</f>
        <v/>
      </c>
      <c r="G1019" s="10" t="str">
        <f>IFERROR(__xludf.DUMMYFUNCTION("""COMPUTED_VALUE"""),"")</f>
        <v/>
      </c>
      <c r="H1019" s="10" t="str">
        <f>IFERROR(__xludf.DUMMYFUNCTION("""COMPUTED_VALUE"""),"")</f>
        <v/>
      </c>
      <c r="I1019" s="10" t="str">
        <f>IFERROR(__xludf.DUMMYFUNCTION("""COMPUTED_VALUE"""),"")</f>
        <v/>
      </c>
    </row>
    <row r="1020">
      <c r="A1020" s="10" t="str">
        <f>IFERROR(__xludf.DUMMYFUNCTION("""COMPUTED_VALUE"""),"")</f>
        <v/>
      </c>
      <c r="B1020" s="10" t="str">
        <f>IFERROR(__xludf.DUMMYFUNCTION("""COMPUTED_VALUE"""),"")</f>
        <v/>
      </c>
      <c r="C1020" s="10" t="str">
        <f>IFERROR(__xludf.DUMMYFUNCTION("""COMPUTED_VALUE"""),"")</f>
        <v/>
      </c>
      <c r="D1020" s="10" t="str">
        <f>IFERROR(__xludf.DUMMYFUNCTION("""COMPUTED_VALUE"""),"")</f>
        <v/>
      </c>
      <c r="E1020" s="10" t="str">
        <f>IFERROR(__xludf.DUMMYFUNCTION("""COMPUTED_VALUE"""),"")</f>
        <v/>
      </c>
      <c r="F1020" s="10" t="str">
        <f>IFERROR(__xludf.DUMMYFUNCTION("""COMPUTED_VALUE"""),"")</f>
        <v/>
      </c>
      <c r="G1020" s="10" t="str">
        <f>IFERROR(__xludf.DUMMYFUNCTION("""COMPUTED_VALUE"""),"")</f>
        <v/>
      </c>
      <c r="H1020" s="10" t="str">
        <f>IFERROR(__xludf.DUMMYFUNCTION("""COMPUTED_VALUE"""),"")</f>
        <v/>
      </c>
      <c r="I1020" s="10" t="str">
        <f>IFERROR(__xludf.DUMMYFUNCTION("""COMPUTED_VALUE"""),"")</f>
        <v/>
      </c>
    </row>
    <row r="1021">
      <c r="A1021" s="10" t="str">
        <f>IFERROR(__xludf.DUMMYFUNCTION("""COMPUTED_VALUE"""),"")</f>
        <v/>
      </c>
      <c r="B1021" s="10" t="str">
        <f>IFERROR(__xludf.DUMMYFUNCTION("""COMPUTED_VALUE"""),"")</f>
        <v/>
      </c>
      <c r="C1021" s="10" t="str">
        <f>IFERROR(__xludf.DUMMYFUNCTION("""COMPUTED_VALUE"""),"")</f>
        <v/>
      </c>
      <c r="D1021" s="10" t="str">
        <f>IFERROR(__xludf.DUMMYFUNCTION("""COMPUTED_VALUE"""),"")</f>
        <v/>
      </c>
      <c r="E1021" s="10" t="str">
        <f>IFERROR(__xludf.DUMMYFUNCTION("""COMPUTED_VALUE"""),"")</f>
        <v/>
      </c>
      <c r="F1021" s="10" t="str">
        <f>IFERROR(__xludf.DUMMYFUNCTION("""COMPUTED_VALUE"""),"")</f>
        <v/>
      </c>
      <c r="G1021" s="10" t="str">
        <f>IFERROR(__xludf.DUMMYFUNCTION("""COMPUTED_VALUE"""),"")</f>
        <v/>
      </c>
      <c r="H1021" s="10" t="str">
        <f>IFERROR(__xludf.DUMMYFUNCTION("""COMPUTED_VALUE"""),"")</f>
        <v/>
      </c>
      <c r="I1021" s="10" t="str">
        <f>IFERROR(__xludf.DUMMYFUNCTION("""COMPUTED_VALUE"""),"")</f>
        <v/>
      </c>
    </row>
    <row r="1022">
      <c r="A1022" s="10" t="str">
        <f>IFERROR(__xludf.DUMMYFUNCTION("""COMPUTED_VALUE"""),"")</f>
        <v/>
      </c>
      <c r="B1022" s="10" t="str">
        <f>IFERROR(__xludf.DUMMYFUNCTION("""COMPUTED_VALUE"""),"")</f>
        <v/>
      </c>
      <c r="C1022" s="10" t="str">
        <f>IFERROR(__xludf.DUMMYFUNCTION("""COMPUTED_VALUE"""),"")</f>
        <v/>
      </c>
      <c r="D1022" s="10" t="str">
        <f>IFERROR(__xludf.DUMMYFUNCTION("""COMPUTED_VALUE"""),"")</f>
        <v/>
      </c>
      <c r="E1022" s="10" t="str">
        <f>IFERROR(__xludf.DUMMYFUNCTION("""COMPUTED_VALUE"""),"")</f>
        <v/>
      </c>
      <c r="F1022" s="10" t="str">
        <f>IFERROR(__xludf.DUMMYFUNCTION("""COMPUTED_VALUE"""),"")</f>
        <v/>
      </c>
      <c r="G1022" s="10" t="str">
        <f>IFERROR(__xludf.DUMMYFUNCTION("""COMPUTED_VALUE"""),"")</f>
        <v/>
      </c>
      <c r="H1022" s="10" t="str">
        <f>IFERROR(__xludf.DUMMYFUNCTION("""COMPUTED_VALUE"""),"")</f>
        <v/>
      </c>
      <c r="I1022" s="10" t="str">
        <f>IFERROR(__xludf.DUMMYFUNCTION("""COMPUTED_VALUE"""),"")</f>
        <v/>
      </c>
    </row>
    <row r="1023">
      <c r="A1023" s="10" t="str">
        <f>IFERROR(__xludf.DUMMYFUNCTION("""COMPUTED_VALUE"""),"")</f>
        <v/>
      </c>
      <c r="B1023" s="10" t="str">
        <f>IFERROR(__xludf.DUMMYFUNCTION("""COMPUTED_VALUE"""),"")</f>
        <v/>
      </c>
      <c r="C1023" s="10" t="str">
        <f>IFERROR(__xludf.DUMMYFUNCTION("""COMPUTED_VALUE"""),"")</f>
        <v/>
      </c>
      <c r="D1023" s="10" t="str">
        <f>IFERROR(__xludf.DUMMYFUNCTION("""COMPUTED_VALUE"""),"")</f>
        <v/>
      </c>
      <c r="E1023" s="10" t="str">
        <f>IFERROR(__xludf.DUMMYFUNCTION("""COMPUTED_VALUE"""),"")</f>
        <v/>
      </c>
      <c r="F1023" s="10" t="str">
        <f>IFERROR(__xludf.DUMMYFUNCTION("""COMPUTED_VALUE"""),"")</f>
        <v/>
      </c>
      <c r="G1023" s="10" t="str">
        <f>IFERROR(__xludf.DUMMYFUNCTION("""COMPUTED_VALUE"""),"")</f>
        <v/>
      </c>
      <c r="H1023" s="10" t="str">
        <f>IFERROR(__xludf.DUMMYFUNCTION("""COMPUTED_VALUE"""),"")</f>
        <v/>
      </c>
      <c r="I1023" s="10" t="str">
        <f>IFERROR(__xludf.DUMMYFUNCTION("""COMPUTED_VALUE"""),"")</f>
        <v/>
      </c>
    </row>
    <row r="1024">
      <c r="A1024" s="10" t="str">
        <f>IFERROR(__xludf.DUMMYFUNCTION("""COMPUTED_VALUE"""),"")</f>
        <v/>
      </c>
      <c r="B1024" s="10" t="str">
        <f>IFERROR(__xludf.DUMMYFUNCTION("""COMPUTED_VALUE"""),"")</f>
        <v/>
      </c>
      <c r="C1024" s="10" t="str">
        <f>IFERROR(__xludf.DUMMYFUNCTION("""COMPUTED_VALUE"""),"")</f>
        <v/>
      </c>
      <c r="D1024" s="10" t="str">
        <f>IFERROR(__xludf.DUMMYFUNCTION("""COMPUTED_VALUE"""),"")</f>
        <v/>
      </c>
      <c r="E1024" s="10" t="str">
        <f>IFERROR(__xludf.DUMMYFUNCTION("""COMPUTED_VALUE"""),"")</f>
        <v/>
      </c>
      <c r="F1024" s="10" t="str">
        <f>IFERROR(__xludf.DUMMYFUNCTION("""COMPUTED_VALUE"""),"")</f>
        <v/>
      </c>
      <c r="G1024" s="10" t="str">
        <f>IFERROR(__xludf.DUMMYFUNCTION("""COMPUTED_VALUE"""),"")</f>
        <v/>
      </c>
      <c r="H1024" s="10" t="str">
        <f>IFERROR(__xludf.DUMMYFUNCTION("""COMPUTED_VALUE"""),"")</f>
        <v/>
      </c>
      <c r="I1024" s="10" t="str">
        <f>IFERROR(__xludf.DUMMYFUNCTION("""COMPUTED_VALUE"""),"")</f>
        <v/>
      </c>
    </row>
    <row r="1025">
      <c r="A1025" s="10" t="str">
        <f>IFERROR(__xludf.DUMMYFUNCTION("""COMPUTED_VALUE"""),"")</f>
        <v/>
      </c>
      <c r="B1025" s="10" t="str">
        <f>IFERROR(__xludf.DUMMYFUNCTION("""COMPUTED_VALUE"""),"")</f>
        <v/>
      </c>
      <c r="C1025" s="10" t="str">
        <f>IFERROR(__xludf.DUMMYFUNCTION("""COMPUTED_VALUE"""),"")</f>
        <v/>
      </c>
      <c r="D1025" s="10" t="str">
        <f>IFERROR(__xludf.DUMMYFUNCTION("""COMPUTED_VALUE"""),"")</f>
        <v/>
      </c>
      <c r="E1025" s="10" t="str">
        <f>IFERROR(__xludf.DUMMYFUNCTION("""COMPUTED_VALUE"""),"")</f>
        <v/>
      </c>
      <c r="F1025" s="10" t="str">
        <f>IFERROR(__xludf.DUMMYFUNCTION("""COMPUTED_VALUE"""),"")</f>
        <v/>
      </c>
      <c r="G1025" s="10" t="str">
        <f>IFERROR(__xludf.DUMMYFUNCTION("""COMPUTED_VALUE"""),"")</f>
        <v/>
      </c>
      <c r="H1025" s="10" t="str">
        <f>IFERROR(__xludf.DUMMYFUNCTION("""COMPUTED_VALUE"""),"")</f>
        <v/>
      </c>
      <c r="I1025" s="10" t="str">
        <f>IFERROR(__xludf.DUMMYFUNCTION("""COMPUTED_VALUE"""),"")</f>
        <v/>
      </c>
    </row>
    <row r="1026">
      <c r="A1026" s="10" t="str">
        <f>IFERROR(__xludf.DUMMYFUNCTION("""COMPUTED_VALUE"""),"")</f>
        <v/>
      </c>
      <c r="B1026" s="10" t="str">
        <f>IFERROR(__xludf.DUMMYFUNCTION("""COMPUTED_VALUE"""),"")</f>
        <v/>
      </c>
      <c r="C1026" s="10" t="str">
        <f>IFERROR(__xludf.DUMMYFUNCTION("""COMPUTED_VALUE"""),"")</f>
        <v/>
      </c>
      <c r="D1026" s="10" t="str">
        <f>IFERROR(__xludf.DUMMYFUNCTION("""COMPUTED_VALUE"""),"")</f>
        <v/>
      </c>
      <c r="E1026" s="10" t="str">
        <f>IFERROR(__xludf.DUMMYFUNCTION("""COMPUTED_VALUE"""),"")</f>
        <v/>
      </c>
      <c r="F1026" s="10" t="str">
        <f>IFERROR(__xludf.DUMMYFUNCTION("""COMPUTED_VALUE"""),"")</f>
        <v/>
      </c>
      <c r="G1026" s="10" t="str">
        <f>IFERROR(__xludf.DUMMYFUNCTION("""COMPUTED_VALUE"""),"")</f>
        <v/>
      </c>
      <c r="H1026" s="10" t="str">
        <f>IFERROR(__xludf.DUMMYFUNCTION("""COMPUTED_VALUE"""),"")</f>
        <v/>
      </c>
      <c r="I1026" s="10" t="str">
        <f>IFERROR(__xludf.DUMMYFUNCTION("""COMPUTED_VALUE"""),"")</f>
        <v/>
      </c>
    </row>
    <row r="1027">
      <c r="A1027" s="10" t="str">
        <f>IFERROR(__xludf.DUMMYFUNCTION("""COMPUTED_VALUE"""),"")</f>
        <v/>
      </c>
      <c r="B1027" s="10" t="str">
        <f>IFERROR(__xludf.DUMMYFUNCTION("""COMPUTED_VALUE"""),"")</f>
        <v/>
      </c>
      <c r="C1027" s="10" t="str">
        <f>IFERROR(__xludf.DUMMYFUNCTION("""COMPUTED_VALUE"""),"")</f>
        <v/>
      </c>
      <c r="D1027" s="10" t="str">
        <f>IFERROR(__xludf.DUMMYFUNCTION("""COMPUTED_VALUE"""),"")</f>
        <v/>
      </c>
      <c r="E1027" s="10" t="str">
        <f>IFERROR(__xludf.DUMMYFUNCTION("""COMPUTED_VALUE"""),"")</f>
        <v/>
      </c>
      <c r="F1027" s="10" t="str">
        <f>IFERROR(__xludf.DUMMYFUNCTION("""COMPUTED_VALUE"""),"")</f>
        <v/>
      </c>
      <c r="G1027" s="10" t="str">
        <f>IFERROR(__xludf.DUMMYFUNCTION("""COMPUTED_VALUE"""),"")</f>
        <v/>
      </c>
      <c r="H1027" s="10" t="str">
        <f>IFERROR(__xludf.DUMMYFUNCTION("""COMPUTED_VALUE"""),"")</f>
        <v/>
      </c>
      <c r="I1027" s="10" t="str">
        <f>IFERROR(__xludf.DUMMYFUNCTION("""COMPUTED_VALUE"""),"")</f>
        <v/>
      </c>
    </row>
    <row r="1028">
      <c r="A1028" s="10" t="str">
        <f>IFERROR(__xludf.DUMMYFUNCTION("""COMPUTED_VALUE"""),"")</f>
        <v/>
      </c>
      <c r="B1028" s="10" t="str">
        <f>IFERROR(__xludf.DUMMYFUNCTION("""COMPUTED_VALUE"""),"")</f>
        <v/>
      </c>
      <c r="C1028" s="10" t="str">
        <f>IFERROR(__xludf.DUMMYFUNCTION("""COMPUTED_VALUE"""),"")</f>
        <v/>
      </c>
      <c r="D1028" s="10" t="str">
        <f>IFERROR(__xludf.DUMMYFUNCTION("""COMPUTED_VALUE"""),"")</f>
        <v/>
      </c>
      <c r="E1028" s="10" t="str">
        <f>IFERROR(__xludf.DUMMYFUNCTION("""COMPUTED_VALUE"""),"")</f>
        <v/>
      </c>
      <c r="F1028" s="10" t="str">
        <f>IFERROR(__xludf.DUMMYFUNCTION("""COMPUTED_VALUE"""),"")</f>
        <v/>
      </c>
      <c r="G1028" s="10" t="str">
        <f>IFERROR(__xludf.DUMMYFUNCTION("""COMPUTED_VALUE"""),"")</f>
        <v/>
      </c>
      <c r="H1028" s="10" t="str">
        <f>IFERROR(__xludf.DUMMYFUNCTION("""COMPUTED_VALUE"""),"")</f>
        <v/>
      </c>
      <c r="I1028" s="10" t="str">
        <f>IFERROR(__xludf.DUMMYFUNCTION("""COMPUTED_VALUE"""),"")</f>
        <v/>
      </c>
    </row>
    <row r="1029">
      <c r="A1029" s="10" t="str">
        <f>IFERROR(__xludf.DUMMYFUNCTION("""COMPUTED_VALUE"""),"")</f>
        <v/>
      </c>
      <c r="B1029" s="10" t="str">
        <f>IFERROR(__xludf.DUMMYFUNCTION("""COMPUTED_VALUE"""),"")</f>
        <v/>
      </c>
      <c r="C1029" s="10" t="str">
        <f>IFERROR(__xludf.DUMMYFUNCTION("""COMPUTED_VALUE"""),"")</f>
        <v/>
      </c>
      <c r="D1029" s="10" t="str">
        <f>IFERROR(__xludf.DUMMYFUNCTION("""COMPUTED_VALUE"""),"")</f>
        <v/>
      </c>
      <c r="E1029" s="10" t="str">
        <f>IFERROR(__xludf.DUMMYFUNCTION("""COMPUTED_VALUE"""),"")</f>
        <v/>
      </c>
      <c r="F1029" s="10" t="str">
        <f>IFERROR(__xludf.DUMMYFUNCTION("""COMPUTED_VALUE"""),"")</f>
        <v/>
      </c>
      <c r="G1029" s="10" t="str">
        <f>IFERROR(__xludf.DUMMYFUNCTION("""COMPUTED_VALUE"""),"")</f>
        <v/>
      </c>
      <c r="H1029" s="10" t="str">
        <f>IFERROR(__xludf.DUMMYFUNCTION("""COMPUTED_VALUE"""),"")</f>
        <v/>
      </c>
      <c r="I1029" s="10" t="str">
        <f>IFERROR(__xludf.DUMMYFUNCTION("""COMPUTED_VALUE"""),"")</f>
        <v/>
      </c>
    </row>
    <row r="1030">
      <c r="A1030" s="10" t="str">
        <f>IFERROR(__xludf.DUMMYFUNCTION("""COMPUTED_VALUE"""),"")</f>
        <v/>
      </c>
      <c r="B1030" s="10" t="str">
        <f>IFERROR(__xludf.DUMMYFUNCTION("""COMPUTED_VALUE"""),"")</f>
        <v/>
      </c>
      <c r="C1030" s="10" t="str">
        <f>IFERROR(__xludf.DUMMYFUNCTION("""COMPUTED_VALUE"""),"")</f>
        <v/>
      </c>
      <c r="D1030" s="10" t="str">
        <f>IFERROR(__xludf.DUMMYFUNCTION("""COMPUTED_VALUE"""),"")</f>
        <v/>
      </c>
      <c r="E1030" s="10" t="str">
        <f>IFERROR(__xludf.DUMMYFUNCTION("""COMPUTED_VALUE"""),"")</f>
        <v/>
      </c>
      <c r="F1030" s="10" t="str">
        <f>IFERROR(__xludf.DUMMYFUNCTION("""COMPUTED_VALUE"""),"")</f>
        <v/>
      </c>
      <c r="G1030" s="10" t="str">
        <f>IFERROR(__xludf.DUMMYFUNCTION("""COMPUTED_VALUE"""),"")</f>
        <v/>
      </c>
      <c r="H1030" s="10" t="str">
        <f>IFERROR(__xludf.DUMMYFUNCTION("""COMPUTED_VALUE"""),"")</f>
        <v/>
      </c>
      <c r="I1030" s="10" t="str">
        <f>IFERROR(__xludf.DUMMYFUNCTION("""COMPUTED_VALUE"""),"")</f>
        <v/>
      </c>
    </row>
    <row r="1031">
      <c r="A1031" s="10" t="str">
        <f>IFERROR(__xludf.DUMMYFUNCTION("""COMPUTED_VALUE"""),"")</f>
        <v/>
      </c>
      <c r="B1031" s="10" t="str">
        <f>IFERROR(__xludf.DUMMYFUNCTION("""COMPUTED_VALUE"""),"")</f>
        <v/>
      </c>
      <c r="C1031" s="10" t="str">
        <f>IFERROR(__xludf.DUMMYFUNCTION("""COMPUTED_VALUE"""),"")</f>
        <v/>
      </c>
      <c r="D1031" s="10" t="str">
        <f>IFERROR(__xludf.DUMMYFUNCTION("""COMPUTED_VALUE"""),"")</f>
        <v/>
      </c>
      <c r="E1031" s="10" t="str">
        <f>IFERROR(__xludf.DUMMYFUNCTION("""COMPUTED_VALUE"""),"")</f>
        <v/>
      </c>
      <c r="F1031" s="10" t="str">
        <f>IFERROR(__xludf.DUMMYFUNCTION("""COMPUTED_VALUE"""),"")</f>
        <v/>
      </c>
      <c r="G1031" s="10" t="str">
        <f>IFERROR(__xludf.DUMMYFUNCTION("""COMPUTED_VALUE"""),"")</f>
        <v/>
      </c>
      <c r="H1031" s="10" t="str">
        <f>IFERROR(__xludf.DUMMYFUNCTION("""COMPUTED_VALUE"""),"")</f>
        <v/>
      </c>
      <c r="I1031" s="10" t="str">
        <f>IFERROR(__xludf.DUMMYFUNCTION("""COMPUTED_VALUE"""),"")</f>
        <v/>
      </c>
    </row>
    <row r="1032">
      <c r="A1032" s="10" t="str">
        <f>IFERROR(__xludf.DUMMYFUNCTION("""COMPUTED_VALUE"""),"")</f>
        <v/>
      </c>
      <c r="B1032" s="10" t="str">
        <f>IFERROR(__xludf.DUMMYFUNCTION("""COMPUTED_VALUE"""),"")</f>
        <v/>
      </c>
      <c r="C1032" s="10" t="str">
        <f>IFERROR(__xludf.DUMMYFUNCTION("""COMPUTED_VALUE"""),"")</f>
        <v/>
      </c>
      <c r="D1032" s="10" t="str">
        <f>IFERROR(__xludf.DUMMYFUNCTION("""COMPUTED_VALUE"""),"")</f>
        <v/>
      </c>
      <c r="E1032" s="10" t="str">
        <f>IFERROR(__xludf.DUMMYFUNCTION("""COMPUTED_VALUE"""),"")</f>
        <v/>
      </c>
      <c r="F1032" s="10" t="str">
        <f>IFERROR(__xludf.DUMMYFUNCTION("""COMPUTED_VALUE"""),"")</f>
        <v/>
      </c>
      <c r="G1032" s="10" t="str">
        <f>IFERROR(__xludf.DUMMYFUNCTION("""COMPUTED_VALUE"""),"")</f>
        <v/>
      </c>
      <c r="H1032" s="10" t="str">
        <f>IFERROR(__xludf.DUMMYFUNCTION("""COMPUTED_VALUE"""),"")</f>
        <v/>
      </c>
      <c r="I1032" s="10" t="str">
        <f>IFERROR(__xludf.DUMMYFUNCTION("""COMPUTED_VALUE"""),"")</f>
        <v/>
      </c>
    </row>
    <row r="1033">
      <c r="A1033" s="10" t="str">
        <f>IFERROR(__xludf.DUMMYFUNCTION("""COMPUTED_VALUE"""),"")</f>
        <v/>
      </c>
      <c r="B1033" s="10" t="str">
        <f>IFERROR(__xludf.DUMMYFUNCTION("""COMPUTED_VALUE"""),"")</f>
        <v/>
      </c>
      <c r="C1033" s="10" t="str">
        <f>IFERROR(__xludf.DUMMYFUNCTION("""COMPUTED_VALUE"""),"")</f>
        <v/>
      </c>
      <c r="D1033" s="10" t="str">
        <f>IFERROR(__xludf.DUMMYFUNCTION("""COMPUTED_VALUE"""),"")</f>
        <v/>
      </c>
      <c r="E1033" s="10" t="str">
        <f>IFERROR(__xludf.DUMMYFUNCTION("""COMPUTED_VALUE"""),"")</f>
        <v/>
      </c>
      <c r="F1033" s="10" t="str">
        <f>IFERROR(__xludf.DUMMYFUNCTION("""COMPUTED_VALUE"""),"")</f>
        <v/>
      </c>
      <c r="G1033" s="10" t="str">
        <f>IFERROR(__xludf.DUMMYFUNCTION("""COMPUTED_VALUE"""),"")</f>
        <v/>
      </c>
      <c r="H1033" s="10" t="str">
        <f>IFERROR(__xludf.DUMMYFUNCTION("""COMPUTED_VALUE"""),"")</f>
        <v/>
      </c>
      <c r="I1033" s="10" t="str">
        <f>IFERROR(__xludf.DUMMYFUNCTION("""COMPUTED_VALUE"""),"")</f>
        <v/>
      </c>
    </row>
    <row r="1034">
      <c r="A1034" s="10" t="str">
        <f>IFERROR(__xludf.DUMMYFUNCTION("""COMPUTED_VALUE"""),"")</f>
        <v/>
      </c>
      <c r="B1034" s="10" t="str">
        <f>IFERROR(__xludf.DUMMYFUNCTION("""COMPUTED_VALUE"""),"")</f>
        <v/>
      </c>
      <c r="C1034" s="10" t="str">
        <f>IFERROR(__xludf.DUMMYFUNCTION("""COMPUTED_VALUE"""),"")</f>
        <v/>
      </c>
      <c r="D1034" s="10" t="str">
        <f>IFERROR(__xludf.DUMMYFUNCTION("""COMPUTED_VALUE"""),"")</f>
        <v/>
      </c>
      <c r="E1034" s="10" t="str">
        <f>IFERROR(__xludf.DUMMYFUNCTION("""COMPUTED_VALUE"""),"")</f>
        <v/>
      </c>
      <c r="F1034" s="10" t="str">
        <f>IFERROR(__xludf.DUMMYFUNCTION("""COMPUTED_VALUE"""),"")</f>
        <v/>
      </c>
      <c r="G1034" s="10" t="str">
        <f>IFERROR(__xludf.DUMMYFUNCTION("""COMPUTED_VALUE"""),"")</f>
        <v/>
      </c>
      <c r="H1034" s="10" t="str">
        <f>IFERROR(__xludf.DUMMYFUNCTION("""COMPUTED_VALUE"""),"")</f>
        <v/>
      </c>
      <c r="I1034" s="10" t="str">
        <f>IFERROR(__xludf.DUMMYFUNCTION("""COMPUTED_VALUE"""),"")</f>
        <v/>
      </c>
    </row>
    <row r="1035">
      <c r="A1035" s="10" t="str">
        <f>IFERROR(__xludf.DUMMYFUNCTION("""COMPUTED_VALUE"""),"")</f>
        <v/>
      </c>
      <c r="B1035" s="10" t="str">
        <f>IFERROR(__xludf.DUMMYFUNCTION("""COMPUTED_VALUE"""),"")</f>
        <v/>
      </c>
      <c r="C1035" s="10" t="str">
        <f>IFERROR(__xludf.DUMMYFUNCTION("""COMPUTED_VALUE"""),"")</f>
        <v/>
      </c>
      <c r="D1035" s="10" t="str">
        <f>IFERROR(__xludf.DUMMYFUNCTION("""COMPUTED_VALUE"""),"")</f>
        <v/>
      </c>
      <c r="E1035" s="10" t="str">
        <f>IFERROR(__xludf.DUMMYFUNCTION("""COMPUTED_VALUE"""),"")</f>
        <v/>
      </c>
      <c r="F1035" s="10" t="str">
        <f>IFERROR(__xludf.DUMMYFUNCTION("""COMPUTED_VALUE"""),"")</f>
        <v/>
      </c>
      <c r="G1035" s="10" t="str">
        <f>IFERROR(__xludf.DUMMYFUNCTION("""COMPUTED_VALUE"""),"")</f>
        <v/>
      </c>
      <c r="H1035" s="10" t="str">
        <f>IFERROR(__xludf.DUMMYFUNCTION("""COMPUTED_VALUE"""),"")</f>
        <v/>
      </c>
      <c r="I1035" s="10" t="str">
        <f>IFERROR(__xludf.DUMMYFUNCTION("""COMPUTED_VALUE"""),"")</f>
        <v/>
      </c>
    </row>
    <row r="1036">
      <c r="A1036" s="10" t="str">
        <f>IFERROR(__xludf.DUMMYFUNCTION("""COMPUTED_VALUE"""),"")</f>
        <v/>
      </c>
      <c r="B1036" s="10" t="str">
        <f>IFERROR(__xludf.DUMMYFUNCTION("""COMPUTED_VALUE"""),"")</f>
        <v/>
      </c>
      <c r="C1036" s="10" t="str">
        <f>IFERROR(__xludf.DUMMYFUNCTION("""COMPUTED_VALUE"""),"")</f>
        <v/>
      </c>
      <c r="D1036" s="10" t="str">
        <f>IFERROR(__xludf.DUMMYFUNCTION("""COMPUTED_VALUE"""),"")</f>
        <v/>
      </c>
      <c r="E1036" s="10" t="str">
        <f>IFERROR(__xludf.DUMMYFUNCTION("""COMPUTED_VALUE"""),"")</f>
        <v/>
      </c>
      <c r="F1036" s="10" t="str">
        <f>IFERROR(__xludf.DUMMYFUNCTION("""COMPUTED_VALUE"""),"")</f>
        <v/>
      </c>
      <c r="G1036" s="10" t="str">
        <f>IFERROR(__xludf.DUMMYFUNCTION("""COMPUTED_VALUE"""),"")</f>
        <v/>
      </c>
      <c r="H1036" s="10" t="str">
        <f>IFERROR(__xludf.DUMMYFUNCTION("""COMPUTED_VALUE"""),"")</f>
        <v/>
      </c>
      <c r="I1036" s="10" t="str">
        <f>IFERROR(__xludf.DUMMYFUNCTION("""COMPUTED_VALUE"""),"")</f>
        <v/>
      </c>
    </row>
    <row r="1037">
      <c r="A1037" s="10" t="str">
        <f>IFERROR(__xludf.DUMMYFUNCTION("""COMPUTED_VALUE"""),"")</f>
        <v/>
      </c>
      <c r="B1037" s="10" t="str">
        <f>IFERROR(__xludf.DUMMYFUNCTION("""COMPUTED_VALUE"""),"")</f>
        <v/>
      </c>
      <c r="C1037" s="10" t="str">
        <f>IFERROR(__xludf.DUMMYFUNCTION("""COMPUTED_VALUE"""),"")</f>
        <v/>
      </c>
      <c r="D1037" s="10" t="str">
        <f>IFERROR(__xludf.DUMMYFUNCTION("""COMPUTED_VALUE"""),"")</f>
        <v/>
      </c>
      <c r="E1037" s="10" t="str">
        <f>IFERROR(__xludf.DUMMYFUNCTION("""COMPUTED_VALUE"""),"")</f>
        <v/>
      </c>
      <c r="F1037" s="10" t="str">
        <f>IFERROR(__xludf.DUMMYFUNCTION("""COMPUTED_VALUE"""),"")</f>
        <v/>
      </c>
      <c r="G1037" s="10" t="str">
        <f>IFERROR(__xludf.DUMMYFUNCTION("""COMPUTED_VALUE"""),"")</f>
        <v/>
      </c>
      <c r="H1037" s="10" t="str">
        <f>IFERROR(__xludf.DUMMYFUNCTION("""COMPUTED_VALUE"""),"")</f>
        <v/>
      </c>
      <c r="I1037" s="10" t="str">
        <f>IFERROR(__xludf.DUMMYFUNCTION("""COMPUTED_VALUE"""),"")</f>
        <v/>
      </c>
    </row>
    <row r="1038">
      <c r="A1038" s="10" t="str">
        <f>IFERROR(__xludf.DUMMYFUNCTION("""COMPUTED_VALUE"""),"")</f>
        <v/>
      </c>
      <c r="B1038" s="10" t="str">
        <f>IFERROR(__xludf.DUMMYFUNCTION("""COMPUTED_VALUE"""),"")</f>
        <v/>
      </c>
      <c r="C1038" s="10" t="str">
        <f>IFERROR(__xludf.DUMMYFUNCTION("""COMPUTED_VALUE"""),"")</f>
        <v/>
      </c>
      <c r="D1038" s="10" t="str">
        <f>IFERROR(__xludf.DUMMYFUNCTION("""COMPUTED_VALUE"""),"")</f>
        <v/>
      </c>
      <c r="E1038" s="10" t="str">
        <f>IFERROR(__xludf.DUMMYFUNCTION("""COMPUTED_VALUE"""),"")</f>
        <v/>
      </c>
      <c r="F1038" s="10" t="str">
        <f>IFERROR(__xludf.DUMMYFUNCTION("""COMPUTED_VALUE"""),"")</f>
        <v/>
      </c>
      <c r="G1038" s="10" t="str">
        <f>IFERROR(__xludf.DUMMYFUNCTION("""COMPUTED_VALUE"""),"")</f>
        <v/>
      </c>
      <c r="H1038" s="10" t="str">
        <f>IFERROR(__xludf.DUMMYFUNCTION("""COMPUTED_VALUE"""),"")</f>
        <v/>
      </c>
      <c r="I1038" s="10" t="str">
        <f>IFERROR(__xludf.DUMMYFUNCTION("""COMPUTED_VALUE"""),"")</f>
        <v/>
      </c>
    </row>
    <row r="1039">
      <c r="A1039" s="10" t="str">
        <f>IFERROR(__xludf.DUMMYFUNCTION("""COMPUTED_VALUE"""),"")</f>
        <v/>
      </c>
      <c r="B1039" s="10" t="str">
        <f>IFERROR(__xludf.DUMMYFUNCTION("""COMPUTED_VALUE"""),"")</f>
        <v/>
      </c>
      <c r="C1039" s="10" t="str">
        <f>IFERROR(__xludf.DUMMYFUNCTION("""COMPUTED_VALUE"""),"")</f>
        <v/>
      </c>
      <c r="D1039" s="10" t="str">
        <f>IFERROR(__xludf.DUMMYFUNCTION("""COMPUTED_VALUE"""),"")</f>
        <v/>
      </c>
      <c r="E1039" s="10" t="str">
        <f>IFERROR(__xludf.DUMMYFUNCTION("""COMPUTED_VALUE"""),"")</f>
        <v/>
      </c>
      <c r="F1039" s="10" t="str">
        <f>IFERROR(__xludf.DUMMYFUNCTION("""COMPUTED_VALUE"""),"")</f>
        <v/>
      </c>
      <c r="G1039" s="10" t="str">
        <f>IFERROR(__xludf.DUMMYFUNCTION("""COMPUTED_VALUE"""),"")</f>
        <v/>
      </c>
      <c r="H1039" s="10" t="str">
        <f>IFERROR(__xludf.DUMMYFUNCTION("""COMPUTED_VALUE"""),"")</f>
        <v/>
      </c>
      <c r="I1039" s="10" t="str">
        <f>IFERROR(__xludf.DUMMYFUNCTION("""COMPUTED_VALUE"""),"")</f>
        <v/>
      </c>
    </row>
    <row r="1040">
      <c r="A1040" s="10" t="str">
        <f>IFERROR(__xludf.DUMMYFUNCTION("""COMPUTED_VALUE"""),"")</f>
        <v/>
      </c>
      <c r="B1040" s="10" t="str">
        <f>IFERROR(__xludf.DUMMYFUNCTION("""COMPUTED_VALUE"""),"")</f>
        <v/>
      </c>
      <c r="C1040" s="10" t="str">
        <f>IFERROR(__xludf.DUMMYFUNCTION("""COMPUTED_VALUE"""),"")</f>
        <v/>
      </c>
      <c r="D1040" s="10" t="str">
        <f>IFERROR(__xludf.DUMMYFUNCTION("""COMPUTED_VALUE"""),"")</f>
        <v/>
      </c>
      <c r="E1040" s="10" t="str">
        <f>IFERROR(__xludf.DUMMYFUNCTION("""COMPUTED_VALUE"""),"")</f>
        <v/>
      </c>
      <c r="F1040" s="10" t="str">
        <f>IFERROR(__xludf.DUMMYFUNCTION("""COMPUTED_VALUE"""),"")</f>
        <v/>
      </c>
      <c r="G1040" s="10" t="str">
        <f>IFERROR(__xludf.DUMMYFUNCTION("""COMPUTED_VALUE"""),"")</f>
        <v/>
      </c>
      <c r="H1040" s="10" t="str">
        <f>IFERROR(__xludf.DUMMYFUNCTION("""COMPUTED_VALUE"""),"")</f>
        <v/>
      </c>
      <c r="I1040" s="10" t="str">
        <f>IFERROR(__xludf.DUMMYFUNCTION("""COMPUTED_VALUE"""),"")</f>
        <v/>
      </c>
    </row>
    <row r="1041">
      <c r="A1041" s="10" t="str">
        <f>IFERROR(__xludf.DUMMYFUNCTION("""COMPUTED_VALUE"""),"")</f>
        <v/>
      </c>
      <c r="B1041" s="10" t="str">
        <f>IFERROR(__xludf.DUMMYFUNCTION("""COMPUTED_VALUE"""),"")</f>
        <v/>
      </c>
      <c r="C1041" s="10" t="str">
        <f>IFERROR(__xludf.DUMMYFUNCTION("""COMPUTED_VALUE"""),"")</f>
        <v/>
      </c>
      <c r="D1041" s="10" t="str">
        <f>IFERROR(__xludf.DUMMYFUNCTION("""COMPUTED_VALUE"""),"")</f>
        <v/>
      </c>
      <c r="E1041" s="10" t="str">
        <f>IFERROR(__xludf.DUMMYFUNCTION("""COMPUTED_VALUE"""),"")</f>
        <v/>
      </c>
      <c r="F1041" s="10" t="str">
        <f>IFERROR(__xludf.DUMMYFUNCTION("""COMPUTED_VALUE"""),"")</f>
        <v/>
      </c>
      <c r="G1041" s="10" t="str">
        <f>IFERROR(__xludf.DUMMYFUNCTION("""COMPUTED_VALUE"""),"")</f>
        <v/>
      </c>
      <c r="H1041" s="10" t="str">
        <f>IFERROR(__xludf.DUMMYFUNCTION("""COMPUTED_VALUE"""),"")</f>
        <v/>
      </c>
      <c r="I1041" s="10" t="str">
        <f>IFERROR(__xludf.DUMMYFUNCTION("""COMPUTED_VALUE"""),"")</f>
        <v/>
      </c>
    </row>
    <row r="1042">
      <c r="A1042" s="10" t="str">
        <f>IFERROR(__xludf.DUMMYFUNCTION("""COMPUTED_VALUE"""),"")</f>
        <v/>
      </c>
      <c r="B1042" s="10" t="str">
        <f>IFERROR(__xludf.DUMMYFUNCTION("""COMPUTED_VALUE"""),"")</f>
        <v/>
      </c>
      <c r="C1042" s="10" t="str">
        <f>IFERROR(__xludf.DUMMYFUNCTION("""COMPUTED_VALUE"""),"")</f>
        <v/>
      </c>
      <c r="D1042" s="10" t="str">
        <f>IFERROR(__xludf.DUMMYFUNCTION("""COMPUTED_VALUE"""),"")</f>
        <v/>
      </c>
      <c r="E1042" s="10" t="str">
        <f>IFERROR(__xludf.DUMMYFUNCTION("""COMPUTED_VALUE"""),"")</f>
        <v/>
      </c>
      <c r="F1042" s="10" t="str">
        <f>IFERROR(__xludf.DUMMYFUNCTION("""COMPUTED_VALUE"""),"")</f>
        <v/>
      </c>
      <c r="G1042" s="10" t="str">
        <f>IFERROR(__xludf.DUMMYFUNCTION("""COMPUTED_VALUE"""),"")</f>
        <v/>
      </c>
      <c r="H1042" s="10" t="str">
        <f>IFERROR(__xludf.DUMMYFUNCTION("""COMPUTED_VALUE"""),"")</f>
        <v/>
      </c>
      <c r="I1042" s="10" t="str">
        <f>IFERROR(__xludf.DUMMYFUNCTION("""COMPUTED_VALUE"""),"")</f>
        <v/>
      </c>
    </row>
    <row r="1043">
      <c r="A1043" s="10" t="str">
        <f>IFERROR(__xludf.DUMMYFUNCTION("""COMPUTED_VALUE"""),"")</f>
        <v/>
      </c>
      <c r="B1043" s="10" t="str">
        <f>IFERROR(__xludf.DUMMYFUNCTION("""COMPUTED_VALUE"""),"")</f>
        <v/>
      </c>
      <c r="C1043" s="10" t="str">
        <f>IFERROR(__xludf.DUMMYFUNCTION("""COMPUTED_VALUE"""),"")</f>
        <v/>
      </c>
      <c r="D1043" s="10" t="str">
        <f>IFERROR(__xludf.DUMMYFUNCTION("""COMPUTED_VALUE"""),"")</f>
        <v/>
      </c>
      <c r="E1043" s="10" t="str">
        <f>IFERROR(__xludf.DUMMYFUNCTION("""COMPUTED_VALUE"""),"")</f>
        <v/>
      </c>
      <c r="F1043" s="10" t="str">
        <f>IFERROR(__xludf.DUMMYFUNCTION("""COMPUTED_VALUE"""),"")</f>
        <v/>
      </c>
      <c r="G1043" s="10" t="str">
        <f>IFERROR(__xludf.DUMMYFUNCTION("""COMPUTED_VALUE"""),"")</f>
        <v/>
      </c>
      <c r="H1043" s="10" t="str">
        <f>IFERROR(__xludf.DUMMYFUNCTION("""COMPUTED_VALUE"""),"")</f>
        <v/>
      </c>
      <c r="I1043" s="10" t="str">
        <f>IFERROR(__xludf.DUMMYFUNCTION("""COMPUTED_VALUE"""),"")</f>
        <v/>
      </c>
    </row>
    <row r="1044">
      <c r="A1044" s="10" t="str">
        <f>IFERROR(__xludf.DUMMYFUNCTION("""COMPUTED_VALUE"""),"")</f>
        <v/>
      </c>
      <c r="B1044" s="10" t="str">
        <f>IFERROR(__xludf.DUMMYFUNCTION("""COMPUTED_VALUE"""),"")</f>
        <v/>
      </c>
      <c r="C1044" s="10" t="str">
        <f>IFERROR(__xludf.DUMMYFUNCTION("""COMPUTED_VALUE"""),"")</f>
        <v/>
      </c>
      <c r="D1044" s="10" t="str">
        <f>IFERROR(__xludf.DUMMYFUNCTION("""COMPUTED_VALUE"""),"")</f>
        <v/>
      </c>
      <c r="E1044" s="10" t="str">
        <f>IFERROR(__xludf.DUMMYFUNCTION("""COMPUTED_VALUE"""),"")</f>
        <v/>
      </c>
      <c r="F1044" s="10" t="str">
        <f>IFERROR(__xludf.DUMMYFUNCTION("""COMPUTED_VALUE"""),"")</f>
        <v/>
      </c>
      <c r="G1044" s="10" t="str">
        <f>IFERROR(__xludf.DUMMYFUNCTION("""COMPUTED_VALUE"""),"")</f>
        <v/>
      </c>
      <c r="H1044" s="10" t="str">
        <f>IFERROR(__xludf.DUMMYFUNCTION("""COMPUTED_VALUE"""),"")</f>
        <v/>
      </c>
      <c r="I1044" s="10" t="str">
        <f>IFERROR(__xludf.DUMMYFUNCTION("""COMPUTED_VALUE"""),"")</f>
        <v/>
      </c>
    </row>
    <row r="1045">
      <c r="A1045" s="10" t="str">
        <f>IFERROR(__xludf.DUMMYFUNCTION("""COMPUTED_VALUE"""),"")</f>
        <v/>
      </c>
      <c r="B1045" s="10" t="str">
        <f>IFERROR(__xludf.DUMMYFUNCTION("""COMPUTED_VALUE"""),"")</f>
        <v/>
      </c>
      <c r="C1045" s="10" t="str">
        <f>IFERROR(__xludf.DUMMYFUNCTION("""COMPUTED_VALUE"""),"")</f>
        <v/>
      </c>
      <c r="D1045" s="10" t="str">
        <f>IFERROR(__xludf.DUMMYFUNCTION("""COMPUTED_VALUE"""),"")</f>
        <v/>
      </c>
      <c r="E1045" s="10" t="str">
        <f>IFERROR(__xludf.DUMMYFUNCTION("""COMPUTED_VALUE"""),"")</f>
        <v/>
      </c>
      <c r="F1045" s="10" t="str">
        <f>IFERROR(__xludf.DUMMYFUNCTION("""COMPUTED_VALUE"""),"")</f>
        <v/>
      </c>
      <c r="G1045" s="10" t="str">
        <f>IFERROR(__xludf.DUMMYFUNCTION("""COMPUTED_VALUE"""),"")</f>
        <v/>
      </c>
      <c r="H1045" s="10" t="str">
        <f>IFERROR(__xludf.DUMMYFUNCTION("""COMPUTED_VALUE"""),"")</f>
        <v/>
      </c>
      <c r="I1045" s="10" t="str">
        <f>IFERROR(__xludf.DUMMYFUNCTION("""COMPUTED_VALUE"""),"")</f>
        <v/>
      </c>
    </row>
    <row r="1046">
      <c r="A1046" s="10" t="str">
        <f>IFERROR(__xludf.DUMMYFUNCTION("""COMPUTED_VALUE"""),"")</f>
        <v/>
      </c>
      <c r="B1046" s="10" t="str">
        <f>IFERROR(__xludf.DUMMYFUNCTION("""COMPUTED_VALUE"""),"")</f>
        <v/>
      </c>
      <c r="C1046" s="10" t="str">
        <f>IFERROR(__xludf.DUMMYFUNCTION("""COMPUTED_VALUE"""),"")</f>
        <v/>
      </c>
      <c r="D1046" s="10" t="str">
        <f>IFERROR(__xludf.DUMMYFUNCTION("""COMPUTED_VALUE"""),"")</f>
        <v/>
      </c>
      <c r="E1046" s="10" t="str">
        <f>IFERROR(__xludf.DUMMYFUNCTION("""COMPUTED_VALUE"""),"")</f>
        <v/>
      </c>
      <c r="F1046" s="10" t="str">
        <f>IFERROR(__xludf.DUMMYFUNCTION("""COMPUTED_VALUE"""),"")</f>
        <v/>
      </c>
      <c r="G1046" s="10" t="str">
        <f>IFERROR(__xludf.DUMMYFUNCTION("""COMPUTED_VALUE"""),"")</f>
        <v/>
      </c>
      <c r="H1046" s="10" t="str">
        <f>IFERROR(__xludf.DUMMYFUNCTION("""COMPUTED_VALUE"""),"")</f>
        <v/>
      </c>
      <c r="I1046" s="10" t="str">
        <f>IFERROR(__xludf.DUMMYFUNCTION("""COMPUTED_VALUE"""),"")</f>
        <v/>
      </c>
    </row>
    <row r="1047">
      <c r="A1047" s="10" t="str">
        <f>IFERROR(__xludf.DUMMYFUNCTION("""COMPUTED_VALUE"""),"")</f>
        <v/>
      </c>
      <c r="B1047" s="10" t="str">
        <f>IFERROR(__xludf.DUMMYFUNCTION("""COMPUTED_VALUE"""),"")</f>
        <v/>
      </c>
      <c r="C1047" s="10" t="str">
        <f>IFERROR(__xludf.DUMMYFUNCTION("""COMPUTED_VALUE"""),"")</f>
        <v/>
      </c>
      <c r="D1047" s="10" t="str">
        <f>IFERROR(__xludf.DUMMYFUNCTION("""COMPUTED_VALUE"""),"")</f>
        <v/>
      </c>
      <c r="E1047" s="10" t="str">
        <f>IFERROR(__xludf.DUMMYFUNCTION("""COMPUTED_VALUE"""),"")</f>
        <v/>
      </c>
      <c r="F1047" s="10" t="str">
        <f>IFERROR(__xludf.DUMMYFUNCTION("""COMPUTED_VALUE"""),"")</f>
        <v/>
      </c>
      <c r="G1047" s="10" t="str">
        <f>IFERROR(__xludf.DUMMYFUNCTION("""COMPUTED_VALUE"""),"")</f>
        <v/>
      </c>
      <c r="H1047" s="10" t="str">
        <f>IFERROR(__xludf.DUMMYFUNCTION("""COMPUTED_VALUE"""),"")</f>
        <v/>
      </c>
      <c r="I1047" s="10" t="str">
        <f>IFERROR(__xludf.DUMMYFUNCTION("""COMPUTED_VALUE"""),"")</f>
        <v/>
      </c>
    </row>
    <row r="1048">
      <c r="A1048" s="10" t="str">
        <f>IFERROR(__xludf.DUMMYFUNCTION("""COMPUTED_VALUE"""),"")</f>
        <v/>
      </c>
      <c r="B1048" s="10" t="str">
        <f>IFERROR(__xludf.DUMMYFUNCTION("""COMPUTED_VALUE"""),"")</f>
        <v/>
      </c>
      <c r="C1048" s="10" t="str">
        <f>IFERROR(__xludf.DUMMYFUNCTION("""COMPUTED_VALUE"""),"")</f>
        <v/>
      </c>
      <c r="D1048" s="10" t="str">
        <f>IFERROR(__xludf.DUMMYFUNCTION("""COMPUTED_VALUE"""),"")</f>
        <v/>
      </c>
      <c r="E1048" s="10" t="str">
        <f>IFERROR(__xludf.DUMMYFUNCTION("""COMPUTED_VALUE"""),"")</f>
        <v/>
      </c>
      <c r="F1048" s="10" t="str">
        <f>IFERROR(__xludf.DUMMYFUNCTION("""COMPUTED_VALUE"""),"")</f>
        <v/>
      </c>
      <c r="G1048" s="10" t="str">
        <f>IFERROR(__xludf.DUMMYFUNCTION("""COMPUTED_VALUE"""),"")</f>
        <v/>
      </c>
      <c r="H1048" s="10" t="str">
        <f>IFERROR(__xludf.DUMMYFUNCTION("""COMPUTED_VALUE"""),"")</f>
        <v/>
      </c>
      <c r="I1048" s="10" t="str">
        <f>IFERROR(__xludf.DUMMYFUNCTION("""COMPUTED_VALUE"""),"")</f>
        <v/>
      </c>
    </row>
    <row r="1049">
      <c r="A1049" s="10" t="str">
        <f>IFERROR(__xludf.DUMMYFUNCTION("""COMPUTED_VALUE"""),"")</f>
        <v/>
      </c>
      <c r="B1049" s="10" t="str">
        <f>IFERROR(__xludf.DUMMYFUNCTION("""COMPUTED_VALUE"""),"")</f>
        <v/>
      </c>
      <c r="C1049" s="10" t="str">
        <f>IFERROR(__xludf.DUMMYFUNCTION("""COMPUTED_VALUE"""),"")</f>
        <v/>
      </c>
      <c r="D1049" s="10" t="str">
        <f>IFERROR(__xludf.DUMMYFUNCTION("""COMPUTED_VALUE"""),"")</f>
        <v/>
      </c>
      <c r="E1049" s="10" t="str">
        <f>IFERROR(__xludf.DUMMYFUNCTION("""COMPUTED_VALUE"""),"")</f>
        <v/>
      </c>
      <c r="F1049" s="10" t="str">
        <f>IFERROR(__xludf.DUMMYFUNCTION("""COMPUTED_VALUE"""),"")</f>
        <v/>
      </c>
      <c r="G1049" s="10" t="str">
        <f>IFERROR(__xludf.DUMMYFUNCTION("""COMPUTED_VALUE"""),"")</f>
        <v/>
      </c>
      <c r="H1049" s="10" t="str">
        <f>IFERROR(__xludf.DUMMYFUNCTION("""COMPUTED_VALUE"""),"")</f>
        <v/>
      </c>
      <c r="I1049" s="10" t="str">
        <f>IFERROR(__xludf.DUMMYFUNCTION("""COMPUTED_VALUE"""),"")</f>
        <v/>
      </c>
    </row>
    <row r="1050">
      <c r="A1050" s="10" t="str">
        <f>IFERROR(__xludf.DUMMYFUNCTION("""COMPUTED_VALUE"""),"")</f>
        <v/>
      </c>
      <c r="B1050" s="10" t="str">
        <f>IFERROR(__xludf.DUMMYFUNCTION("""COMPUTED_VALUE"""),"")</f>
        <v/>
      </c>
      <c r="C1050" s="10" t="str">
        <f>IFERROR(__xludf.DUMMYFUNCTION("""COMPUTED_VALUE"""),"")</f>
        <v/>
      </c>
      <c r="D1050" s="10" t="str">
        <f>IFERROR(__xludf.DUMMYFUNCTION("""COMPUTED_VALUE"""),"")</f>
        <v/>
      </c>
      <c r="E1050" s="10" t="str">
        <f>IFERROR(__xludf.DUMMYFUNCTION("""COMPUTED_VALUE"""),"")</f>
        <v/>
      </c>
      <c r="F1050" s="10" t="str">
        <f>IFERROR(__xludf.DUMMYFUNCTION("""COMPUTED_VALUE"""),"")</f>
        <v/>
      </c>
      <c r="G1050" s="10" t="str">
        <f>IFERROR(__xludf.DUMMYFUNCTION("""COMPUTED_VALUE"""),"")</f>
        <v/>
      </c>
      <c r="H1050" s="10" t="str">
        <f>IFERROR(__xludf.DUMMYFUNCTION("""COMPUTED_VALUE"""),"")</f>
        <v/>
      </c>
      <c r="I1050" s="10" t="str">
        <f>IFERROR(__xludf.DUMMYFUNCTION("""COMPUTED_VALUE"""),"")</f>
        <v/>
      </c>
    </row>
    <row r="1051">
      <c r="A1051" s="10" t="str">
        <f>IFERROR(__xludf.DUMMYFUNCTION("""COMPUTED_VALUE"""),"")</f>
        <v/>
      </c>
      <c r="B1051" s="10" t="str">
        <f>IFERROR(__xludf.DUMMYFUNCTION("""COMPUTED_VALUE"""),"")</f>
        <v/>
      </c>
      <c r="C1051" s="10" t="str">
        <f>IFERROR(__xludf.DUMMYFUNCTION("""COMPUTED_VALUE"""),"")</f>
        <v/>
      </c>
      <c r="D1051" s="10" t="str">
        <f>IFERROR(__xludf.DUMMYFUNCTION("""COMPUTED_VALUE"""),"")</f>
        <v/>
      </c>
      <c r="E1051" s="10" t="str">
        <f>IFERROR(__xludf.DUMMYFUNCTION("""COMPUTED_VALUE"""),"")</f>
        <v/>
      </c>
      <c r="F1051" s="10" t="str">
        <f>IFERROR(__xludf.DUMMYFUNCTION("""COMPUTED_VALUE"""),"")</f>
        <v/>
      </c>
      <c r="G1051" s="10" t="str">
        <f>IFERROR(__xludf.DUMMYFUNCTION("""COMPUTED_VALUE"""),"")</f>
        <v/>
      </c>
      <c r="H1051" s="10" t="str">
        <f>IFERROR(__xludf.DUMMYFUNCTION("""COMPUTED_VALUE"""),"")</f>
        <v/>
      </c>
      <c r="I1051" s="10" t="str">
        <f>IFERROR(__xludf.DUMMYFUNCTION("""COMPUTED_VALUE"""),"")</f>
        <v/>
      </c>
    </row>
    <row r="1052">
      <c r="A1052" s="10" t="str">
        <f>IFERROR(__xludf.DUMMYFUNCTION("""COMPUTED_VALUE"""),"")</f>
        <v/>
      </c>
      <c r="B1052" s="10" t="str">
        <f>IFERROR(__xludf.DUMMYFUNCTION("""COMPUTED_VALUE"""),"")</f>
        <v/>
      </c>
      <c r="C1052" s="10" t="str">
        <f>IFERROR(__xludf.DUMMYFUNCTION("""COMPUTED_VALUE"""),"")</f>
        <v/>
      </c>
      <c r="D1052" s="10" t="str">
        <f>IFERROR(__xludf.DUMMYFUNCTION("""COMPUTED_VALUE"""),"")</f>
        <v/>
      </c>
      <c r="E1052" s="10" t="str">
        <f>IFERROR(__xludf.DUMMYFUNCTION("""COMPUTED_VALUE"""),"")</f>
        <v/>
      </c>
      <c r="F1052" s="10" t="str">
        <f>IFERROR(__xludf.DUMMYFUNCTION("""COMPUTED_VALUE"""),"")</f>
        <v/>
      </c>
      <c r="G1052" s="10" t="str">
        <f>IFERROR(__xludf.DUMMYFUNCTION("""COMPUTED_VALUE"""),"")</f>
        <v/>
      </c>
      <c r="H1052" s="10" t="str">
        <f>IFERROR(__xludf.DUMMYFUNCTION("""COMPUTED_VALUE"""),"")</f>
        <v/>
      </c>
      <c r="I1052" s="10" t="str">
        <f>IFERROR(__xludf.DUMMYFUNCTION("""COMPUTED_VALUE"""),"")</f>
        <v/>
      </c>
    </row>
    <row r="1053">
      <c r="A1053" s="10" t="str">
        <f>IFERROR(__xludf.DUMMYFUNCTION("""COMPUTED_VALUE"""),"")</f>
        <v/>
      </c>
      <c r="B1053" s="10" t="str">
        <f>IFERROR(__xludf.DUMMYFUNCTION("""COMPUTED_VALUE"""),"")</f>
        <v/>
      </c>
      <c r="C1053" s="10" t="str">
        <f>IFERROR(__xludf.DUMMYFUNCTION("""COMPUTED_VALUE"""),"")</f>
        <v/>
      </c>
      <c r="D1053" s="10" t="str">
        <f>IFERROR(__xludf.DUMMYFUNCTION("""COMPUTED_VALUE"""),"")</f>
        <v/>
      </c>
      <c r="E1053" s="10" t="str">
        <f>IFERROR(__xludf.DUMMYFUNCTION("""COMPUTED_VALUE"""),"")</f>
        <v/>
      </c>
      <c r="F1053" s="10" t="str">
        <f>IFERROR(__xludf.DUMMYFUNCTION("""COMPUTED_VALUE"""),"")</f>
        <v/>
      </c>
      <c r="G1053" s="10" t="str">
        <f>IFERROR(__xludf.DUMMYFUNCTION("""COMPUTED_VALUE"""),"")</f>
        <v/>
      </c>
      <c r="H1053" s="10" t="str">
        <f>IFERROR(__xludf.DUMMYFUNCTION("""COMPUTED_VALUE"""),"")</f>
        <v/>
      </c>
      <c r="I1053" s="10" t="str">
        <f>IFERROR(__xludf.DUMMYFUNCTION("""COMPUTED_VALUE"""),"")</f>
        <v/>
      </c>
    </row>
    <row r="1054">
      <c r="A1054" s="10" t="str">
        <f>IFERROR(__xludf.DUMMYFUNCTION("""COMPUTED_VALUE"""),"")</f>
        <v/>
      </c>
      <c r="B1054" s="10" t="str">
        <f>IFERROR(__xludf.DUMMYFUNCTION("""COMPUTED_VALUE"""),"")</f>
        <v/>
      </c>
      <c r="C1054" s="10" t="str">
        <f>IFERROR(__xludf.DUMMYFUNCTION("""COMPUTED_VALUE"""),"")</f>
        <v/>
      </c>
      <c r="D1054" s="10" t="str">
        <f>IFERROR(__xludf.DUMMYFUNCTION("""COMPUTED_VALUE"""),"")</f>
        <v/>
      </c>
      <c r="E1054" s="10" t="str">
        <f>IFERROR(__xludf.DUMMYFUNCTION("""COMPUTED_VALUE"""),"")</f>
        <v/>
      </c>
      <c r="F1054" s="10" t="str">
        <f>IFERROR(__xludf.DUMMYFUNCTION("""COMPUTED_VALUE"""),"")</f>
        <v/>
      </c>
      <c r="G1054" s="10" t="str">
        <f>IFERROR(__xludf.DUMMYFUNCTION("""COMPUTED_VALUE"""),"")</f>
        <v/>
      </c>
      <c r="H1054" s="10" t="str">
        <f>IFERROR(__xludf.DUMMYFUNCTION("""COMPUTED_VALUE"""),"")</f>
        <v/>
      </c>
      <c r="I1054" s="10" t="str">
        <f>IFERROR(__xludf.DUMMYFUNCTION("""COMPUTED_VALUE"""),"")</f>
        <v/>
      </c>
    </row>
    <row r="1055">
      <c r="A1055" s="10" t="str">
        <f>IFERROR(__xludf.DUMMYFUNCTION("""COMPUTED_VALUE"""),"")</f>
        <v/>
      </c>
      <c r="B1055" s="10" t="str">
        <f>IFERROR(__xludf.DUMMYFUNCTION("""COMPUTED_VALUE"""),"")</f>
        <v/>
      </c>
      <c r="C1055" s="10" t="str">
        <f>IFERROR(__xludf.DUMMYFUNCTION("""COMPUTED_VALUE"""),"")</f>
        <v/>
      </c>
      <c r="D1055" s="10" t="str">
        <f>IFERROR(__xludf.DUMMYFUNCTION("""COMPUTED_VALUE"""),"")</f>
        <v/>
      </c>
      <c r="E1055" s="10" t="str">
        <f>IFERROR(__xludf.DUMMYFUNCTION("""COMPUTED_VALUE"""),"")</f>
        <v/>
      </c>
      <c r="F1055" s="10" t="str">
        <f>IFERROR(__xludf.DUMMYFUNCTION("""COMPUTED_VALUE"""),"")</f>
        <v/>
      </c>
      <c r="G1055" s="10" t="str">
        <f>IFERROR(__xludf.DUMMYFUNCTION("""COMPUTED_VALUE"""),"")</f>
        <v/>
      </c>
      <c r="H1055" s="10" t="str">
        <f>IFERROR(__xludf.DUMMYFUNCTION("""COMPUTED_VALUE"""),"")</f>
        <v/>
      </c>
      <c r="I1055" s="10" t="str">
        <f>IFERROR(__xludf.DUMMYFUNCTION("""COMPUTED_VALUE"""),"")</f>
        <v/>
      </c>
    </row>
    <row r="1056">
      <c r="A1056" s="10" t="str">
        <f>IFERROR(__xludf.DUMMYFUNCTION("""COMPUTED_VALUE"""),"")</f>
        <v/>
      </c>
      <c r="B1056" s="10" t="str">
        <f>IFERROR(__xludf.DUMMYFUNCTION("""COMPUTED_VALUE"""),"")</f>
        <v/>
      </c>
      <c r="C1056" s="10" t="str">
        <f>IFERROR(__xludf.DUMMYFUNCTION("""COMPUTED_VALUE"""),"")</f>
        <v/>
      </c>
      <c r="D1056" s="10" t="str">
        <f>IFERROR(__xludf.DUMMYFUNCTION("""COMPUTED_VALUE"""),"")</f>
        <v/>
      </c>
      <c r="E1056" s="10" t="str">
        <f>IFERROR(__xludf.DUMMYFUNCTION("""COMPUTED_VALUE"""),"")</f>
        <v/>
      </c>
      <c r="F1056" s="10" t="str">
        <f>IFERROR(__xludf.DUMMYFUNCTION("""COMPUTED_VALUE"""),"")</f>
        <v/>
      </c>
      <c r="G1056" s="10" t="str">
        <f>IFERROR(__xludf.DUMMYFUNCTION("""COMPUTED_VALUE"""),"")</f>
        <v/>
      </c>
      <c r="H1056" s="10" t="str">
        <f>IFERROR(__xludf.DUMMYFUNCTION("""COMPUTED_VALUE"""),"")</f>
        <v/>
      </c>
      <c r="I1056" s="10" t="str">
        <f>IFERROR(__xludf.DUMMYFUNCTION("""COMPUTED_VALUE"""),"")</f>
        <v/>
      </c>
    </row>
    <row r="1057">
      <c r="A1057" s="10" t="str">
        <f>IFERROR(__xludf.DUMMYFUNCTION("""COMPUTED_VALUE"""),"")</f>
        <v/>
      </c>
      <c r="B1057" s="10" t="str">
        <f>IFERROR(__xludf.DUMMYFUNCTION("""COMPUTED_VALUE"""),"")</f>
        <v/>
      </c>
      <c r="C1057" s="10" t="str">
        <f>IFERROR(__xludf.DUMMYFUNCTION("""COMPUTED_VALUE"""),"")</f>
        <v/>
      </c>
      <c r="D1057" s="10" t="str">
        <f>IFERROR(__xludf.DUMMYFUNCTION("""COMPUTED_VALUE"""),"")</f>
        <v/>
      </c>
      <c r="E1057" s="10" t="str">
        <f>IFERROR(__xludf.DUMMYFUNCTION("""COMPUTED_VALUE"""),"")</f>
        <v/>
      </c>
      <c r="F1057" s="10" t="str">
        <f>IFERROR(__xludf.DUMMYFUNCTION("""COMPUTED_VALUE"""),"")</f>
        <v/>
      </c>
      <c r="G1057" s="10" t="str">
        <f>IFERROR(__xludf.DUMMYFUNCTION("""COMPUTED_VALUE"""),"")</f>
        <v/>
      </c>
      <c r="H1057" s="10" t="str">
        <f>IFERROR(__xludf.DUMMYFUNCTION("""COMPUTED_VALUE"""),"")</f>
        <v/>
      </c>
      <c r="I1057" s="10" t="str">
        <f>IFERROR(__xludf.DUMMYFUNCTION("""COMPUTED_VALUE"""),"")</f>
        <v/>
      </c>
    </row>
    <row r="1058">
      <c r="A1058" s="10" t="str">
        <f>IFERROR(__xludf.DUMMYFUNCTION("""COMPUTED_VALUE"""),"")</f>
        <v/>
      </c>
      <c r="B1058" s="10" t="str">
        <f>IFERROR(__xludf.DUMMYFUNCTION("""COMPUTED_VALUE"""),"")</f>
        <v/>
      </c>
      <c r="C1058" s="10" t="str">
        <f>IFERROR(__xludf.DUMMYFUNCTION("""COMPUTED_VALUE"""),"")</f>
        <v/>
      </c>
      <c r="D1058" s="10" t="str">
        <f>IFERROR(__xludf.DUMMYFUNCTION("""COMPUTED_VALUE"""),"")</f>
        <v/>
      </c>
      <c r="E1058" s="10" t="str">
        <f>IFERROR(__xludf.DUMMYFUNCTION("""COMPUTED_VALUE"""),"")</f>
        <v/>
      </c>
      <c r="F1058" s="10" t="str">
        <f>IFERROR(__xludf.DUMMYFUNCTION("""COMPUTED_VALUE"""),"")</f>
        <v/>
      </c>
      <c r="G1058" s="10" t="str">
        <f>IFERROR(__xludf.DUMMYFUNCTION("""COMPUTED_VALUE"""),"")</f>
        <v/>
      </c>
      <c r="H1058" s="10" t="str">
        <f>IFERROR(__xludf.DUMMYFUNCTION("""COMPUTED_VALUE"""),"")</f>
        <v/>
      </c>
      <c r="I1058" s="10" t="str">
        <f>IFERROR(__xludf.DUMMYFUNCTION("""COMPUTED_VALUE"""),"")</f>
        <v/>
      </c>
    </row>
    <row r="1059">
      <c r="A1059" s="10" t="str">
        <f>IFERROR(__xludf.DUMMYFUNCTION("""COMPUTED_VALUE"""),"")</f>
        <v/>
      </c>
      <c r="B1059" s="10" t="str">
        <f>IFERROR(__xludf.DUMMYFUNCTION("""COMPUTED_VALUE"""),"")</f>
        <v/>
      </c>
      <c r="C1059" s="10" t="str">
        <f>IFERROR(__xludf.DUMMYFUNCTION("""COMPUTED_VALUE"""),"")</f>
        <v/>
      </c>
      <c r="D1059" s="10" t="str">
        <f>IFERROR(__xludf.DUMMYFUNCTION("""COMPUTED_VALUE"""),"")</f>
        <v/>
      </c>
      <c r="E1059" s="10" t="str">
        <f>IFERROR(__xludf.DUMMYFUNCTION("""COMPUTED_VALUE"""),"")</f>
        <v/>
      </c>
      <c r="F1059" s="10" t="str">
        <f>IFERROR(__xludf.DUMMYFUNCTION("""COMPUTED_VALUE"""),"")</f>
        <v/>
      </c>
      <c r="G1059" s="10" t="str">
        <f>IFERROR(__xludf.DUMMYFUNCTION("""COMPUTED_VALUE"""),"")</f>
        <v/>
      </c>
      <c r="H1059" s="10" t="str">
        <f>IFERROR(__xludf.DUMMYFUNCTION("""COMPUTED_VALUE"""),"")</f>
        <v/>
      </c>
      <c r="I1059" s="10" t="str">
        <f>IFERROR(__xludf.DUMMYFUNCTION("""COMPUTED_VALUE"""),"")</f>
        <v/>
      </c>
    </row>
    <row r="1060">
      <c r="A1060" s="10" t="str">
        <f>IFERROR(__xludf.DUMMYFUNCTION("""COMPUTED_VALUE"""),"")</f>
        <v/>
      </c>
      <c r="B1060" s="10" t="str">
        <f>IFERROR(__xludf.DUMMYFUNCTION("""COMPUTED_VALUE"""),"")</f>
        <v/>
      </c>
      <c r="C1060" s="10" t="str">
        <f>IFERROR(__xludf.DUMMYFUNCTION("""COMPUTED_VALUE"""),"")</f>
        <v/>
      </c>
      <c r="D1060" s="10" t="str">
        <f>IFERROR(__xludf.DUMMYFUNCTION("""COMPUTED_VALUE"""),"")</f>
        <v/>
      </c>
      <c r="E1060" s="10" t="str">
        <f>IFERROR(__xludf.DUMMYFUNCTION("""COMPUTED_VALUE"""),"")</f>
        <v/>
      </c>
      <c r="F1060" s="10" t="str">
        <f>IFERROR(__xludf.DUMMYFUNCTION("""COMPUTED_VALUE"""),"")</f>
        <v/>
      </c>
      <c r="G1060" s="10" t="str">
        <f>IFERROR(__xludf.DUMMYFUNCTION("""COMPUTED_VALUE"""),"")</f>
        <v/>
      </c>
      <c r="H1060" s="10" t="str">
        <f>IFERROR(__xludf.DUMMYFUNCTION("""COMPUTED_VALUE"""),"")</f>
        <v/>
      </c>
      <c r="I1060" s="10" t="str">
        <f>IFERROR(__xludf.DUMMYFUNCTION("""COMPUTED_VALUE"""),"")</f>
        <v/>
      </c>
    </row>
    <row r="1061">
      <c r="A1061" s="10" t="str">
        <f>IFERROR(__xludf.DUMMYFUNCTION("""COMPUTED_VALUE"""),"")</f>
        <v/>
      </c>
      <c r="B1061" s="10" t="str">
        <f>IFERROR(__xludf.DUMMYFUNCTION("""COMPUTED_VALUE"""),"")</f>
        <v/>
      </c>
      <c r="C1061" s="10" t="str">
        <f>IFERROR(__xludf.DUMMYFUNCTION("""COMPUTED_VALUE"""),"")</f>
        <v/>
      </c>
      <c r="D1061" s="10" t="str">
        <f>IFERROR(__xludf.DUMMYFUNCTION("""COMPUTED_VALUE"""),"")</f>
        <v/>
      </c>
      <c r="E1061" s="10" t="str">
        <f>IFERROR(__xludf.DUMMYFUNCTION("""COMPUTED_VALUE"""),"")</f>
        <v/>
      </c>
      <c r="F1061" s="10" t="str">
        <f>IFERROR(__xludf.DUMMYFUNCTION("""COMPUTED_VALUE"""),"")</f>
        <v/>
      </c>
      <c r="G1061" s="10" t="str">
        <f>IFERROR(__xludf.DUMMYFUNCTION("""COMPUTED_VALUE"""),"")</f>
        <v/>
      </c>
      <c r="H1061" s="10" t="str">
        <f>IFERROR(__xludf.DUMMYFUNCTION("""COMPUTED_VALUE"""),"")</f>
        <v/>
      </c>
      <c r="I1061" s="10" t="str">
        <f>IFERROR(__xludf.DUMMYFUNCTION("""COMPUTED_VALUE"""),"")</f>
        <v/>
      </c>
    </row>
    <row r="1062">
      <c r="A1062" s="10" t="str">
        <f>IFERROR(__xludf.DUMMYFUNCTION("""COMPUTED_VALUE"""),"")</f>
        <v/>
      </c>
      <c r="B1062" s="10" t="str">
        <f>IFERROR(__xludf.DUMMYFUNCTION("""COMPUTED_VALUE"""),"")</f>
        <v/>
      </c>
      <c r="C1062" s="10" t="str">
        <f>IFERROR(__xludf.DUMMYFUNCTION("""COMPUTED_VALUE"""),"")</f>
        <v/>
      </c>
      <c r="D1062" s="10" t="str">
        <f>IFERROR(__xludf.DUMMYFUNCTION("""COMPUTED_VALUE"""),"")</f>
        <v/>
      </c>
      <c r="E1062" s="10" t="str">
        <f>IFERROR(__xludf.DUMMYFUNCTION("""COMPUTED_VALUE"""),"")</f>
        <v/>
      </c>
      <c r="F1062" s="10" t="str">
        <f>IFERROR(__xludf.DUMMYFUNCTION("""COMPUTED_VALUE"""),"")</f>
        <v/>
      </c>
      <c r="G1062" s="10" t="str">
        <f>IFERROR(__xludf.DUMMYFUNCTION("""COMPUTED_VALUE"""),"")</f>
        <v/>
      </c>
      <c r="H1062" s="10" t="str">
        <f>IFERROR(__xludf.DUMMYFUNCTION("""COMPUTED_VALUE"""),"")</f>
        <v/>
      </c>
      <c r="I1062" s="10" t="str">
        <f>IFERROR(__xludf.DUMMYFUNCTION("""COMPUTED_VALUE"""),"")</f>
        <v/>
      </c>
    </row>
    <row r="1063">
      <c r="A1063" s="10" t="str">
        <f>IFERROR(__xludf.DUMMYFUNCTION("""COMPUTED_VALUE"""),"")</f>
        <v/>
      </c>
      <c r="B1063" s="10" t="str">
        <f>IFERROR(__xludf.DUMMYFUNCTION("""COMPUTED_VALUE"""),"")</f>
        <v/>
      </c>
      <c r="C1063" s="10" t="str">
        <f>IFERROR(__xludf.DUMMYFUNCTION("""COMPUTED_VALUE"""),"")</f>
        <v/>
      </c>
      <c r="D1063" s="10" t="str">
        <f>IFERROR(__xludf.DUMMYFUNCTION("""COMPUTED_VALUE"""),"")</f>
        <v/>
      </c>
      <c r="E1063" s="10" t="str">
        <f>IFERROR(__xludf.DUMMYFUNCTION("""COMPUTED_VALUE"""),"")</f>
        <v/>
      </c>
      <c r="F1063" s="10" t="str">
        <f>IFERROR(__xludf.DUMMYFUNCTION("""COMPUTED_VALUE"""),"")</f>
        <v/>
      </c>
      <c r="G1063" s="10" t="str">
        <f>IFERROR(__xludf.DUMMYFUNCTION("""COMPUTED_VALUE"""),"")</f>
        <v/>
      </c>
      <c r="H1063" s="10" t="str">
        <f>IFERROR(__xludf.DUMMYFUNCTION("""COMPUTED_VALUE"""),"")</f>
        <v/>
      </c>
      <c r="I1063" s="10" t="str">
        <f>IFERROR(__xludf.DUMMYFUNCTION("""COMPUTED_VALUE"""),"")</f>
        <v/>
      </c>
    </row>
    <row r="1064">
      <c r="A1064" s="10" t="str">
        <f>IFERROR(__xludf.DUMMYFUNCTION("""COMPUTED_VALUE"""),"")</f>
        <v/>
      </c>
      <c r="B1064" s="10" t="str">
        <f>IFERROR(__xludf.DUMMYFUNCTION("""COMPUTED_VALUE"""),"")</f>
        <v/>
      </c>
      <c r="C1064" s="10" t="str">
        <f>IFERROR(__xludf.DUMMYFUNCTION("""COMPUTED_VALUE"""),"")</f>
        <v/>
      </c>
      <c r="D1064" s="10" t="str">
        <f>IFERROR(__xludf.DUMMYFUNCTION("""COMPUTED_VALUE"""),"")</f>
        <v/>
      </c>
      <c r="E1064" s="10" t="str">
        <f>IFERROR(__xludf.DUMMYFUNCTION("""COMPUTED_VALUE"""),"")</f>
        <v/>
      </c>
      <c r="F1064" s="10" t="str">
        <f>IFERROR(__xludf.DUMMYFUNCTION("""COMPUTED_VALUE"""),"")</f>
        <v/>
      </c>
      <c r="G1064" s="10" t="str">
        <f>IFERROR(__xludf.DUMMYFUNCTION("""COMPUTED_VALUE"""),"")</f>
        <v/>
      </c>
      <c r="H1064" s="10" t="str">
        <f>IFERROR(__xludf.DUMMYFUNCTION("""COMPUTED_VALUE"""),"")</f>
        <v/>
      </c>
      <c r="I1064" s="10" t="str">
        <f>IFERROR(__xludf.DUMMYFUNCTION("""COMPUTED_VALUE"""),"")</f>
        <v/>
      </c>
    </row>
    <row r="1065">
      <c r="A1065" s="10" t="str">
        <f>IFERROR(__xludf.DUMMYFUNCTION("""COMPUTED_VALUE"""),"")</f>
        <v/>
      </c>
      <c r="B1065" s="10" t="str">
        <f>IFERROR(__xludf.DUMMYFUNCTION("""COMPUTED_VALUE"""),"")</f>
        <v/>
      </c>
      <c r="C1065" s="10" t="str">
        <f>IFERROR(__xludf.DUMMYFUNCTION("""COMPUTED_VALUE"""),"")</f>
        <v/>
      </c>
      <c r="D1065" s="10" t="str">
        <f>IFERROR(__xludf.DUMMYFUNCTION("""COMPUTED_VALUE"""),"")</f>
        <v/>
      </c>
      <c r="E1065" s="10" t="str">
        <f>IFERROR(__xludf.DUMMYFUNCTION("""COMPUTED_VALUE"""),"")</f>
        <v/>
      </c>
      <c r="F1065" s="10" t="str">
        <f>IFERROR(__xludf.DUMMYFUNCTION("""COMPUTED_VALUE"""),"")</f>
        <v/>
      </c>
      <c r="G1065" s="10" t="str">
        <f>IFERROR(__xludf.DUMMYFUNCTION("""COMPUTED_VALUE"""),"")</f>
        <v/>
      </c>
      <c r="H1065" s="10" t="str">
        <f>IFERROR(__xludf.DUMMYFUNCTION("""COMPUTED_VALUE"""),"")</f>
        <v/>
      </c>
      <c r="I1065" s="10" t="str">
        <f>IFERROR(__xludf.DUMMYFUNCTION("""COMPUTED_VALUE"""),"")</f>
        <v/>
      </c>
    </row>
    <row r="1066">
      <c r="A1066" s="10" t="str">
        <f>IFERROR(__xludf.DUMMYFUNCTION("""COMPUTED_VALUE"""),"")</f>
        <v/>
      </c>
      <c r="B1066" s="10" t="str">
        <f>IFERROR(__xludf.DUMMYFUNCTION("""COMPUTED_VALUE"""),"")</f>
        <v/>
      </c>
      <c r="C1066" s="10" t="str">
        <f>IFERROR(__xludf.DUMMYFUNCTION("""COMPUTED_VALUE"""),"")</f>
        <v/>
      </c>
      <c r="D1066" s="10" t="str">
        <f>IFERROR(__xludf.DUMMYFUNCTION("""COMPUTED_VALUE"""),"")</f>
        <v/>
      </c>
      <c r="E1066" s="10" t="str">
        <f>IFERROR(__xludf.DUMMYFUNCTION("""COMPUTED_VALUE"""),"")</f>
        <v/>
      </c>
      <c r="F1066" s="10" t="str">
        <f>IFERROR(__xludf.DUMMYFUNCTION("""COMPUTED_VALUE"""),"")</f>
        <v/>
      </c>
      <c r="G1066" s="10" t="str">
        <f>IFERROR(__xludf.DUMMYFUNCTION("""COMPUTED_VALUE"""),"")</f>
        <v/>
      </c>
      <c r="H1066" s="10" t="str">
        <f>IFERROR(__xludf.DUMMYFUNCTION("""COMPUTED_VALUE"""),"")</f>
        <v/>
      </c>
      <c r="I1066" s="10" t="str">
        <f>IFERROR(__xludf.DUMMYFUNCTION("""COMPUTED_VALUE"""),"")</f>
        <v/>
      </c>
    </row>
    <row r="1067">
      <c r="A1067" s="10" t="str">
        <f>IFERROR(__xludf.DUMMYFUNCTION("""COMPUTED_VALUE"""),"")</f>
        <v/>
      </c>
      <c r="B1067" s="10" t="str">
        <f>IFERROR(__xludf.DUMMYFUNCTION("""COMPUTED_VALUE"""),"")</f>
        <v/>
      </c>
      <c r="C1067" s="10" t="str">
        <f>IFERROR(__xludf.DUMMYFUNCTION("""COMPUTED_VALUE"""),"")</f>
        <v/>
      </c>
      <c r="D1067" s="10" t="str">
        <f>IFERROR(__xludf.DUMMYFUNCTION("""COMPUTED_VALUE"""),"")</f>
        <v/>
      </c>
      <c r="E1067" s="10" t="str">
        <f>IFERROR(__xludf.DUMMYFUNCTION("""COMPUTED_VALUE"""),"")</f>
        <v/>
      </c>
      <c r="F1067" s="10" t="str">
        <f>IFERROR(__xludf.DUMMYFUNCTION("""COMPUTED_VALUE"""),"")</f>
        <v/>
      </c>
      <c r="G1067" s="10" t="str">
        <f>IFERROR(__xludf.DUMMYFUNCTION("""COMPUTED_VALUE"""),"")</f>
        <v/>
      </c>
      <c r="H1067" s="10" t="str">
        <f>IFERROR(__xludf.DUMMYFUNCTION("""COMPUTED_VALUE"""),"")</f>
        <v/>
      </c>
      <c r="I1067" s="10" t="str">
        <f>IFERROR(__xludf.DUMMYFUNCTION("""COMPUTED_VALUE"""),"")</f>
        <v/>
      </c>
    </row>
    <row r="1068">
      <c r="A1068" s="10" t="str">
        <f>IFERROR(__xludf.DUMMYFUNCTION("""COMPUTED_VALUE"""),"")</f>
        <v/>
      </c>
      <c r="B1068" s="10" t="str">
        <f>IFERROR(__xludf.DUMMYFUNCTION("""COMPUTED_VALUE"""),"")</f>
        <v/>
      </c>
      <c r="C1068" s="10" t="str">
        <f>IFERROR(__xludf.DUMMYFUNCTION("""COMPUTED_VALUE"""),"")</f>
        <v/>
      </c>
      <c r="D1068" s="10" t="str">
        <f>IFERROR(__xludf.DUMMYFUNCTION("""COMPUTED_VALUE"""),"")</f>
        <v/>
      </c>
      <c r="E1068" s="10" t="str">
        <f>IFERROR(__xludf.DUMMYFUNCTION("""COMPUTED_VALUE"""),"")</f>
        <v/>
      </c>
      <c r="F1068" s="10" t="str">
        <f>IFERROR(__xludf.DUMMYFUNCTION("""COMPUTED_VALUE"""),"")</f>
        <v/>
      </c>
      <c r="G1068" s="10" t="str">
        <f>IFERROR(__xludf.DUMMYFUNCTION("""COMPUTED_VALUE"""),"")</f>
        <v/>
      </c>
      <c r="H1068" s="10" t="str">
        <f>IFERROR(__xludf.DUMMYFUNCTION("""COMPUTED_VALUE"""),"")</f>
        <v/>
      </c>
      <c r="I1068" s="10" t="str">
        <f>IFERROR(__xludf.DUMMYFUNCTION("""COMPUTED_VALUE"""),"")</f>
        <v/>
      </c>
    </row>
    <row r="1069">
      <c r="A1069" s="10" t="str">
        <f>IFERROR(__xludf.DUMMYFUNCTION("""COMPUTED_VALUE"""),"")</f>
        <v/>
      </c>
      <c r="B1069" s="10" t="str">
        <f>IFERROR(__xludf.DUMMYFUNCTION("""COMPUTED_VALUE"""),"")</f>
        <v/>
      </c>
      <c r="C1069" s="10" t="str">
        <f>IFERROR(__xludf.DUMMYFUNCTION("""COMPUTED_VALUE"""),"")</f>
        <v/>
      </c>
      <c r="D1069" s="10" t="str">
        <f>IFERROR(__xludf.DUMMYFUNCTION("""COMPUTED_VALUE"""),"")</f>
        <v/>
      </c>
      <c r="E1069" s="10" t="str">
        <f>IFERROR(__xludf.DUMMYFUNCTION("""COMPUTED_VALUE"""),"")</f>
        <v/>
      </c>
      <c r="F1069" s="10" t="str">
        <f>IFERROR(__xludf.DUMMYFUNCTION("""COMPUTED_VALUE"""),"")</f>
        <v/>
      </c>
      <c r="G1069" s="10" t="str">
        <f>IFERROR(__xludf.DUMMYFUNCTION("""COMPUTED_VALUE"""),"")</f>
        <v/>
      </c>
      <c r="H1069" s="10" t="str">
        <f>IFERROR(__xludf.DUMMYFUNCTION("""COMPUTED_VALUE"""),"")</f>
        <v/>
      </c>
      <c r="I1069" s="10" t="str">
        <f>IFERROR(__xludf.DUMMYFUNCTION("""COMPUTED_VALUE"""),"")</f>
        <v/>
      </c>
    </row>
    <row r="1070">
      <c r="A1070" s="10" t="str">
        <f>IFERROR(__xludf.DUMMYFUNCTION("""COMPUTED_VALUE"""),"")</f>
        <v/>
      </c>
      <c r="B1070" s="10" t="str">
        <f>IFERROR(__xludf.DUMMYFUNCTION("""COMPUTED_VALUE"""),"")</f>
        <v/>
      </c>
      <c r="C1070" s="10" t="str">
        <f>IFERROR(__xludf.DUMMYFUNCTION("""COMPUTED_VALUE"""),"")</f>
        <v/>
      </c>
      <c r="D1070" s="10" t="str">
        <f>IFERROR(__xludf.DUMMYFUNCTION("""COMPUTED_VALUE"""),"")</f>
        <v/>
      </c>
      <c r="E1070" s="10" t="str">
        <f>IFERROR(__xludf.DUMMYFUNCTION("""COMPUTED_VALUE"""),"")</f>
        <v/>
      </c>
      <c r="F1070" s="10" t="str">
        <f>IFERROR(__xludf.DUMMYFUNCTION("""COMPUTED_VALUE"""),"")</f>
        <v/>
      </c>
      <c r="G1070" s="10" t="str">
        <f>IFERROR(__xludf.DUMMYFUNCTION("""COMPUTED_VALUE"""),"")</f>
        <v/>
      </c>
      <c r="H1070" s="10" t="str">
        <f>IFERROR(__xludf.DUMMYFUNCTION("""COMPUTED_VALUE"""),"")</f>
        <v/>
      </c>
      <c r="I1070" s="10" t="str">
        <f>IFERROR(__xludf.DUMMYFUNCTION("""COMPUTED_VALUE"""),"")</f>
        <v/>
      </c>
    </row>
    <row r="1071">
      <c r="A1071" s="10" t="str">
        <f>IFERROR(__xludf.DUMMYFUNCTION("""COMPUTED_VALUE"""),"")</f>
        <v/>
      </c>
      <c r="B1071" s="10" t="str">
        <f>IFERROR(__xludf.DUMMYFUNCTION("""COMPUTED_VALUE"""),"")</f>
        <v/>
      </c>
      <c r="C1071" s="10" t="str">
        <f>IFERROR(__xludf.DUMMYFUNCTION("""COMPUTED_VALUE"""),"")</f>
        <v/>
      </c>
      <c r="D1071" s="10" t="str">
        <f>IFERROR(__xludf.DUMMYFUNCTION("""COMPUTED_VALUE"""),"")</f>
        <v/>
      </c>
      <c r="E1071" s="10" t="str">
        <f>IFERROR(__xludf.DUMMYFUNCTION("""COMPUTED_VALUE"""),"")</f>
        <v/>
      </c>
      <c r="F1071" s="10" t="str">
        <f>IFERROR(__xludf.DUMMYFUNCTION("""COMPUTED_VALUE"""),"")</f>
        <v/>
      </c>
      <c r="G1071" s="10" t="str">
        <f>IFERROR(__xludf.DUMMYFUNCTION("""COMPUTED_VALUE"""),"")</f>
        <v/>
      </c>
      <c r="H1071" s="10" t="str">
        <f>IFERROR(__xludf.DUMMYFUNCTION("""COMPUTED_VALUE"""),"")</f>
        <v/>
      </c>
      <c r="I1071" s="10" t="str">
        <f>IFERROR(__xludf.DUMMYFUNCTION("""COMPUTED_VALUE"""),"")</f>
        <v/>
      </c>
    </row>
    <row r="1072">
      <c r="A1072" s="10" t="str">
        <f>IFERROR(__xludf.DUMMYFUNCTION("""COMPUTED_VALUE"""),"")</f>
        <v/>
      </c>
      <c r="B1072" s="10" t="str">
        <f>IFERROR(__xludf.DUMMYFUNCTION("""COMPUTED_VALUE"""),"")</f>
        <v/>
      </c>
      <c r="C1072" s="10" t="str">
        <f>IFERROR(__xludf.DUMMYFUNCTION("""COMPUTED_VALUE"""),"")</f>
        <v/>
      </c>
      <c r="D1072" s="10" t="str">
        <f>IFERROR(__xludf.DUMMYFUNCTION("""COMPUTED_VALUE"""),"")</f>
        <v/>
      </c>
      <c r="E1072" s="10" t="str">
        <f>IFERROR(__xludf.DUMMYFUNCTION("""COMPUTED_VALUE"""),"")</f>
        <v/>
      </c>
      <c r="F1072" s="10" t="str">
        <f>IFERROR(__xludf.DUMMYFUNCTION("""COMPUTED_VALUE"""),"")</f>
        <v/>
      </c>
      <c r="G1072" s="10" t="str">
        <f>IFERROR(__xludf.DUMMYFUNCTION("""COMPUTED_VALUE"""),"")</f>
        <v/>
      </c>
      <c r="H1072" s="10" t="str">
        <f>IFERROR(__xludf.DUMMYFUNCTION("""COMPUTED_VALUE"""),"")</f>
        <v/>
      </c>
      <c r="I1072" s="10" t="str">
        <f>IFERROR(__xludf.DUMMYFUNCTION("""COMPUTED_VALUE"""),"")</f>
        <v/>
      </c>
    </row>
    <row r="1073">
      <c r="A1073" s="10" t="str">
        <f>IFERROR(__xludf.DUMMYFUNCTION("""COMPUTED_VALUE"""),"")</f>
        <v/>
      </c>
      <c r="B1073" s="10" t="str">
        <f>IFERROR(__xludf.DUMMYFUNCTION("""COMPUTED_VALUE"""),"")</f>
        <v/>
      </c>
      <c r="C1073" s="10" t="str">
        <f>IFERROR(__xludf.DUMMYFUNCTION("""COMPUTED_VALUE"""),"")</f>
        <v/>
      </c>
      <c r="D1073" s="10" t="str">
        <f>IFERROR(__xludf.DUMMYFUNCTION("""COMPUTED_VALUE"""),"")</f>
        <v/>
      </c>
      <c r="E1073" s="10" t="str">
        <f>IFERROR(__xludf.DUMMYFUNCTION("""COMPUTED_VALUE"""),"")</f>
        <v/>
      </c>
      <c r="F1073" s="10" t="str">
        <f>IFERROR(__xludf.DUMMYFUNCTION("""COMPUTED_VALUE"""),"")</f>
        <v/>
      </c>
      <c r="G1073" s="10" t="str">
        <f>IFERROR(__xludf.DUMMYFUNCTION("""COMPUTED_VALUE"""),"")</f>
        <v/>
      </c>
      <c r="H1073" s="10" t="str">
        <f>IFERROR(__xludf.DUMMYFUNCTION("""COMPUTED_VALUE"""),"")</f>
        <v/>
      </c>
      <c r="I1073" s="10" t="str">
        <f>IFERROR(__xludf.DUMMYFUNCTION("""COMPUTED_VALUE"""),"")</f>
        <v/>
      </c>
    </row>
    <row r="1074">
      <c r="A1074" s="10" t="str">
        <f>IFERROR(__xludf.DUMMYFUNCTION("""COMPUTED_VALUE"""),"")</f>
        <v/>
      </c>
      <c r="B1074" s="10" t="str">
        <f>IFERROR(__xludf.DUMMYFUNCTION("""COMPUTED_VALUE"""),"")</f>
        <v/>
      </c>
      <c r="C1074" s="10" t="str">
        <f>IFERROR(__xludf.DUMMYFUNCTION("""COMPUTED_VALUE"""),"")</f>
        <v/>
      </c>
      <c r="D1074" s="10" t="str">
        <f>IFERROR(__xludf.DUMMYFUNCTION("""COMPUTED_VALUE"""),"")</f>
        <v/>
      </c>
      <c r="E1074" s="10" t="str">
        <f>IFERROR(__xludf.DUMMYFUNCTION("""COMPUTED_VALUE"""),"")</f>
        <v/>
      </c>
      <c r="F1074" s="10" t="str">
        <f>IFERROR(__xludf.DUMMYFUNCTION("""COMPUTED_VALUE"""),"")</f>
        <v/>
      </c>
      <c r="G1074" s="10" t="str">
        <f>IFERROR(__xludf.DUMMYFUNCTION("""COMPUTED_VALUE"""),"")</f>
        <v/>
      </c>
      <c r="H1074" s="10" t="str">
        <f>IFERROR(__xludf.DUMMYFUNCTION("""COMPUTED_VALUE"""),"")</f>
        <v/>
      </c>
      <c r="I1074" s="10" t="str">
        <f>IFERROR(__xludf.DUMMYFUNCTION("""COMPUTED_VALUE"""),"")</f>
        <v/>
      </c>
    </row>
    <row r="1075">
      <c r="A1075" s="10" t="str">
        <f>IFERROR(__xludf.DUMMYFUNCTION("""COMPUTED_VALUE"""),"")</f>
        <v/>
      </c>
      <c r="B1075" s="10" t="str">
        <f>IFERROR(__xludf.DUMMYFUNCTION("""COMPUTED_VALUE"""),"")</f>
        <v/>
      </c>
      <c r="C1075" s="10" t="str">
        <f>IFERROR(__xludf.DUMMYFUNCTION("""COMPUTED_VALUE"""),"")</f>
        <v/>
      </c>
      <c r="D1075" s="10" t="str">
        <f>IFERROR(__xludf.DUMMYFUNCTION("""COMPUTED_VALUE"""),"")</f>
        <v/>
      </c>
      <c r="E1075" s="10" t="str">
        <f>IFERROR(__xludf.DUMMYFUNCTION("""COMPUTED_VALUE"""),"")</f>
        <v/>
      </c>
      <c r="F1075" s="10" t="str">
        <f>IFERROR(__xludf.DUMMYFUNCTION("""COMPUTED_VALUE"""),"")</f>
        <v/>
      </c>
      <c r="G1075" s="10" t="str">
        <f>IFERROR(__xludf.DUMMYFUNCTION("""COMPUTED_VALUE"""),"")</f>
        <v/>
      </c>
      <c r="H1075" s="10" t="str">
        <f>IFERROR(__xludf.DUMMYFUNCTION("""COMPUTED_VALUE"""),"")</f>
        <v/>
      </c>
      <c r="I1075" s="10" t="str">
        <f>IFERROR(__xludf.DUMMYFUNCTION("""COMPUTED_VALUE"""),"")</f>
        <v/>
      </c>
    </row>
    <row r="1076">
      <c r="A1076" s="10" t="str">
        <f>IFERROR(__xludf.DUMMYFUNCTION("""COMPUTED_VALUE"""),"")</f>
        <v/>
      </c>
      <c r="B1076" s="10" t="str">
        <f>IFERROR(__xludf.DUMMYFUNCTION("""COMPUTED_VALUE"""),"")</f>
        <v/>
      </c>
      <c r="C1076" s="10" t="str">
        <f>IFERROR(__xludf.DUMMYFUNCTION("""COMPUTED_VALUE"""),"")</f>
        <v/>
      </c>
      <c r="D1076" s="10" t="str">
        <f>IFERROR(__xludf.DUMMYFUNCTION("""COMPUTED_VALUE"""),"")</f>
        <v/>
      </c>
      <c r="E1076" s="10" t="str">
        <f>IFERROR(__xludf.DUMMYFUNCTION("""COMPUTED_VALUE"""),"")</f>
        <v/>
      </c>
      <c r="F1076" s="10" t="str">
        <f>IFERROR(__xludf.DUMMYFUNCTION("""COMPUTED_VALUE"""),"")</f>
        <v/>
      </c>
      <c r="G1076" s="10" t="str">
        <f>IFERROR(__xludf.DUMMYFUNCTION("""COMPUTED_VALUE"""),"")</f>
        <v/>
      </c>
      <c r="H1076" s="10" t="str">
        <f>IFERROR(__xludf.DUMMYFUNCTION("""COMPUTED_VALUE"""),"")</f>
        <v/>
      </c>
      <c r="I1076" s="10" t="str">
        <f>IFERROR(__xludf.DUMMYFUNCTION("""COMPUTED_VALUE"""),"")</f>
        <v/>
      </c>
    </row>
    <row r="1077">
      <c r="A1077" s="10" t="str">
        <f>IFERROR(__xludf.DUMMYFUNCTION("""COMPUTED_VALUE"""),"")</f>
        <v/>
      </c>
      <c r="B1077" s="10" t="str">
        <f>IFERROR(__xludf.DUMMYFUNCTION("""COMPUTED_VALUE"""),"")</f>
        <v/>
      </c>
      <c r="C1077" s="10" t="str">
        <f>IFERROR(__xludf.DUMMYFUNCTION("""COMPUTED_VALUE"""),"")</f>
        <v/>
      </c>
      <c r="D1077" s="10" t="str">
        <f>IFERROR(__xludf.DUMMYFUNCTION("""COMPUTED_VALUE"""),"")</f>
        <v/>
      </c>
      <c r="E1077" s="10" t="str">
        <f>IFERROR(__xludf.DUMMYFUNCTION("""COMPUTED_VALUE"""),"")</f>
        <v/>
      </c>
      <c r="F1077" s="10" t="str">
        <f>IFERROR(__xludf.DUMMYFUNCTION("""COMPUTED_VALUE"""),"")</f>
        <v/>
      </c>
      <c r="G1077" s="10" t="str">
        <f>IFERROR(__xludf.DUMMYFUNCTION("""COMPUTED_VALUE"""),"")</f>
        <v/>
      </c>
      <c r="H1077" s="10" t="str">
        <f>IFERROR(__xludf.DUMMYFUNCTION("""COMPUTED_VALUE"""),"")</f>
        <v/>
      </c>
      <c r="I1077" s="10" t="str">
        <f>IFERROR(__xludf.DUMMYFUNCTION("""COMPUTED_VALUE"""),"")</f>
        <v/>
      </c>
    </row>
    <row r="1078">
      <c r="A1078" s="10" t="str">
        <f>IFERROR(__xludf.DUMMYFUNCTION("""COMPUTED_VALUE"""),"")</f>
        <v/>
      </c>
      <c r="B1078" s="10" t="str">
        <f>IFERROR(__xludf.DUMMYFUNCTION("""COMPUTED_VALUE"""),"")</f>
        <v/>
      </c>
      <c r="C1078" s="10" t="str">
        <f>IFERROR(__xludf.DUMMYFUNCTION("""COMPUTED_VALUE"""),"")</f>
        <v/>
      </c>
      <c r="D1078" s="10" t="str">
        <f>IFERROR(__xludf.DUMMYFUNCTION("""COMPUTED_VALUE"""),"")</f>
        <v/>
      </c>
      <c r="E1078" s="10" t="str">
        <f>IFERROR(__xludf.DUMMYFUNCTION("""COMPUTED_VALUE"""),"")</f>
        <v/>
      </c>
      <c r="F1078" s="10" t="str">
        <f>IFERROR(__xludf.DUMMYFUNCTION("""COMPUTED_VALUE"""),"")</f>
        <v/>
      </c>
      <c r="G1078" s="10" t="str">
        <f>IFERROR(__xludf.DUMMYFUNCTION("""COMPUTED_VALUE"""),"")</f>
        <v/>
      </c>
      <c r="H1078" s="10" t="str">
        <f>IFERROR(__xludf.DUMMYFUNCTION("""COMPUTED_VALUE"""),"")</f>
        <v/>
      </c>
      <c r="I1078" s="10" t="str">
        <f>IFERROR(__xludf.DUMMYFUNCTION("""COMPUTED_VALUE"""),"")</f>
        <v/>
      </c>
    </row>
    <row r="1079">
      <c r="A1079" s="10" t="str">
        <f>IFERROR(__xludf.DUMMYFUNCTION("""COMPUTED_VALUE"""),"")</f>
        <v/>
      </c>
      <c r="B1079" s="10" t="str">
        <f>IFERROR(__xludf.DUMMYFUNCTION("""COMPUTED_VALUE"""),"")</f>
        <v/>
      </c>
      <c r="C1079" s="10" t="str">
        <f>IFERROR(__xludf.DUMMYFUNCTION("""COMPUTED_VALUE"""),"")</f>
        <v/>
      </c>
      <c r="D1079" s="10" t="str">
        <f>IFERROR(__xludf.DUMMYFUNCTION("""COMPUTED_VALUE"""),"")</f>
        <v/>
      </c>
      <c r="E1079" s="10" t="str">
        <f>IFERROR(__xludf.DUMMYFUNCTION("""COMPUTED_VALUE"""),"")</f>
        <v/>
      </c>
      <c r="F1079" s="10" t="str">
        <f>IFERROR(__xludf.DUMMYFUNCTION("""COMPUTED_VALUE"""),"")</f>
        <v/>
      </c>
      <c r="G1079" s="10" t="str">
        <f>IFERROR(__xludf.DUMMYFUNCTION("""COMPUTED_VALUE"""),"")</f>
        <v/>
      </c>
      <c r="H1079" s="10" t="str">
        <f>IFERROR(__xludf.DUMMYFUNCTION("""COMPUTED_VALUE"""),"")</f>
        <v/>
      </c>
      <c r="I1079" s="10" t="str">
        <f>IFERROR(__xludf.DUMMYFUNCTION("""COMPUTED_VALUE"""),"")</f>
        <v/>
      </c>
    </row>
    <row r="1080">
      <c r="A1080" s="10" t="str">
        <f>IFERROR(__xludf.DUMMYFUNCTION("""COMPUTED_VALUE"""),"")</f>
        <v/>
      </c>
      <c r="B1080" s="10" t="str">
        <f>IFERROR(__xludf.DUMMYFUNCTION("""COMPUTED_VALUE"""),"")</f>
        <v/>
      </c>
      <c r="C1080" s="10" t="str">
        <f>IFERROR(__xludf.DUMMYFUNCTION("""COMPUTED_VALUE"""),"")</f>
        <v/>
      </c>
      <c r="D1080" s="10" t="str">
        <f>IFERROR(__xludf.DUMMYFUNCTION("""COMPUTED_VALUE"""),"")</f>
        <v/>
      </c>
      <c r="E1080" s="10" t="str">
        <f>IFERROR(__xludf.DUMMYFUNCTION("""COMPUTED_VALUE"""),"")</f>
        <v/>
      </c>
      <c r="F1080" s="10" t="str">
        <f>IFERROR(__xludf.DUMMYFUNCTION("""COMPUTED_VALUE"""),"")</f>
        <v/>
      </c>
      <c r="G1080" s="10" t="str">
        <f>IFERROR(__xludf.DUMMYFUNCTION("""COMPUTED_VALUE"""),"")</f>
        <v/>
      </c>
      <c r="H1080" s="10" t="str">
        <f>IFERROR(__xludf.DUMMYFUNCTION("""COMPUTED_VALUE"""),"")</f>
        <v/>
      </c>
      <c r="I1080" s="10" t="str">
        <f>IFERROR(__xludf.DUMMYFUNCTION("""COMPUTED_VALUE"""),"")</f>
        <v/>
      </c>
    </row>
    <row r="1081">
      <c r="A1081" s="10" t="str">
        <f>IFERROR(__xludf.DUMMYFUNCTION("""COMPUTED_VALUE"""),"")</f>
        <v/>
      </c>
      <c r="B1081" s="10" t="str">
        <f>IFERROR(__xludf.DUMMYFUNCTION("""COMPUTED_VALUE"""),"")</f>
        <v/>
      </c>
      <c r="C1081" s="10" t="str">
        <f>IFERROR(__xludf.DUMMYFUNCTION("""COMPUTED_VALUE"""),"")</f>
        <v/>
      </c>
      <c r="D1081" s="10" t="str">
        <f>IFERROR(__xludf.DUMMYFUNCTION("""COMPUTED_VALUE"""),"")</f>
        <v/>
      </c>
      <c r="E1081" s="10" t="str">
        <f>IFERROR(__xludf.DUMMYFUNCTION("""COMPUTED_VALUE"""),"")</f>
        <v/>
      </c>
      <c r="F1081" s="10" t="str">
        <f>IFERROR(__xludf.DUMMYFUNCTION("""COMPUTED_VALUE"""),"")</f>
        <v/>
      </c>
      <c r="G1081" s="10" t="str">
        <f>IFERROR(__xludf.DUMMYFUNCTION("""COMPUTED_VALUE"""),"")</f>
        <v/>
      </c>
      <c r="H1081" s="10" t="str">
        <f>IFERROR(__xludf.DUMMYFUNCTION("""COMPUTED_VALUE"""),"")</f>
        <v/>
      </c>
      <c r="I1081" s="10" t="str">
        <f>IFERROR(__xludf.DUMMYFUNCTION("""COMPUTED_VALUE"""),"")</f>
        <v/>
      </c>
    </row>
    <row r="1082">
      <c r="A1082" s="10" t="str">
        <f>IFERROR(__xludf.DUMMYFUNCTION("""COMPUTED_VALUE"""),"")</f>
        <v/>
      </c>
      <c r="B1082" s="10" t="str">
        <f>IFERROR(__xludf.DUMMYFUNCTION("""COMPUTED_VALUE"""),"")</f>
        <v/>
      </c>
      <c r="C1082" s="10" t="str">
        <f>IFERROR(__xludf.DUMMYFUNCTION("""COMPUTED_VALUE"""),"")</f>
        <v/>
      </c>
      <c r="D1082" s="10" t="str">
        <f>IFERROR(__xludf.DUMMYFUNCTION("""COMPUTED_VALUE"""),"")</f>
        <v/>
      </c>
      <c r="E1082" s="10" t="str">
        <f>IFERROR(__xludf.DUMMYFUNCTION("""COMPUTED_VALUE"""),"")</f>
        <v/>
      </c>
      <c r="F1082" s="10" t="str">
        <f>IFERROR(__xludf.DUMMYFUNCTION("""COMPUTED_VALUE"""),"")</f>
        <v/>
      </c>
      <c r="G1082" s="10" t="str">
        <f>IFERROR(__xludf.DUMMYFUNCTION("""COMPUTED_VALUE"""),"")</f>
        <v/>
      </c>
      <c r="H1082" s="10" t="str">
        <f>IFERROR(__xludf.DUMMYFUNCTION("""COMPUTED_VALUE"""),"")</f>
        <v/>
      </c>
      <c r="I1082" s="10" t="str">
        <f>IFERROR(__xludf.DUMMYFUNCTION("""COMPUTED_VALUE"""),"")</f>
        <v/>
      </c>
    </row>
    <row r="1083">
      <c r="A1083" s="10" t="str">
        <f>IFERROR(__xludf.DUMMYFUNCTION("""COMPUTED_VALUE"""),"")</f>
        <v/>
      </c>
      <c r="B1083" s="10" t="str">
        <f>IFERROR(__xludf.DUMMYFUNCTION("""COMPUTED_VALUE"""),"")</f>
        <v/>
      </c>
      <c r="C1083" s="10" t="str">
        <f>IFERROR(__xludf.DUMMYFUNCTION("""COMPUTED_VALUE"""),"")</f>
        <v/>
      </c>
      <c r="D1083" s="10" t="str">
        <f>IFERROR(__xludf.DUMMYFUNCTION("""COMPUTED_VALUE"""),"")</f>
        <v/>
      </c>
      <c r="E1083" s="10" t="str">
        <f>IFERROR(__xludf.DUMMYFUNCTION("""COMPUTED_VALUE"""),"")</f>
        <v/>
      </c>
      <c r="F1083" s="10" t="str">
        <f>IFERROR(__xludf.DUMMYFUNCTION("""COMPUTED_VALUE"""),"")</f>
        <v/>
      </c>
      <c r="G1083" s="10" t="str">
        <f>IFERROR(__xludf.DUMMYFUNCTION("""COMPUTED_VALUE"""),"")</f>
        <v/>
      </c>
      <c r="H1083" s="10" t="str">
        <f>IFERROR(__xludf.DUMMYFUNCTION("""COMPUTED_VALUE"""),"")</f>
        <v/>
      </c>
      <c r="I1083" s="10" t="str">
        <f>IFERROR(__xludf.DUMMYFUNCTION("""COMPUTED_VALUE"""),"")</f>
        <v/>
      </c>
    </row>
    <row r="1084">
      <c r="A1084" s="10" t="str">
        <f>IFERROR(__xludf.DUMMYFUNCTION("""COMPUTED_VALUE"""),"")</f>
        <v/>
      </c>
      <c r="B1084" s="10" t="str">
        <f>IFERROR(__xludf.DUMMYFUNCTION("""COMPUTED_VALUE"""),"")</f>
        <v/>
      </c>
      <c r="C1084" s="10" t="str">
        <f>IFERROR(__xludf.DUMMYFUNCTION("""COMPUTED_VALUE"""),"")</f>
        <v/>
      </c>
      <c r="D1084" s="10" t="str">
        <f>IFERROR(__xludf.DUMMYFUNCTION("""COMPUTED_VALUE"""),"")</f>
        <v/>
      </c>
      <c r="E1084" s="10" t="str">
        <f>IFERROR(__xludf.DUMMYFUNCTION("""COMPUTED_VALUE"""),"")</f>
        <v/>
      </c>
      <c r="F1084" s="10" t="str">
        <f>IFERROR(__xludf.DUMMYFUNCTION("""COMPUTED_VALUE"""),"")</f>
        <v/>
      </c>
      <c r="G1084" s="10" t="str">
        <f>IFERROR(__xludf.DUMMYFUNCTION("""COMPUTED_VALUE"""),"")</f>
        <v/>
      </c>
      <c r="H1084" s="10" t="str">
        <f>IFERROR(__xludf.DUMMYFUNCTION("""COMPUTED_VALUE"""),"")</f>
        <v/>
      </c>
      <c r="I1084" s="10" t="str">
        <f>IFERROR(__xludf.DUMMYFUNCTION("""COMPUTED_VALUE"""),"")</f>
        <v/>
      </c>
    </row>
    <row r="1085">
      <c r="A1085" s="10" t="str">
        <f>IFERROR(__xludf.DUMMYFUNCTION("""COMPUTED_VALUE"""),"")</f>
        <v/>
      </c>
      <c r="B1085" s="10" t="str">
        <f>IFERROR(__xludf.DUMMYFUNCTION("""COMPUTED_VALUE"""),"")</f>
        <v/>
      </c>
      <c r="C1085" s="10" t="str">
        <f>IFERROR(__xludf.DUMMYFUNCTION("""COMPUTED_VALUE"""),"")</f>
        <v/>
      </c>
      <c r="D1085" s="10" t="str">
        <f>IFERROR(__xludf.DUMMYFUNCTION("""COMPUTED_VALUE"""),"")</f>
        <v/>
      </c>
      <c r="E1085" s="10" t="str">
        <f>IFERROR(__xludf.DUMMYFUNCTION("""COMPUTED_VALUE"""),"")</f>
        <v/>
      </c>
      <c r="F1085" s="10" t="str">
        <f>IFERROR(__xludf.DUMMYFUNCTION("""COMPUTED_VALUE"""),"")</f>
        <v/>
      </c>
      <c r="G1085" s="10" t="str">
        <f>IFERROR(__xludf.DUMMYFUNCTION("""COMPUTED_VALUE"""),"")</f>
        <v/>
      </c>
      <c r="H1085" s="10" t="str">
        <f>IFERROR(__xludf.DUMMYFUNCTION("""COMPUTED_VALUE"""),"")</f>
        <v/>
      </c>
      <c r="I1085" s="10" t="str">
        <f>IFERROR(__xludf.DUMMYFUNCTION("""COMPUTED_VALUE"""),"")</f>
        <v/>
      </c>
    </row>
    <row r="1086">
      <c r="A1086" s="10" t="str">
        <f>IFERROR(__xludf.DUMMYFUNCTION("""COMPUTED_VALUE"""),"")</f>
        <v/>
      </c>
      <c r="B1086" s="10" t="str">
        <f>IFERROR(__xludf.DUMMYFUNCTION("""COMPUTED_VALUE"""),"")</f>
        <v/>
      </c>
      <c r="C1086" s="10" t="str">
        <f>IFERROR(__xludf.DUMMYFUNCTION("""COMPUTED_VALUE"""),"")</f>
        <v/>
      </c>
      <c r="D1086" s="10" t="str">
        <f>IFERROR(__xludf.DUMMYFUNCTION("""COMPUTED_VALUE"""),"")</f>
        <v/>
      </c>
      <c r="E1086" s="10" t="str">
        <f>IFERROR(__xludf.DUMMYFUNCTION("""COMPUTED_VALUE"""),"")</f>
        <v/>
      </c>
      <c r="F1086" s="10" t="str">
        <f>IFERROR(__xludf.DUMMYFUNCTION("""COMPUTED_VALUE"""),"")</f>
        <v/>
      </c>
      <c r="G1086" s="10" t="str">
        <f>IFERROR(__xludf.DUMMYFUNCTION("""COMPUTED_VALUE"""),"")</f>
        <v/>
      </c>
      <c r="H1086" s="10" t="str">
        <f>IFERROR(__xludf.DUMMYFUNCTION("""COMPUTED_VALUE"""),"")</f>
        <v/>
      </c>
      <c r="I1086" s="10" t="str">
        <f>IFERROR(__xludf.DUMMYFUNCTION("""COMPUTED_VALUE"""),"")</f>
        <v/>
      </c>
    </row>
    <row r="1087">
      <c r="A1087" s="10" t="str">
        <f>IFERROR(__xludf.DUMMYFUNCTION("""COMPUTED_VALUE"""),"")</f>
        <v/>
      </c>
      <c r="B1087" s="10" t="str">
        <f>IFERROR(__xludf.DUMMYFUNCTION("""COMPUTED_VALUE"""),"")</f>
        <v/>
      </c>
      <c r="C1087" s="10" t="str">
        <f>IFERROR(__xludf.DUMMYFUNCTION("""COMPUTED_VALUE"""),"")</f>
        <v/>
      </c>
      <c r="D1087" s="10" t="str">
        <f>IFERROR(__xludf.DUMMYFUNCTION("""COMPUTED_VALUE"""),"")</f>
        <v/>
      </c>
      <c r="E1087" s="10" t="str">
        <f>IFERROR(__xludf.DUMMYFUNCTION("""COMPUTED_VALUE"""),"")</f>
        <v/>
      </c>
      <c r="F1087" s="10" t="str">
        <f>IFERROR(__xludf.DUMMYFUNCTION("""COMPUTED_VALUE"""),"")</f>
        <v/>
      </c>
      <c r="G1087" s="10" t="str">
        <f>IFERROR(__xludf.DUMMYFUNCTION("""COMPUTED_VALUE"""),"")</f>
        <v/>
      </c>
      <c r="H1087" s="10" t="str">
        <f>IFERROR(__xludf.DUMMYFUNCTION("""COMPUTED_VALUE"""),"")</f>
        <v/>
      </c>
      <c r="I1087" s="10" t="str">
        <f>IFERROR(__xludf.DUMMYFUNCTION("""COMPUTED_VALUE"""),"")</f>
        <v/>
      </c>
    </row>
    <row r="1088">
      <c r="A1088" s="10" t="str">
        <f>IFERROR(__xludf.DUMMYFUNCTION("""COMPUTED_VALUE"""),"")</f>
        <v/>
      </c>
      <c r="B1088" s="10" t="str">
        <f>IFERROR(__xludf.DUMMYFUNCTION("""COMPUTED_VALUE"""),"")</f>
        <v/>
      </c>
      <c r="C1088" s="10" t="str">
        <f>IFERROR(__xludf.DUMMYFUNCTION("""COMPUTED_VALUE"""),"")</f>
        <v/>
      </c>
      <c r="D1088" s="10" t="str">
        <f>IFERROR(__xludf.DUMMYFUNCTION("""COMPUTED_VALUE"""),"")</f>
        <v/>
      </c>
      <c r="E1088" s="10" t="str">
        <f>IFERROR(__xludf.DUMMYFUNCTION("""COMPUTED_VALUE"""),"")</f>
        <v/>
      </c>
      <c r="F1088" s="10" t="str">
        <f>IFERROR(__xludf.DUMMYFUNCTION("""COMPUTED_VALUE"""),"")</f>
        <v/>
      </c>
      <c r="G1088" s="10" t="str">
        <f>IFERROR(__xludf.DUMMYFUNCTION("""COMPUTED_VALUE"""),"")</f>
        <v/>
      </c>
      <c r="H1088" s="10" t="str">
        <f>IFERROR(__xludf.DUMMYFUNCTION("""COMPUTED_VALUE"""),"")</f>
        <v/>
      </c>
      <c r="I1088" s="10" t="str">
        <f>IFERROR(__xludf.DUMMYFUNCTION("""COMPUTED_VALUE"""),"")</f>
        <v/>
      </c>
    </row>
    <row r="1089">
      <c r="A1089" s="10" t="str">
        <f>IFERROR(__xludf.DUMMYFUNCTION("""COMPUTED_VALUE"""),"")</f>
        <v/>
      </c>
      <c r="B1089" s="10" t="str">
        <f>IFERROR(__xludf.DUMMYFUNCTION("""COMPUTED_VALUE"""),"")</f>
        <v/>
      </c>
      <c r="C1089" s="10" t="str">
        <f>IFERROR(__xludf.DUMMYFUNCTION("""COMPUTED_VALUE"""),"")</f>
        <v/>
      </c>
      <c r="D1089" s="10" t="str">
        <f>IFERROR(__xludf.DUMMYFUNCTION("""COMPUTED_VALUE"""),"")</f>
        <v/>
      </c>
      <c r="E1089" s="10" t="str">
        <f>IFERROR(__xludf.DUMMYFUNCTION("""COMPUTED_VALUE"""),"")</f>
        <v/>
      </c>
      <c r="F1089" s="10" t="str">
        <f>IFERROR(__xludf.DUMMYFUNCTION("""COMPUTED_VALUE"""),"")</f>
        <v/>
      </c>
      <c r="G1089" s="10" t="str">
        <f>IFERROR(__xludf.DUMMYFUNCTION("""COMPUTED_VALUE"""),"")</f>
        <v/>
      </c>
      <c r="H1089" s="10" t="str">
        <f>IFERROR(__xludf.DUMMYFUNCTION("""COMPUTED_VALUE"""),"")</f>
        <v/>
      </c>
      <c r="I1089" s="10" t="str">
        <f>IFERROR(__xludf.DUMMYFUNCTION("""COMPUTED_VALUE"""),"")</f>
        <v/>
      </c>
    </row>
    <row r="1090">
      <c r="A1090" s="10" t="str">
        <f>IFERROR(__xludf.DUMMYFUNCTION("""COMPUTED_VALUE"""),"")</f>
        <v/>
      </c>
      <c r="B1090" s="10" t="str">
        <f>IFERROR(__xludf.DUMMYFUNCTION("""COMPUTED_VALUE"""),"")</f>
        <v/>
      </c>
      <c r="C1090" s="10" t="str">
        <f>IFERROR(__xludf.DUMMYFUNCTION("""COMPUTED_VALUE"""),"")</f>
        <v/>
      </c>
      <c r="D1090" s="10" t="str">
        <f>IFERROR(__xludf.DUMMYFUNCTION("""COMPUTED_VALUE"""),"")</f>
        <v/>
      </c>
      <c r="E1090" s="10" t="str">
        <f>IFERROR(__xludf.DUMMYFUNCTION("""COMPUTED_VALUE"""),"")</f>
        <v/>
      </c>
      <c r="F1090" s="10" t="str">
        <f>IFERROR(__xludf.DUMMYFUNCTION("""COMPUTED_VALUE"""),"")</f>
        <v/>
      </c>
      <c r="G1090" s="10" t="str">
        <f>IFERROR(__xludf.DUMMYFUNCTION("""COMPUTED_VALUE"""),"")</f>
        <v/>
      </c>
      <c r="H1090" s="10" t="str">
        <f>IFERROR(__xludf.DUMMYFUNCTION("""COMPUTED_VALUE"""),"")</f>
        <v/>
      </c>
      <c r="I1090" s="10" t="str">
        <f>IFERROR(__xludf.DUMMYFUNCTION("""COMPUTED_VALUE"""),"")</f>
        <v/>
      </c>
    </row>
    <row r="1091">
      <c r="A1091" s="10" t="str">
        <f>IFERROR(__xludf.DUMMYFUNCTION("""COMPUTED_VALUE"""),"")</f>
        <v/>
      </c>
      <c r="B1091" s="10" t="str">
        <f>IFERROR(__xludf.DUMMYFUNCTION("""COMPUTED_VALUE"""),"")</f>
        <v/>
      </c>
      <c r="C1091" s="10" t="str">
        <f>IFERROR(__xludf.DUMMYFUNCTION("""COMPUTED_VALUE"""),"")</f>
        <v/>
      </c>
      <c r="D1091" s="10" t="str">
        <f>IFERROR(__xludf.DUMMYFUNCTION("""COMPUTED_VALUE"""),"")</f>
        <v/>
      </c>
      <c r="E1091" s="10" t="str">
        <f>IFERROR(__xludf.DUMMYFUNCTION("""COMPUTED_VALUE"""),"")</f>
        <v/>
      </c>
      <c r="F1091" s="10" t="str">
        <f>IFERROR(__xludf.DUMMYFUNCTION("""COMPUTED_VALUE"""),"")</f>
        <v/>
      </c>
      <c r="G1091" s="10" t="str">
        <f>IFERROR(__xludf.DUMMYFUNCTION("""COMPUTED_VALUE"""),"")</f>
        <v/>
      </c>
      <c r="H1091" s="10" t="str">
        <f>IFERROR(__xludf.DUMMYFUNCTION("""COMPUTED_VALUE"""),"")</f>
        <v/>
      </c>
      <c r="I1091" s="10" t="str">
        <f>IFERROR(__xludf.DUMMYFUNCTION("""COMPUTED_VALUE"""),"")</f>
        <v/>
      </c>
    </row>
    <row r="1092">
      <c r="A1092" s="10" t="str">
        <f>IFERROR(__xludf.DUMMYFUNCTION("""COMPUTED_VALUE"""),"")</f>
        <v/>
      </c>
      <c r="B1092" s="10" t="str">
        <f>IFERROR(__xludf.DUMMYFUNCTION("""COMPUTED_VALUE"""),"")</f>
        <v/>
      </c>
      <c r="C1092" s="10" t="str">
        <f>IFERROR(__xludf.DUMMYFUNCTION("""COMPUTED_VALUE"""),"")</f>
        <v/>
      </c>
      <c r="D1092" s="10" t="str">
        <f>IFERROR(__xludf.DUMMYFUNCTION("""COMPUTED_VALUE"""),"")</f>
        <v/>
      </c>
      <c r="E1092" s="10" t="str">
        <f>IFERROR(__xludf.DUMMYFUNCTION("""COMPUTED_VALUE"""),"")</f>
        <v/>
      </c>
      <c r="F1092" s="10" t="str">
        <f>IFERROR(__xludf.DUMMYFUNCTION("""COMPUTED_VALUE"""),"")</f>
        <v/>
      </c>
      <c r="G1092" s="10" t="str">
        <f>IFERROR(__xludf.DUMMYFUNCTION("""COMPUTED_VALUE"""),"")</f>
        <v/>
      </c>
      <c r="H1092" s="10" t="str">
        <f>IFERROR(__xludf.DUMMYFUNCTION("""COMPUTED_VALUE"""),"")</f>
        <v/>
      </c>
      <c r="I1092" s="10" t="str">
        <f>IFERROR(__xludf.DUMMYFUNCTION("""COMPUTED_VALUE"""),"")</f>
        <v/>
      </c>
    </row>
    <row r="1093">
      <c r="A1093" s="10" t="str">
        <f>IFERROR(__xludf.DUMMYFUNCTION("""COMPUTED_VALUE"""),"")</f>
        <v/>
      </c>
      <c r="B1093" s="10" t="str">
        <f>IFERROR(__xludf.DUMMYFUNCTION("""COMPUTED_VALUE"""),"")</f>
        <v/>
      </c>
      <c r="C1093" s="10" t="str">
        <f>IFERROR(__xludf.DUMMYFUNCTION("""COMPUTED_VALUE"""),"")</f>
        <v/>
      </c>
      <c r="D1093" s="10" t="str">
        <f>IFERROR(__xludf.DUMMYFUNCTION("""COMPUTED_VALUE"""),"")</f>
        <v/>
      </c>
      <c r="E1093" s="10" t="str">
        <f>IFERROR(__xludf.DUMMYFUNCTION("""COMPUTED_VALUE"""),"")</f>
        <v/>
      </c>
      <c r="F1093" s="10" t="str">
        <f>IFERROR(__xludf.DUMMYFUNCTION("""COMPUTED_VALUE"""),"")</f>
        <v/>
      </c>
      <c r="G1093" s="10" t="str">
        <f>IFERROR(__xludf.DUMMYFUNCTION("""COMPUTED_VALUE"""),"")</f>
        <v/>
      </c>
      <c r="H1093" s="10" t="str">
        <f>IFERROR(__xludf.DUMMYFUNCTION("""COMPUTED_VALUE"""),"")</f>
        <v/>
      </c>
      <c r="I1093" s="10" t="str">
        <f>IFERROR(__xludf.DUMMYFUNCTION("""COMPUTED_VALUE"""),"")</f>
        <v/>
      </c>
    </row>
    <row r="1094">
      <c r="A1094" s="10" t="str">
        <f>IFERROR(__xludf.DUMMYFUNCTION("""COMPUTED_VALUE"""),"")</f>
        <v/>
      </c>
      <c r="B1094" s="10" t="str">
        <f>IFERROR(__xludf.DUMMYFUNCTION("""COMPUTED_VALUE"""),"")</f>
        <v/>
      </c>
      <c r="C1094" s="10" t="str">
        <f>IFERROR(__xludf.DUMMYFUNCTION("""COMPUTED_VALUE"""),"")</f>
        <v/>
      </c>
      <c r="D1094" s="10" t="str">
        <f>IFERROR(__xludf.DUMMYFUNCTION("""COMPUTED_VALUE"""),"")</f>
        <v/>
      </c>
      <c r="E1094" s="10" t="str">
        <f>IFERROR(__xludf.DUMMYFUNCTION("""COMPUTED_VALUE"""),"")</f>
        <v/>
      </c>
      <c r="F1094" s="10" t="str">
        <f>IFERROR(__xludf.DUMMYFUNCTION("""COMPUTED_VALUE"""),"")</f>
        <v/>
      </c>
      <c r="G1094" s="10" t="str">
        <f>IFERROR(__xludf.DUMMYFUNCTION("""COMPUTED_VALUE"""),"")</f>
        <v/>
      </c>
      <c r="H1094" s="10" t="str">
        <f>IFERROR(__xludf.DUMMYFUNCTION("""COMPUTED_VALUE"""),"")</f>
        <v/>
      </c>
      <c r="I1094" s="10" t="str">
        <f>IFERROR(__xludf.DUMMYFUNCTION("""COMPUTED_VALUE"""),"")</f>
        <v/>
      </c>
    </row>
    <row r="1095">
      <c r="A1095" s="10" t="str">
        <f>IFERROR(__xludf.DUMMYFUNCTION("""COMPUTED_VALUE"""),"")</f>
        <v/>
      </c>
      <c r="B1095" s="10" t="str">
        <f>IFERROR(__xludf.DUMMYFUNCTION("""COMPUTED_VALUE"""),"")</f>
        <v/>
      </c>
      <c r="C1095" s="10" t="str">
        <f>IFERROR(__xludf.DUMMYFUNCTION("""COMPUTED_VALUE"""),"")</f>
        <v/>
      </c>
      <c r="D1095" s="10" t="str">
        <f>IFERROR(__xludf.DUMMYFUNCTION("""COMPUTED_VALUE"""),"")</f>
        <v/>
      </c>
      <c r="E1095" s="10" t="str">
        <f>IFERROR(__xludf.DUMMYFUNCTION("""COMPUTED_VALUE"""),"")</f>
        <v/>
      </c>
      <c r="F1095" s="10" t="str">
        <f>IFERROR(__xludf.DUMMYFUNCTION("""COMPUTED_VALUE"""),"")</f>
        <v/>
      </c>
      <c r="G1095" s="10" t="str">
        <f>IFERROR(__xludf.DUMMYFUNCTION("""COMPUTED_VALUE"""),"")</f>
        <v/>
      </c>
      <c r="H1095" s="10" t="str">
        <f>IFERROR(__xludf.DUMMYFUNCTION("""COMPUTED_VALUE"""),"")</f>
        <v/>
      </c>
      <c r="I1095" s="10" t="str">
        <f>IFERROR(__xludf.DUMMYFUNCTION("""COMPUTED_VALUE"""),"")</f>
        <v/>
      </c>
    </row>
    <row r="1096">
      <c r="A1096" s="10" t="str">
        <f>IFERROR(__xludf.DUMMYFUNCTION("""COMPUTED_VALUE"""),"")</f>
        <v/>
      </c>
      <c r="B1096" s="10" t="str">
        <f>IFERROR(__xludf.DUMMYFUNCTION("""COMPUTED_VALUE"""),"")</f>
        <v/>
      </c>
      <c r="C1096" s="10" t="str">
        <f>IFERROR(__xludf.DUMMYFUNCTION("""COMPUTED_VALUE"""),"")</f>
        <v/>
      </c>
      <c r="D1096" s="10" t="str">
        <f>IFERROR(__xludf.DUMMYFUNCTION("""COMPUTED_VALUE"""),"")</f>
        <v/>
      </c>
      <c r="E1096" s="10" t="str">
        <f>IFERROR(__xludf.DUMMYFUNCTION("""COMPUTED_VALUE"""),"")</f>
        <v/>
      </c>
      <c r="F1096" s="10" t="str">
        <f>IFERROR(__xludf.DUMMYFUNCTION("""COMPUTED_VALUE"""),"")</f>
        <v/>
      </c>
      <c r="G1096" s="10" t="str">
        <f>IFERROR(__xludf.DUMMYFUNCTION("""COMPUTED_VALUE"""),"")</f>
        <v/>
      </c>
      <c r="H1096" s="10" t="str">
        <f>IFERROR(__xludf.DUMMYFUNCTION("""COMPUTED_VALUE"""),"")</f>
        <v/>
      </c>
      <c r="I1096" s="10" t="str">
        <f>IFERROR(__xludf.DUMMYFUNCTION("""COMPUTED_VALUE"""),"")</f>
        <v/>
      </c>
    </row>
    <row r="1097">
      <c r="A1097" s="10" t="str">
        <f>IFERROR(__xludf.DUMMYFUNCTION("""COMPUTED_VALUE"""),"")</f>
        <v/>
      </c>
      <c r="B1097" s="10" t="str">
        <f>IFERROR(__xludf.DUMMYFUNCTION("""COMPUTED_VALUE"""),"")</f>
        <v/>
      </c>
      <c r="C1097" s="10" t="str">
        <f>IFERROR(__xludf.DUMMYFUNCTION("""COMPUTED_VALUE"""),"")</f>
        <v/>
      </c>
      <c r="D1097" s="10" t="str">
        <f>IFERROR(__xludf.DUMMYFUNCTION("""COMPUTED_VALUE"""),"")</f>
        <v/>
      </c>
      <c r="E1097" s="10" t="str">
        <f>IFERROR(__xludf.DUMMYFUNCTION("""COMPUTED_VALUE"""),"")</f>
        <v/>
      </c>
      <c r="F1097" s="10" t="str">
        <f>IFERROR(__xludf.DUMMYFUNCTION("""COMPUTED_VALUE"""),"")</f>
        <v/>
      </c>
      <c r="G1097" s="10" t="str">
        <f>IFERROR(__xludf.DUMMYFUNCTION("""COMPUTED_VALUE"""),"")</f>
        <v/>
      </c>
      <c r="H1097" s="10" t="str">
        <f>IFERROR(__xludf.DUMMYFUNCTION("""COMPUTED_VALUE"""),"")</f>
        <v/>
      </c>
      <c r="I1097" s="10" t="str">
        <f>IFERROR(__xludf.DUMMYFUNCTION("""COMPUTED_VALUE"""),"")</f>
        <v/>
      </c>
    </row>
    <row r="1098">
      <c r="A1098" s="10" t="str">
        <f>IFERROR(__xludf.DUMMYFUNCTION("""COMPUTED_VALUE"""),"")</f>
        <v/>
      </c>
      <c r="B1098" s="10" t="str">
        <f>IFERROR(__xludf.DUMMYFUNCTION("""COMPUTED_VALUE"""),"")</f>
        <v/>
      </c>
      <c r="C1098" s="10" t="str">
        <f>IFERROR(__xludf.DUMMYFUNCTION("""COMPUTED_VALUE"""),"")</f>
        <v/>
      </c>
      <c r="D1098" s="10" t="str">
        <f>IFERROR(__xludf.DUMMYFUNCTION("""COMPUTED_VALUE"""),"")</f>
        <v/>
      </c>
      <c r="E1098" s="10" t="str">
        <f>IFERROR(__xludf.DUMMYFUNCTION("""COMPUTED_VALUE"""),"")</f>
        <v/>
      </c>
      <c r="F1098" s="10" t="str">
        <f>IFERROR(__xludf.DUMMYFUNCTION("""COMPUTED_VALUE"""),"")</f>
        <v/>
      </c>
      <c r="G1098" s="10" t="str">
        <f>IFERROR(__xludf.DUMMYFUNCTION("""COMPUTED_VALUE"""),"")</f>
        <v/>
      </c>
      <c r="H1098" s="10" t="str">
        <f>IFERROR(__xludf.DUMMYFUNCTION("""COMPUTED_VALUE"""),"")</f>
        <v/>
      </c>
      <c r="I1098" s="10" t="str">
        <f>IFERROR(__xludf.DUMMYFUNCTION("""COMPUTED_VALUE"""),"")</f>
        <v/>
      </c>
    </row>
    <row r="1099">
      <c r="A1099" s="10" t="str">
        <f>IFERROR(__xludf.DUMMYFUNCTION("""COMPUTED_VALUE"""),"")</f>
        <v/>
      </c>
      <c r="B1099" s="10" t="str">
        <f>IFERROR(__xludf.DUMMYFUNCTION("""COMPUTED_VALUE"""),"")</f>
        <v/>
      </c>
      <c r="C1099" s="10" t="str">
        <f>IFERROR(__xludf.DUMMYFUNCTION("""COMPUTED_VALUE"""),"")</f>
        <v/>
      </c>
      <c r="D1099" s="10" t="str">
        <f>IFERROR(__xludf.DUMMYFUNCTION("""COMPUTED_VALUE"""),"")</f>
        <v/>
      </c>
      <c r="E1099" s="10" t="str">
        <f>IFERROR(__xludf.DUMMYFUNCTION("""COMPUTED_VALUE"""),"")</f>
        <v/>
      </c>
      <c r="F1099" s="10" t="str">
        <f>IFERROR(__xludf.DUMMYFUNCTION("""COMPUTED_VALUE"""),"")</f>
        <v/>
      </c>
      <c r="G1099" s="10" t="str">
        <f>IFERROR(__xludf.DUMMYFUNCTION("""COMPUTED_VALUE"""),"")</f>
        <v/>
      </c>
      <c r="H1099" s="10" t="str">
        <f>IFERROR(__xludf.DUMMYFUNCTION("""COMPUTED_VALUE"""),"")</f>
        <v/>
      </c>
      <c r="I1099" s="10" t="str">
        <f>IFERROR(__xludf.DUMMYFUNCTION("""COMPUTED_VALUE"""),"")</f>
        <v/>
      </c>
    </row>
    <row r="1100">
      <c r="A1100" s="10" t="str">
        <f>IFERROR(__xludf.DUMMYFUNCTION("""COMPUTED_VALUE"""),"")</f>
        <v/>
      </c>
      <c r="B1100" s="10" t="str">
        <f>IFERROR(__xludf.DUMMYFUNCTION("""COMPUTED_VALUE"""),"")</f>
        <v/>
      </c>
      <c r="C1100" s="10" t="str">
        <f>IFERROR(__xludf.DUMMYFUNCTION("""COMPUTED_VALUE"""),"")</f>
        <v/>
      </c>
      <c r="D1100" s="10" t="str">
        <f>IFERROR(__xludf.DUMMYFUNCTION("""COMPUTED_VALUE"""),"")</f>
        <v/>
      </c>
      <c r="E1100" s="10" t="str">
        <f>IFERROR(__xludf.DUMMYFUNCTION("""COMPUTED_VALUE"""),"")</f>
        <v/>
      </c>
      <c r="F1100" s="10" t="str">
        <f>IFERROR(__xludf.DUMMYFUNCTION("""COMPUTED_VALUE"""),"")</f>
        <v/>
      </c>
      <c r="G1100" s="10" t="str">
        <f>IFERROR(__xludf.DUMMYFUNCTION("""COMPUTED_VALUE"""),"")</f>
        <v/>
      </c>
      <c r="H1100" s="10" t="str">
        <f>IFERROR(__xludf.DUMMYFUNCTION("""COMPUTED_VALUE"""),"")</f>
        <v/>
      </c>
      <c r="I1100" s="10" t="str">
        <f>IFERROR(__xludf.DUMMYFUNCTION("""COMPUTED_VALUE"""),"")</f>
        <v/>
      </c>
    </row>
    <row r="1101">
      <c r="A1101" s="10" t="str">
        <f>IFERROR(__xludf.DUMMYFUNCTION("""COMPUTED_VALUE"""),"")</f>
        <v/>
      </c>
      <c r="B1101" s="10" t="str">
        <f>IFERROR(__xludf.DUMMYFUNCTION("""COMPUTED_VALUE"""),"")</f>
        <v/>
      </c>
      <c r="C1101" s="10" t="str">
        <f>IFERROR(__xludf.DUMMYFUNCTION("""COMPUTED_VALUE"""),"")</f>
        <v/>
      </c>
      <c r="D1101" s="10" t="str">
        <f>IFERROR(__xludf.DUMMYFUNCTION("""COMPUTED_VALUE"""),"")</f>
        <v/>
      </c>
      <c r="E1101" s="10" t="str">
        <f>IFERROR(__xludf.DUMMYFUNCTION("""COMPUTED_VALUE"""),"")</f>
        <v/>
      </c>
      <c r="F1101" s="10" t="str">
        <f>IFERROR(__xludf.DUMMYFUNCTION("""COMPUTED_VALUE"""),"")</f>
        <v/>
      </c>
      <c r="G1101" s="10" t="str">
        <f>IFERROR(__xludf.DUMMYFUNCTION("""COMPUTED_VALUE"""),"")</f>
        <v/>
      </c>
      <c r="H1101" s="10" t="str">
        <f>IFERROR(__xludf.DUMMYFUNCTION("""COMPUTED_VALUE"""),"")</f>
        <v/>
      </c>
      <c r="I1101" s="10" t="str">
        <f>IFERROR(__xludf.DUMMYFUNCTION("""COMPUTED_VALUE"""),"")</f>
        <v/>
      </c>
    </row>
    <row r="1102">
      <c r="A1102" s="10" t="str">
        <f>IFERROR(__xludf.DUMMYFUNCTION("""COMPUTED_VALUE"""),"")</f>
        <v/>
      </c>
      <c r="B1102" s="10" t="str">
        <f>IFERROR(__xludf.DUMMYFUNCTION("""COMPUTED_VALUE"""),"")</f>
        <v/>
      </c>
      <c r="C1102" s="10" t="str">
        <f>IFERROR(__xludf.DUMMYFUNCTION("""COMPUTED_VALUE"""),"")</f>
        <v/>
      </c>
      <c r="D1102" s="10" t="str">
        <f>IFERROR(__xludf.DUMMYFUNCTION("""COMPUTED_VALUE"""),"")</f>
        <v/>
      </c>
      <c r="E1102" s="10" t="str">
        <f>IFERROR(__xludf.DUMMYFUNCTION("""COMPUTED_VALUE"""),"")</f>
        <v/>
      </c>
      <c r="F1102" s="10" t="str">
        <f>IFERROR(__xludf.DUMMYFUNCTION("""COMPUTED_VALUE"""),"")</f>
        <v/>
      </c>
      <c r="G1102" s="10" t="str">
        <f>IFERROR(__xludf.DUMMYFUNCTION("""COMPUTED_VALUE"""),"")</f>
        <v/>
      </c>
      <c r="H1102" s="10" t="str">
        <f>IFERROR(__xludf.DUMMYFUNCTION("""COMPUTED_VALUE"""),"")</f>
        <v/>
      </c>
      <c r="I1102" s="10" t="str">
        <f>IFERROR(__xludf.DUMMYFUNCTION("""COMPUTED_VALUE"""),"")</f>
        <v/>
      </c>
    </row>
    <row r="1103">
      <c r="A1103" s="10" t="str">
        <f>IFERROR(__xludf.DUMMYFUNCTION("""COMPUTED_VALUE"""),"")</f>
        <v/>
      </c>
      <c r="B1103" s="10" t="str">
        <f>IFERROR(__xludf.DUMMYFUNCTION("""COMPUTED_VALUE"""),"")</f>
        <v/>
      </c>
      <c r="C1103" s="10" t="str">
        <f>IFERROR(__xludf.DUMMYFUNCTION("""COMPUTED_VALUE"""),"")</f>
        <v/>
      </c>
      <c r="D1103" s="10" t="str">
        <f>IFERROR(__xludf.DUMMYFUNCTION("""COMPUTED_VALUE"""),"")</f>
        <v/>
      </c>
      <c r="E1103" s="10" t="str">
        <f>IFERROR(__xludf.DUMMYFUNCTION("""COMPUTED_VALUE"""),"")</f>
        <v/>
      </c>
      <c r="F1103" s="10" t="str">
        <f>IFERROR(__xludf.DUMMYFUNCTION("""COMPUTED_VALUE"""),"")</f>
        <v/>
      </c>
      <c r="G1103" s="10" t="str">
        <f>IFERROR(__xludf.DUMMYFUNCTION("""COMPUTED_VALUE"""),"")</f>
        <v/>
      </c>
      <c r="H1103" s="10" t="str">
        <f>IFERROR(__xludf.DUMMYFUNCTION("""COMPUTED_VALUE"""),"")</f>
        <v/>
      </c>
      <c r="I1103" s="10" t="str">
        <f>IFERROR(__xludf.DUMMYFUNCTION("""COMPUTED_VALUE"""),"")</f>
        <v/>
      </c>
    </row>
    <row r="1104">
      <c r="A1104" s="10" t="str">
        <f>IFERROR(__xludf.DUMMYFUNCTION("""COMPUTED_VALUE"""),"")</f>
        <v/>
      </c>
      <c r="B1104" s="10" t="str">
        <f>IFERROR(__xludf.DUMMYFUNCTION("""COMPUTED_VALUE"""),"")</f>
        <v/>
      </c>
      <c r="C1104" s="10" t="str">
        <f>IFERROR(__xludf.DUMMYFUNCTION("""COMPUTED_VALUE"""),"")</f>
        <v/>
      </c>
      <c r="D1104" s="10" t="str">
        <f>IFERROR(__xludf.DUMMYFUNCTION("""COMPUTED_VALUE"""),"")</f>
        <v/>
      </c>
      <c r="E1104" s="10" t="str">
        <f>IFERROR(__xludf.DUMMYFUNCTION("""COMPUTED_VALUE"""),"")</f>
        <v/>
      </c>
      <c r="F1104" s="10" t="str">
        <f>IFERROR(__xludf.DUMMYFUNCTION("""COMPUTED_VALUE"""),"")</f>
        <v/>
      </c>
      <c r="G1104" s="10" t="str">
        <f>IFERROR(__xludf.DUMMYFUNCTION("""COMPUTED_VALUE"""),"")</f>
        <v/>
      </c>
      <c r="H1104" s="10" t="str">
        <f>IFERROR(__xludf.DUMMYFUNCTION("""COMPUTED_VALUE"""),"")</f>
        <v/>
      </c>
      <c r="I1104" s="10" t="str">
        <f>IFERROR(__xludf.DUMMYFUNCTION("""COMPUTED_VALUE"""),"")</f>
        <v/>
      </c>
    </row>
    <row r="1105">
      <c r="A1105" s="10" t="str">
        <f>IFERROR(__xludf.DUMMYFUNCTION("""COMPUTED_VALUE"""),"")</f>
        <v/>
      </c>
      <c r="B1105" s="10" t="str">
        <f>IFERROR(__xludf.DUMMYFUNCTION("""COMPUTED_VALUE"""),"")</f>
        <v/>
      </c>
      <c r="C1105" s="10" t="str">
        <f>IFERROR(__xludf.DUMMYFUNCTION("""COMPUTED_VALUE"""),"")</f>
        <v/>
      </c>
      <c r="D1105" s="10" t="str">
        <f>IFERROR(__xludf.DUMMYFUNCTION("""COMPUTED_VALUE"""),"")</f>
        <v/>
      </c>
      <c r="E1105" s="10" t="str">
        <f>IFERROR(__xludf.DUMMYFUNCTION("""COMPUTED_VALUE"""),"")</f>
        <v/>
      </c>
      <c r="F1105" s="10" t="str">
        <f>IFERROR(__xludf.DUMMYFUNCTION("""COMPUTED_VALUE"""),"")</f>
        <v/>
      </c>
      <c r="G1105" s="10" t="str">
        <f>IFERROR(__xludf.DUMMYFUNCTION("""COMPUTED_VALUE"""),"")</f>
        <v/>
      </c>
      <c r="H1105" s="10" t="str">
        <f>IFERROR(__xludf.DUMMYFUNCTION("""COMPUTED_VALUE"""),"")</f>
        <v/>
      </c>
      <c r="I1105" s="10" t="str">
        <f>IFERROR(__xludf.DUMMYFUNCTION("""COMPUTED_VALUE"""),"")</f>
        <v/>
      </c>
    </row>
    <row r="1106">
      <c r="A1106" s="10" t="str">
        <f>IFERROR(__xludf.DUMMYFUNCTION("""COMPUTED_VALUE"""),"")</f>
        <v/>
      </c>
      <c r="B1106" s="10" t="str">
        <f>IFERROR(__xludf.DUMMYFUNCTION("""COMPUTED_VALUE"""),"")</f>
        <v/>
      </c>
      <c r="C1106" s="10" t="str">
        <f>IFERROR(__xludf.DUMMYFUNCTION("""COMPUTED_VALUE"""),"")</f>
        <v/>
      </c>
      <c r="D1106" s="10" t="str">
        <f>IFERROR(__xludf.DUMMYFUNCTION("""COMPUTED_VALUE"""),"")</f>
        <v/>
      </c>
      <c r="E1106" s="10" t="str">
        <f>IFERROR(__xludf.DUMMYFUNCTION("""COMPUTED_VALUE"""),"")</f>
        <v/>
      </c>
      <c r="F1106" s="10" t="str">
        <f>IFERROR(__xludf.DUMMYFUNCTION("""COMPUTED_VALUE"""),"")</f>
        <v/>
      </c>
      <c r="G1106" s="10" t="str">
        <f>IFERROR(__xludf.DUMMYFUNCTION("""COMPUTED_VALUE"""),"")</f>
        <v/>
      </c>
      <c r="H1106" s="10" t="str">
        <f>IFERROR(__xludf.DUMMYFUNCTION("""COMPUTED_VALUE"""),"")</f>
        <v/>
      </c>
      <c r="I1106" s="10" t="str">
        <f>IFERROR(__xludf.DUMMYFUNCTION("""COMPUTED_VALUE"""),"")</f>
        <v/>
      </c>
    </row>
    <row r="1107">
      <c r="A1107" s="10" t="str">
        <f>IFERROR(__xludf.DUMMYFUNCTION("""COMPUTED_VALUE"""),"")</f>
        <v/>
      </c>
      <c r="B1107" s="10" t="str">
        <f>IFERROR(__xludf.DUMMYFUNCTION("""COMPUTED_VALUE"""),"")</f>
        <v/>
      </c>
      <c r="C1107" s="10" t="str">
        <f>IFERROR(__xludf.DUMMYFUNCTION("""COMPUTED_VALUE"""),"")</f>
        <v/>
      </c>
      <c r="D1107" s="10" t="str">
        <f>IFERROR(__xludf.DUMMYFUNCTION("""COMPUTED_VALUE"""),"")</f>
        <v/>
      </c>
      <c r="E1107" s="10" t="str">
        <f>IFERROR(__xludf.DUMMYFUNCTION("""COMPUTED_VALUE"""),"")</f>
        <v/>
      </c>
      <c r="F1107" s="10" t="str">
        <f>IFERROR(__xludf.DUMMYFUNCTION("""COMPUTED_VALUE"""),"")</f>
        <v/>
      </c>
      <c r="G1107" s="10" t="str">
        <f>IFERROR(__xludf.DUMMYFUNCTION("""COMPUTED_VALUE"""),"")</f>
        <v/>
      </c>
      <c r="H1107" s="10" t="str">
        <f>IFERROR(__xludf.DUMMYFUNCTION("""COMPUTED_VALUE"""),"")</f>
        <v/>
      </c>
      <c r="I1107" s="10" t="str">
        <f>IFERROR(__xludf.DUMMYFUNCTION("""COMPUTED_VALUE"""),"")</f>
        <v/>
      </c>
    </row>
    <row r="1108">
      <c r="A1108" s="10" t="str">
        <f>IFERROR(__xludf.DUMMYFUNCTION("""COMPUTED_VALUE"""),"")</f>
        <v/>
      </c>
      <c r="B1108" s="10" t="str">
        <f>IFERROR(__xludf.DUMMYFUNCTION("""COMPUTED_VALUE"""),"")</f>
        <v/>
      </c>
      <c r="C1108" s="10" t="str">
        <f>IFERROR(__xludf.DUMMYFUNCTION("""COMPUTED_VALUE"""),"")</f>
        <v/>
      </c>
      <c r="D1108" s="10" t="str">
        <f>IFERROR(__xludf.DUMMYFUNCTION("""COMPUTED_VALUE"""),"")</f>
        <v/>
      </c>
      <c r="E1108" s="10" t="str">
        <f>IFERROR(__xludf.DUMMYFUNCTION("""COMPUTED_VALUE"""),"")</f>
        <v/>
      </c>
      <c r="F1108" s="10" t="str">
        <f>IFERROR(__xludf.DUMMYFUNCTION("""COMPUTED_VALUE"""),"")</f>
        <v/>
      </c>
      <c r="G1108" s="10" t="str">
        <f>IFERROR(__xludf.DUMMYFUNCTION("""COMPUTED_VALUE"""),"")</f>
        <v/>
      </c>
      <c r="H1108" s="10" t="str">
        <f>IFERROR(__xludf.DUMMYFUNCTION("""COMPUTED_VALUE"""),"")</f>
        <v/>
      </c>
      <c r="I1108" s="10" t="str">
        <f>IFERROR(__xludf.DUMMYFUNCTION("""COMPUTED_VALUE"""),"")</f>
        <v/>
      </c>
    </row>
    <row r="1109">
      <c r="A1109" s="10" t="str">
        <f>IFERROR(__xludf.DUMMYFUNCTION("""COMPUTED_VALUE"""),"")</f>
        <v/>
      </c>
      <c r="B1109" s="10" t="str">
        <f>IFERROR(__xludf.DUMMYFUNCTION("""COMPUTED_VALUE"""),"")</f>
        <v/>
      </c>
      <c r="C1109" s="10" t="str">
        <f>IFERROR(__xludf.DUMMYFUNCTION("""COMPUTED_VALUE"""),"")</f>
        <v/>
      </c>
      <c r="D1109" s="10" t="str">
        <f>IFERROR(__xludf.DUMMYFUNCTION("""COMPUTED_VALUE"""),"")</f>
        <v/>
      </c>
      <c r="E1109" s="10" t="str">
        <f>IFERROR(__xludf.DUMMYFUNCTION("""COMPUTED_VALUE"""),"")</f>
        <v/>
      </c>
      <c r="F1109" s="10" t="str">
        <f>IFERROR(__xludf.DUMMYFUNCTION("""COMPUTED_VALUE"""),"")</f>
        <v/>
      </c>
      <c r="G1109" s="10" t="str">
        <f>IFERROR(__xludf.DUMMYFUNCTION("""COMPUTED_VALUE"""),"")</f>
        <v/>
      </c>
      <c r="H1109" s="10" t="str">
        <f>IFERROR(__xludf.DUMMYFUNCTION("""COMPUTED_VALUE"""),"")</f>
        <v/>
      </c>
      <c r="I1109" s="10" t="str">
        <f>IFERROR(__xludf.DUMMYFUNCTION("""COMPUTED_VALUE"""),"")</f>
        <v/>
      </c>
    </row>
    <row r="1110">
      <c r="A1110" s="10" t="str">
        <f>IFERROR(__xludf.DUMMYFUNCTION("""COMPUTED_VALUE"""),"")</f>
        <v/>
      </c>
      <c r="B1110" s="10" t="str">
        <f>IFERROR(__xludf.DUMMYFUNCTION("""COMPUTED_VALUE"""),"")</f>
        <v/>
      </c>
      <c r="C1110" s="10" t="str">
        <f>IFERROR(__xludf.DUMMYFUNCTION("""COMPUTED_VALUE"""),"")</f>
        <v/>
      </c>
      <c r="D1110" s="10" t="str">
        <f>IFERROR(__xludf.DUMMYFUNCTION("""COMPUTED_VALUE"""),"")</f>
        <v/>
      </c>
      <c r="E1110" s="10" t="str">
        <f>IFERROR(__xludf.DUMMYFUNCTION("""COMPUTED_VALUE"""),"")</f>
        <v/>
      </c>
      <c r="F1110" s="10" t="str">
        <f>IFERROR(__xludf.DUMMYFUNCTION("""COMPUTED_VALUE"""),"")</f>
        <v/>
      </c>
      <c r="G1110" s="10" t="str">
        <f>IFERROR(__xludf.DUMMYFUNCTION("""COMPUTED_VALUE"""),"")</f>
        <v/>
      </c>
      <c r="H1110" s="10" t="str">
        <f>IFERROR(__xludf.DUMMYFUNCTION("""COMPUTED_VALUE"""),"")</f>
        <v/>
      </c>
      <c r="I1110" s="10" t="str">
        <f>IFERROR(__xludf.DUMMYFUNCTION("""COMPUTED_VALUE"""),"")</f>
        <v/>
      </c>
    </row>
    <row r="1111">
      <c r="A1111" s="10" t="str">
        <f>IFERROR(__xludf.DUMMYFUNCTION("""COMPUTED_VALUE"""),"")</f>
        <v/>
      </c>
      <c r="B1111" s="10" t="str">
        <f>IFERROR(__xludf.DUMMYFUNCTION("""COMPUTED_VALUE"""),"")</f>
        <v/>
      </c>
      <c r="C1111" s="10" t="str">
        <f>IFERROR(__xludf.DUMMYFUNCTION("""COMPUTED_VALUE"""),"")</f>
        <v/>
      </c>
      <c r="D1111" s="10" t="str">
        <f>IFERROR(__xludf.DUMMYFUNCTION("""COMPUTED_VALUE"""),"")</f>
        <v/>
      </c>
      <c r="E1111" s="10" t="str">
        <f>IFERROR(__xludf.DUMMYFUNCTION("""COMPUTED_VALUE"""),"")</f>
        <v/>
      </c>
      <c r="F1111" s="10" t="str">
        <f>IFERROR(__xludf.DUMMYFUNCTION("""COMPUTED_VALUE"""),"")</f>
        <v/>
      </c>
      <c r="G1111" s="10" t="str">
        <f>IFERROR(__xludf.DUMMYFUNCTION("""COMPUTED_VALUE"""),"")</f>
        <v/>
      </c>
      <c r="H1111" s="10" t="str">
        <f>IFERROR(__xludf.DUMMYFUNCTION("""COMPUTED_VALUE"""),"")</f>
        <v/>
      </c>
      <c r="I1111" s="10" t="str">
        <f>IFERROR(__xludf.DUMMYFUNCTION("""COMPUTED_VALUE"""),"")</f>
        <v/>
      </c>
    </row>
    <row r="1112">
      <c r="A1112" s="10" t="str">
        <f>IFERROR(__xludf.DUMMYFUNCTION("""COMPUTED_VALUE"""),"")</f>
        <v/>
      </c>
      <c r="B1112" s="10" t="str">
        <f>IFERROR(__xludf.DUMMYFUNCTION("""COMPUTED_VALUE"""),"")</f>
        <v/>
      </c>
      <c r="C1112" s="10" t="str">
        <f>IFERROR(__xludf.DUMMYFUNCTION("""COMPUTED_VALUE"""),"")</f>
        <v/>
      </c>
      <c r="D1112" s="10" t="str">
        <f>IFERROR(__xludf.DUMMYFUNCTION("""COMPUTED_VALUE"""),"")</f>
        <v/>
      </c>
      <c r="E1112" s="10" t="str">
        <f>IFERROR(__xludf.DUMMYFUNCTION("""COMPUTED_VALUE"""),"")</f>
        <v/>
      </c>
      <c r="F1112" s="10" t="str">
        <f>IFERROR(__xludf.DUMMYFUNCTION("""COMPUTED_VALUE"""),"")</f>
        <v/>
      </c>
      <c r="G1112" s="10" t="str">
        <f>IFERROR(__xludf.DUMMYFUNCTION("""COMPUTED_VALUE"""),"")</f>
        <v/>
      </c>
      <c r="H1112" s="10" t="str">
        <f>IFERROR(__xludf.DUMMYFUNCTION("""COMPUTED_VALUE"""),"")</f>
        <v/>
      </c>
      <c r="I1112" s="10" t="str">
        <f>IFERROR(__xludf.DUMMYFUNCTION("""COMPUTED_VALUE"""),"")</f>
        <v/>
      </c>
    </row>
    <row r="1113">
      <c r="A1113" s="10" t="str">
        <f>IFERROR(__xludf.DUMMYFUNCTION("""COMPUTED_VALUE"""),"")</f>
        <v/>
      </c>
      <c r="B1113" s="10" t="str">
        <f>IFERROR(__xludf.DUMMYFUNCTION("""COMPUTED_VALUE"""),"")</f>
        <v/>
      </c>
      <c r="C1113" s="10" t="str">
        <f>IFERROR(__xludf.DUMMYFUNCTION("""COMPUTED_VALUE"""),"")</f>
        <v/>
      </c>
      <c r="D1113" s="10" t="str">
        <f>IFERROR(__xludf.DUMMYFUNCTION("""COMPUTED_VALUE"""),"")</f>
        <v/>
      </c>
      <c r="E1113" s="10" t="str">
        <f>IFERROR(__xludf.DUMMYFUNCTION("""COMPUTED_VALUE"""),"")</f>
        <v/>
      </c>
      <c r="F1113" s="10" t="str">
        <f>IFERROR(__xludf.DUMMYFUNCTION("""COMPUTED_VALUE"""),"")</f>
        <v/>
      </c>
      <c r="G1113" s="10" t="str">
        <f>IFERROR(__xludf.DUMMYFUNCTION("""COMPUTED_VALUE"""),"")</f>
        <v/>
      </c>
      <c r="H1113" s="10" t="str">
        <f>IFERROR(__xludf.DUMMYFUNCTION("""COMPUTED_VALUE"""),"")</f>
        <v/>
      </c>
      <c r="I1113" s="10" t="str">
        <f>IFERROR(__xludf.DUMMYFUNCTION("""COMPUTED_VALUE"""),"")</f>
        <v/>
      </c>
    </row>
    <row r="1114">
      <c r="A1114" s="10" t="str">
        <f>IFERROR(__xludf.DUMMYFUNCTION("""COMPUTED_VALUE"""),"")</f>
        <v/>
      </c>
      <c r="B1114" s="10" t="str">
        <f>IFERROR(__xludf.DUMMYFUNCTION("""COMPUTED_VALUE"""),"")</f>
        <v/>
      </c>
      <c r="C1114" s="10" t="str">
        <f>IFERROR(__xludf.DUMMYFUNCTION("""COMPUTED_VALUE"""),"")</f>
        <v/>
      </c>
      <c r="D1114" s="10" t="str">
        <f>IFERROR(__xludf.DUMMYFUNCTION("""COMPUTED_VALUE"""),"")</f>
        <v/>
      </c>
      <c r="E1114" s="10" t="str">
        <f>IFERROR(__xludf.DUMMYFUNCTION("""COMPUTED_VALUE"""),"")</f>
        <v/>
      </c>
      <c r="F1114" s="10" t="str">
        <f>IFERROR(__xludf.DUMMYFUNCTION("""COMPUTED_VALUE"""),"")</f>
        <v/>
      </c>
      <c r="G1114" s="10" t="str">
        <f>IFERROR(__xludf.DUMMYFUNCTION("""COMPUTED_VALUE"""),"")</f>
        <v/>
      </c>
      <c r="H1114" s="10" t="str">
        <f>IFERROR(__xludf.DUMMYFUNCTION("""COMPUTED_VALUE"""),"")</f>
        <v/>
      </c>
      <c r="I1114" s="10" t="str">
        <f>IFERROR(__xludf.DUMMYFUNCTION("""COMPUTED_VALUE"""),"")</f>
        <v/>
      </c>
    </row>
    <row r="1115">
      <c r="A1115" s="10" t="str">
        <f>IFERROR(__xludf.DUMMYFUNCTION("""COMPUTED_VALUE"""),"")</f>
        <v/>
      </c>
      <c r="B1115" s="10" t="str">
        <f>IFERROR(__xludf.DUMMYFUNCTION("""COMPUTED_VALUE"""),"")</f>
        <v/>
      </c>
      <c r="C1115" s="10" t="str">
        <f>IFERROR(__xludf.DUMMYFUNCTION("""COMPUTED_VALUE"""),"")</f>
        <v/>
      </c>
      <c r="D1115" s="10" t="str">
        <f>IFERROR(__xludf.DUMMYFUNCTION("""COMPUTED_VALUE"""),"")</f>
        <v/>
      </c>
      <c r="E1115" s="10" t="str">
        <f>IFERROR(__xludf.DUMMYFUNCTION("""COMPUTED_VALUE"""),"")</f>
        <v/>
      </c>
      <c r="F1115" s="10" t="str">
        <f>IFERROR(__xludf.DUMMYFUNCTION("""COMPUTED_VALUE"""),"")</f>
        <v/>
      </c>
      <c r="G1115" s="10" t="str">
        <f>IFERROR(__xludf.DUMMYFUNCTION("""COMPUTED_VALUE"""),"")</f>
        <v/>
      </c>
      <c r="H1115" s="10" t="str">
        <f>IFERROR(__xludf.DUMMYFUNCTION("""COMPUTED_VALUE"""),"")</f>
        <v/>
      </c>
      <c r="I1115" s="10" t="str">
        <f>IFERROR(__xludf.DUMMYFUNCTION("""COMPUTED_VALUE"""),"")</f>
        <v/>
      </c>
    </row>
    <row r="1116">
      <c r="A1116" s="10" t="str">
        <f>IFERROR(__xludf.DUMMYFUNCTION("""COMPUTED_VALUE"""),"")</f>
        <v/>
      </c>
      <c r="B1116" s="10" t="str">
        <f>IFERROR(__xludf.DUMMYFUNCTION("""COMPUTED_VALUE"""),"")</f>
        <v/>
      </c>
      <c r="C1116" s="10" t="str">
        <f>IFERROR(__xludf.DUMMYFUNCTION("""COMPUTED_VALUE"""),"")</f>
        <v/>
      </c>
      <c r="D1116" s="10" t="str">
        <f>IFERROR(__xludf.DUMMYFUNCTION("""COMPUTED_VALUE"""),"")</f>
        <v/>
      </c>
      <c r="E1116" s="10" t="str">
        <f>IFERROR(__xludf.DUMMYFUNCTION("""COMPUTED_VALUE"""),"")</f>
        <v/>
      </c>
      <c r="F1116" s="10" t="str">
        <f>IFERROR(__xludf.DUMMYFUNCTION("""COMPUTED_VALUE"""),"")</f>
        <v/>
      </c>
      <c r="G1116" s="10" t="str">
        <f>IFERROR(__xludf.DUMMYFUNCTION("""COMPUTED_VALUE"""),"")</f>
        <v/>
      </c>
      <c r="H1116" s="10" t="str">
        <f>IFERROR(__xludf.DUMMYFUNCTION("""COMPUTED_VALUE"""),"")</f>
        <v/>
      </c>
      <c r="I1116" s="10" t="str">
        <f>IFERROR(__xludf.DUMMYFUNCTION("""COMPUTED_VALUE"""),"")</f>
        <v/>
      </c>
    </row>
    <row r="1117">
      <c r="A1117" s="10" t="str">
        <f>IFERROR(__xludf.DUMMYFUNCTION("""COMPUTED_VALUE"""),"")</f>
        <v/>
      </c>
      <c r="B1117" s="10" t="str">
        <f>IFERROR(__xludf.DUMMYFUNCTION("""COMPUTED_VALUE"""),"")</f>
        <v/>
      </c>
      <c r="C1117" s="10" t="str">
        <f>IFERROR(__xludf.DUMMYFUNCTION("""COMPUTED_VALUE"""),"")</f>
        <v/>
      </c>
      <c r="D1117" s="10" t="str">
        <f>IFERROR(__xludf.DUMMYFUNCTION("""COMPUTED_VALUE"""),"")</f>
        <v/>
      </c>
      <c r="E1117" s="10" t="str">
        <f>IFERROR(__xludf.DUMMYFUNCTION("""COMPUTED_VALUE"""),"")</f>
        <v/>
      </c>
      <c r="F1117" s="10" t="str">
        <f>IFERROR(__xludf.DUMMYFUNCTION("""COMPUTED_VALUE"""),"")</f>
        <v/>
      </c>
      <c r="G1117" s="10" t="str">
        <f>IFERROR(__xludf.DUMMYFUNCTION("""COMPUTED_VALUE"""),"")</f>
        <v/>
      </c>
      <c r="H1117" s="10" t="str">
        <f>IFERROR(__xludf.DUMMYFUNCTION("""COMPUTED_VALUE"""),"")</f>
        <v/>
      </c>
      <c r="I1117" s="10" t="str">
        <f>IFERROR(__xludf.DUMMYFUNCTION("""COMPUTED_VALUE"""),"")</f>
        <v/>
      </c>
    </row>
    <row r="1118">
      <c r="A1118" s="10" t="str">
        <f>IFERROR(__xludf.DUMMYFUNCTION("""COMPUTED_VALUE"""),"")</f>
        <v/>
      </c>
      <c r="B1118" s="10" t="str">
        <f>IFERROR(__xludf.DUMMYFUNCTION("""COMPUTED_VALUE"""),"")</f>
        <v/>
      </c>
      <c r="C1118" s="10" t="str">
        <f>IFERROR(__xludf.DUMMYFUNCTION("""COMPUTED_VALUE"""),"")</f>
        <v/>
      </c>
      <c r="D1118" s="10" t="str">
        <f>IFERROR(__xludf.DUMMYFUNCTION("""COMPUTED_VALUE"""),"")</f>
        <v/>
      </c>
      <c r="E1118" s="10" t="str">
        <f>IFERROR(__xludf.DUMMYFUNCTION("""COMPUTED_VALUE"""),"")</f>
        <v/>
      </c>
      <c r="F1118" s="10" t="str">
        <f>IFERROR(__xludf.DUMMYFUNCTION("""COMPUTED_VALUE"""),"")</f>
        <v/>
      </c>
      <c r="G1118" s="10" t="str">
        <f>IFERROR(__xludf.DUMMYFUNCTION("""COMPUTED_VALUE"""),"")</f>
        <v/>
      </c>
      <c r="H1118" s="10" t="str">
        <f>IFERROR(__xludf.DUMMYFUNCTION("""COMPUTED_VALUE"""),"")</f>
        <v/>
      </c>
      <c r="I1118" s="10" t="str">
        <f>IFERROR(__xludf.DUMMYFUNCTION("""COMPUTED_VALUE"""),"")</f>
        <v/>
      </c>
    </row>
    <row r="1119">
      <c r="A1119" s="10" t="str">
        <f>IFERROR(__xludf.DUMMYFUNCTION("""COMPUTED_VALUE"""),"")</f>
        <v/>
      </c>
      <c r="B1119" s="10" t="str">
        <f>IFERROR(__xludf.DUMMYFUNCTION("""COMPUTED_VALUE"""),"")</f>
        <v/>
      </c>
      <c r="C1119" s="10" t="str">
        <f>IFERROR(__xludf.DUMMYFUNCTION("""COMPUTED_VALUE"""),"")</f>
        <v/>
      </c>
      <c r="D1119" s="10" t="str">
        <f>IFERROR(__xludf.DUMMYFUNCTION("""COMPUTED_VALUE"""),"")</f>
        <v/>
      </c>
      <c r="E1119" s="10" t="str">
        <f>IFERROR(__xludf.DUMMYFUNCTION("""COMPUTED_VALUE"""),"")</f>
        <v/>
      </c>
      <c r="F1119" s="10" t="str">
        <f>IFERROR(__xludf.DUMMYFUNCTION("""COMPUTED_VALUE"""),"")</f>
        <v/>
      </c>
      <c r="G1119" s="10" t="str">
        <f>IFERROR(__xludf.DUMMYFUNCTION("""COMPUTED_VALUE"""),"")</f>
        <v/>
      </c>
      <c r="H1119" s="10" t="str">
        <f>IFERROR(__xludf.DUMMYFUNCTION("""COMPUTED_VALUE"""),"")</f>
        <v/>
      </c>
      <c r="I1119" s="10" t="str">
        <f>IFERROR(__xludf.DUMMYFUNCTION("""COMPUTED_VALUE"""),"")</f>
        <v/>
      </c>
    </row>
    <row r="1120">
      <c r="A1120" s="10" t="str">
        <f>IFERROR(__xludf.DUMMYFUNCTION("""COMPUTED_VALUE"""),"")</f>
        <v/>
      </c>
      <c r="B1120" s="10" t="str">
        <f>IFERROR(__xludf.DUMMYFUNCTION("""COMPUTED_VALUE"""),"")</f>
        <v/>
      </c>
      <c r="C1120" s="10" t="str">
        <f>IFERROR(__xludf.DUMMYFUNCTION("""COMPUTED_VALUE"""),"")</f>
        <v/>
      </c>
      <c r="D1120" s="10" t="str">
        <f>IFERROR(__xludf.DUMMYFUNCTION("""COMPUTED_VALUE"""),"")</f>
        <v/>
      </c>
      <c r="E1120" s="10" t="str">
        <f>IFERROR(__xludf.DUMMYFUNCTION("""COMPUTED_VALUE"""),"")</f>
        <v/>
      </c>
      <c r="F1120" s="10" t="str">
        <f>IFERROR(__xludf.DUMMYFUNCTION("""COMPUTED_VALUE"""),"")</f>
        <v/>
      </c>
      <c r="G1120" s="10" t="str">
        <f>IFERROR(__xludf.DUMMYFUNCTION("""COMPUTED_VALUE"""),"")</f>
        <v/>
      </c>
      <c r="H1120" s="10" t="str">
        <f>IFERROR(__xludf.DUMMYFUNCTION("""COMPUTED_VALUE"""),"")</f>
        <v/>
      </c>
      <c r="I1120" s="10" t="str">
        <f>IFERROR(__xludf.DUMMYFUNCTION("""COMPUTED_VALUE"""),"")</f>
        <v/>
      </c>
    </row>
    <row r="1121">
      <c r="A1121" s="10" t="str">
        <f>IFERROR(__xludf.DUMMYFUNCTION("""COMPUTED_VALUE"""),"")</f>
        <v/>
      </c>
      <c r="B1121" s="10" t="str">
        <f>IFERROR(__xludf.DUMMYFUNCTION("""COMPUTED_VALUE"""),"")</f>
        <v/>
      </c>
      <c r="C1121" s="10" t="str">
        <f>IFERROR(__xludf.DUMMYFUNCTION("""COMPUTED_VALUE"""),"")</f>
        <v/>
      </c>
      <c r="D1121" s="10" t="str">
        <f>IFERROR(__xludf.DUMMYFUNCTION("""COMPUTED_VALUE"""),"")</f>
        <v/>
      </c>
      <c r="E1121" s="10" t="str">
        <f>IFERROR(__xludf.DUMMYFUNCTION("""COMPUTED_VALUE"""),"")</f>
        <v/>
      </c>
      <c r="F1121" s="10" t="str">
        <f>IFERROR(__xludf.DUMMYFUNCTION("""COMPUTED_VALUE"""),"")</f>
        <v/>
      </c>
      <c r="G1121" s="10" t="str">
        <f>IFERROR(__xludf.DUMMYFUNCTION("""COMPUTED_VALUE"""),"")</f>
        <v/>
      </c>
      <c r="H1121" s="10" t="str">
        <f>IFERROR(__xludf.DUMMYFUNCTION("""COMPUTED_VALUE"""),"")</f>
        <v/>
      </c>
      <c r="I1121" s="10" t="str">
        <f>IFERROR(__xludf.DUMMYFUNCTION("""COMPUTED_VALUE"""),"")</f>
        <v/>
      </c>
    </row>
    <row r="1122">
      <c r="A1122" s="10" t="str">
        <f>IFERROR(__xludf.DUMMYFUNCTION("""COMPUTED_VALUE"""),"")</f>
        <v/>
      </c>
      <c r="B1122" s="10" t="str">
        <f>IFERROR(__xludf.DUMMYFUNCTION("""COMPUTED_VALUE"""),"")</f>
        <v/>
      </c>
      <c r="C1122" s="10" t="str">
        <f>IFERROR(__xludf.DUMMYFUNCTION("""COMPUTED_VALUE"""),"")</f>
        <v/>
      </c>
      <c r="D1122" s="10" t="str">
        <f>IFERROR(__xludf.DUMMYFUNCTION("""COMPUTED_VALUE"""),"")</f>
        <v/>
      </c>
      <c r="E1122" s="10" t="str">
        <f>IFERROR(__xludf.DUMMYFUNCTION("""COMPUTED_VALUE"""),"")</f>
        <v/>
      </c>
      <c r="F1122" s="10" t="str">
        <f>IFERROR(__xludf.DUMMYFUNCTION("""COMPUTED_VALUE"""),"")</f>
        <v/>
      </c>
      <c r="G1122" s="10" t="str">
        <f>IFERROR(__xludf.DUMMYFUNCTION("""COMPUTED_VALUE"""),"")</f>
        <v/>
      </c>
      <c r="H1122" s="10" t="str">
        <f>IFERROR(__xludf.DUMMYFUNCTION("""COMPUTED_VALUE"""),"")</f>
        <v/>
      </c>
      <c r="I1122" s="10" t="str">
        <f>IFERROR(__xludf.DUMMYFUNCTION("""COMPUTED_VALUE"""),"")</f>
        <v/>
      </c>
    </row>
    <row r="1123">
      <c r="A1123" s="10" t="str">
        <f>IFERROR(__xludf.DUMMYFUNCTION("""COMPUTED_VALUE"""),"")</f>
        <v/>
      </c>
      <c r="B1123" s="10" t="str">
        <f>IFERROR(__xludf.DUMMYFUNCTION("""COMPUTED_VALUE"""),"")</f>
        <v/>
      </c>
      <c r="C1123" s="10" t="str">
        <f>IFERROR(__xludf.DUMMYFUNCTION("""COMPUTED_VALUE"""),"")</f>
        <v/>
      </c>
      <c r="D1123" s="10" t="str">
        <f>IFERROR(__xludf.DUMMYFUNCTION("""COMPUTED_VALUE"""),"")</f>
        <v/>
      </c>
      <c r="E1123" s="10" t="str">
        <f>IFERROR(__xludf.DUMMYFUNCTION("""COMPUTED_VALUE"""),"")</f>
        <v/>
      </c>
      <c r="F1123" s="10" t="str">
        <f>IFERROR(__xludf.DUMMYFUNCTION("""COMPUTED_VALUE"""),"")</f>
        <v/>
      </c>
      <c r="G1123" s="10" t="str">
        <f>IFERROR(__xludf.DUMMYFUNCTION("""COMPUTED_VALUE"""),"")</f>
        <v/>
      </c>
      <c r="H1123" s="10" t="str">
        <f>IFERROR(__xludf.DUMMYFUNCTION("""COMPUTED_VALUE"""),"")</f>
        <v/>
      </c>
      <c r="I1123" s="10" t="str">
        <f>IFERROR(__xludf.DUMMYFUNCTION("""COMPUTED_VALUE"""),"")</f>
        <v/>
      </c>
    </row>
    <row r="1124">
      <c r="A1124" s="10" t="str">
        <f>IFERROR(__xludf.DUMMYFUNCTION("""COMPUTED_VALUE"""),"")</f>
        <v/>
      </c>
      <c r="B1124" s="10" t="str">
        <f>IFERROR(__xludf.DUMMYFUNCTION("""COMPUTED_VALUE"""),"")</f>
        <v/>
      </c>
      <c r="C1124" s="10" t="str">
        <f>IFERROR(__xludf.DUMMYFUNCTION("""COMPUTED_VALUE"""),"")</f>
        <v/>
      </c>
      <c r="D1124" s="10" t="str">
        <f>IFERROR(__xludf.DUMMYFUNCTION("""COMPUTED_VALUE"""),"")</f>
        <v/>
      </c>
      <c r="E1124" s="10" t="str">
        <f>IFERROR(__xludf.DUMMYFUNCTION("""COMPUTED_VALUE"""),"")</f>
        <v/>
      </c>
      <c r="F1124" s="10" t="str">
        <f>IFERROR(__xludf.DUMMYFUNCTION("""COMPUTED_VALUE"""),"")</f>
        <v/>
      </c>
      <c r="G1124" s="10" t="str">
        <f>IFERROR(__xludf.DUMMYFUNCTION("""COMPUTED_VALUE"""),"")</f>
        <v/>
      </c>
      <c r="H1124" s="10" t="str">
        <f>IFERROR(__xludf.DUMMYFUNCTION("""COMPUTED_VALUE"""),"")</f>
        <v/>
      </c>
      <c r="I1124" s="10" t="str">
        <f>IFERROR(__xludf.DUMMYFUNCTION("""COMPUTED_VALUE"""),"")</f>
        <v/>
      </c>
    </row>
    <row r="1125">
      <c r="A1125" s="10" t="str">
        <f>IFERROR(__xludf.DUMMYFUNCTION("""COMPUTED_VALUE"""),"")</f>
        <v/>
      </c>
      <c r="B1125" s="10" t="str">
        <f>IFERROR(__xludf.DUMMYFUNCTION("""COMPUTED_VALUE"""),"")</f>
        <v/>
      </c>
      <c r="C1125" s="10" t="str">
        <f>IFERROR(__xludf.DUMMYFUNCTION("""COMPUTED_VALUE"""),"")</f>
        <v/>
      </c>
      <c r="D1125" s="10" t="str">
        <f>IFERROR(__xludf.DUMMYFUNCTION("""COMPUTED_VALUE"""),"")</f>
        <v/>
      </c>
      <c r="E1125" s="10" t="str">
        <f>IFERROR(__xludf.DUMMYFUNCTION("""COMPUTED_VALUE"""),"")</f>
        <v/>
      </c>
      <c r="F1125" s="10" t="str">
        <f>IFERROR(__xludf.DUMMYFUNCTION("""COMPUTED_VALUE"""),"")</f>
        <v/>
      </c>
      <c r="G1125" s="10" t="str">
        <f>IFERROR(__xludf.DUMMYFUNCTION("""COMPUTED_VALUE"""),"")</f>
        <v/>
      </c>
      <c r="H1125" s="10" t="str">
        <f>IFERROR(__xludf.DUMMYFUNCTION("""COMPUTED_VALUE"""),"")</f>
        <v/>
      </c>
      <c r="I1125" s="10" t="str">
        <f>IFERROR(__xludf.DUMMYFUNCTION("""COMPUTED_VALUE"""),"")</f>
        <v/>
      </c>
    </row>
    <row r="1126">
      <c r="A1126" s="10" t="str">
        <f>IFERROR(__xludf.DUMMYFUNCTION("""COMPUTED_VALUE"""),"")</f>
        <v/>
      </c>
      <c r="B1126" s="10" t="str">
        <f>IFERROR(__xludf.DUMMYFUNCTION("""COMPUTED_VALUE"""),"")</f>
        <v/>
      </c>
      <c r="C1126" s="10" t="str">
        <f>IFERROR(__xludf.DUMMYFUNCTION("""COMPUTED_VALUE"""),"")</f>
        <v/>
      </c>
      <c r="D1126" s="10" t="str">
        <f>IFERROR(__xludf.DUMMYFUNCTION("""COMPUTED_VALUE"""),"")</f>
        <v/>
      </c>
      <c r="E1126" s="10" t="str">
        <f>IFERROR(__xludf.DUMMYFUNCTION("""COMPUTED_VALUE"""),"")</f>
        <v/>
      </c>
      <c r="F1126" s="10" t="str">
        <f>IFERROR(__xludf.DUMMYFUNCTION("""COMPUTED_VALUE"""),"")</f>
        <v/>
      </c>
      <c r="G1126" s="10" t="str">
        <f>IFERROR(__xludf.DUMMYFUNCTION("""COMPUTED_VALUE"""),"")</f>
        <v/>
      </c>
      <c r="H1126" s="10" t="str">
        <f>IFERROR(__xludf.DUMMYFUNCTION("""COMPUTED_VALUE"""),"")</f>
        <v/>
      </c>
      <c r="I1126" s="10" t="str">
        <f>IFERROR(__xludf.DUMMYFUNCTION("""COMPUTED_VALUE"""),"")</f>
        <v/>
      </c>
    </row>
    <row r="1127">
      <c r="A1127" s="10" t="str">
        <f>IFERROR(__xludf.DUMMYFUNCTION("""COMPUTED_VALUE"""),"")</f>
        <v/>
      </c>
      <c r="B1127" s="10" t="str">
        <f>IFERROR(__xludf.DUMMYFUNCTION("""COMPUTED_VALUE"""),"")</f>
        <v/>
      </c>
      <c r="C1127" s="10" t="str">
        <f>IFERROR(__xludf.DUMMYFUNCTION("""COMPUTED_VALUE"""),"")</f>
        <v/>
      </c>
      <c r="D1127" s="10" t="str">
        <f>IFERROR(__xludf.DUMMYFUNCTION("""COMPUTED_VALUE"""),"")</f>
        <v/>
      </c>
      <c r="E1127" s="10" t="str">
        <f>IFERROR(__xludf.DUMMYFUNCTION("""COMPUTED_VALUE"""),"")</f>
        <v/>
      </c>
      <c r="F1127" s="10" t="str">
        <f>IFERROR(__xludf.DUMMYFUNCTION("""COMPUTED_VALUE"""),"")</f>
        <v/>
      </c>
      <c r="G1127" s="10" t="str">
        <f>IFERROR(__xludf.DUMMYFUNCTION("""COMPUTED_VALUE"""),"")</f>
        <v/>
      </c>
      <c r="H1127" s="10" t="str">
        <f>IFERROR(__xludf.DUMMYFUNCTION("""COMPUTED_VALUE"""),"")</f>
        <v/>
      </c>
      <c r="I1127" s="10" t="str">
        <f>IFERROR(__xludf.DUMMYFUNCTION("""COMPUTED_VALUE"""),"")</f>
        <v/>
      </c>
    </row>
    <row r="1128">
      <c r="A1128" s="10" t="str">
        <f>IFERROR(__xludf.DUMMYFUNCTION("""COMPUTED_VALUE"""),"")</f>
        <v/>
      </c>
      <c r="B1128" s="10" t="str">
        <f>IFERROR(__xludf.DUMMYFUNCTION("""COMPUTED_VALUE"""),"")</f>
        <v/>
      </c>
      <c r="C1128" s="10" t="str">
        <f>IFERROR(__xludf.DUMMYFUNCTION("""COMPUTED_VALUE"""),"")</f>
        <v/>
      </c>
      <c r="D1128" s="10" t="str">
        <f>IFERROR(__xludf.DUMMYFUNCTION("""COMPUTED_VALUE"""),"")</f>
        <v/>
      </c>
      <c r="E1128" s="10" t="str">
        <f>IFERROR(__xludf.DUMMYFUNCTION("""COMPUTED_VALUE"""),"")</f>
        <v/>
      </c>
      <c r="F1128" s="10" t="str">
        <f>IFERROR(__xludf.DUMMYFUNCTION("""COMPUTED_VALUE"""),"")</f>
        <v/>
      </c>
      <c r="G1128" s="10" t="str">
        <f>IFERROR(__xludf.DUMMYFUNCTION("""COMPUTED_VALUE"""),"")</f>
        <v/>
      </c>
      <c r="H1128" s="10" t="str">
        <f>IFERROR(__xludf.DUMMYFUNCTION("""COMPUTED_VALUE"""),"")</f>
        <v/>
      </c>
      <c r="I1128" s="10" t="str">
        <f>IFERROR(__xludf.DUMMYFUNCTION("""COMPUTED_VALUE"""),"")</f>
        <v/>
      </c>
    </row>
    <row r="1129">
      <c r="A1129" s="10" t="str">
        <f>IFERROR(__xludf.DUMMYFUNCTION("""COMPUTED_VALUE"""),"")</f>
        <v/>
      </c>
      <c r="B1129" s="10" t="str">
        <f>IFERROR(__xludf.DUMMYFUNCTION("""COMPUTED_VALUE"""),"")</f>
        <v/>
      </c>
      <c r="C1129" s="10" t="str">
        <f>IFERROR(__xludf.DUMMYFUNCTION("""COMPUTED_VALUE"""),"")</f>
        <v/>
      </c>
      <c r="D1129" s="10" t="str">
        <f>IFERROR(__xludf.DUMMYFUNCTION("""COMPUTED_VALUE"""),"")</f>
        <v/>
      </c>
      <c r="E1129" s="10" t="str">
        <f>IFERROR(__xludf.DUMMYFUNCTION("""COMPUTED_VALUE"""),"")</f>
        <v/>
      </c>
      <c r="F1129" s="10" t="str">
        <f>IFERROR(__xludf.DUMMYFUNCTION("""COMPUTED_VALUE"""),"")</f>
        <v/>
      </c>
      <c r="G1129" s="10" t="str">
        <f>IFERROR(__xludf.DUMMYFUNCTION("""COMPUTED_VALUE"""),"")</f>
        <v/>
      </c>
      <c r="H1129" s="10" t="str">
        <f>IFERROR(__xludf.DUMMYFUNCTION("""COMPUTED_VALUE"""),"")</f>
        <v/>
      </c>
      <c r="I1129" s="10" t="str">
        <f>IFERROR(__xludf.DUMMYFUNCTION("""COMPUTED_VALUE"""),"")</f>
        <v/>
      </c>
    </row>
    <row r="1130">
      <c r="A1130" s="10" t="str">
        <f>IFERROR(__xludf.DUMMYFUNCTION("""COMPUTED_VALUE"""),"")</f>
        <v/>
      </c>
      <c r="B1130" s="10" t="str">
        <f>IFERROR(__xludf.DUMMYFUNCTION("""COMPUTED_VALUE"""),"")</f>
        <v/>
      </c>
      <c r="C1130" s="10" t="str">
        <f>IFERROR(__xludf.DUMMYFUNCTION("""COMPUTED_VALUE"""),"")</f>
        <v/>
      </c>
      <c r="D1130" s="10" t="str">
        <f>IFERROR(__xludf.DUMMYFUNCTION("""COMPUTED_VALUE"""),"")</f>
        <v/>
      </c>
      <c r="E1130" s="10" t="str">
        <f>IFERROR(__xludf.DUMMYFUNCTION("""COMPUTED_VALUE"""),"")</f>
        <v/>
      </c>
      <c r="F1130" s="10" t="str">
        <f>IFERROR(__xludf.DUMMYFUNCTION("""COMPUTED_VALUE"""),"")</f>
        <v/>
      </c>
      <c r="G1130" s="10" t="str">
        <f>IFERROR(__xludf.DUMMYFUNCTION("""COMPUTED_VALUE"""),"")</f>
        <v/>
      </c>
      <c r="H1130" s="10" t="str">
        <f>IFERROR(__xludf.DUMMYFUNCTION("""COMPUTED_VALUE"""),"")</f>
        <v/>
      </c>
      <c r="I1130" s="10" t="str">
        <f>IFERROR(__xludf.DUMMYFUNCTION("""COMPUTED_VALUE"""),"")</f>
        <v/>
      </c>
    </row>
    <row r="1131">
      <c r="A1131" s="10" t="str">
        <f>IFERROR(__xludf.DUMMYFUNCTION("""COMPUTED_VALUE"""),"")</f>
        <v/>
      </c>
      <c r="B1131" s="10" t="str">
        <f>IFERROR(__xludf.DUMMYFUNCTION("""COMPUTED_VALUE"""),"")</f>
        <v/>
      </c>
      <c r="C1131" s="10" t="str">
        <f>IFERROR(__xludf.DUMMYFUNCTION("""COMPUTED_VALUE"""),"")</f>
        <v/>
      </c>
      <c r="D1131" s="10" t="str">
        <f>IFERROR(__xludf.DUMMYFUNCTION("""COMPUTED_VALUE"""),"")</f>
        <v/>
      </c>
      <c r="E1131" s="10" t="str">
        <f>IFERROR(__xludf.DUMMYFUNCTION("""COMPUTED_VALUE"""),"")</f>
        <v/>
      </c>
      <c r="F1131" s="10" t="str">
        <f>IFERROR(__xludf.DUMMYFUNCTION("""COMPUTED_VALUE"""),"")</f>
        <v/>
      </c>
      <c r="G1131" s="10" t="str">
        <f>IFERROR(__xludf.DUMMYFUNCTION("""COMPUTED_VALUE"""),"")</f>
        <v/>
      </c>
      <c r="H1131" s="10" t="str">
        <f>IFERROR(__xludf.DUMMYFUNCTION("""COMPUTED_VALUE"""),"")</f>
        <v/>
      </c>
      <c r="I1131" s="10" t="str">
        <f>IFERROR(__xludf.DUMMYFUNCTION("""COMPUTED_VALUE"""),"")</f>
        <v/>
      </c>
    </row>
    <row r="1132">
      <c r="A1132" s="10" t="str">
        <f>IFERROR(__xludf.DUMMYFUNCTION("""COMPUTED_VALUE"""),"")</f>
        <v/>
      </c>
      <c r="B1132" s="10" t="str">
        <f>IFERROR(__xludf.DUMMYFUNCTION("""COMPUTED_VALUE"""),"")</f>
        <v/>
      </c>
      <c r="C1132" s="10" t="str">
        <f>IFERROR(__xludf.DUMMYFUNCTION("""COMPUTED_VALUE"""),"")</f>
        <v/>
      </c>
      <c r="D1132" s="10" t="str">
        <f>IFERROR(__xludf.DUMMYFUNCTION("""COMPUTED_VALUE"""),"")</f>
        <v/>
      </c>
      <c r="E1132" s="10" t="str">
        <f>IFERROR(__xludf.DUMMYFUNCTION("""COMPUTED_VALUE"""),"")</f>
        <v/>
      </c>
      <c r="F1132" s="10" t="str">
        <f>IFERROR(__xludf.DUMMYFUNCTION("""COMPUTED_VALUE"""),"")</f>
        <v/>
      </c>
      <c r="G1132" s="10" t="str">
        <f>IFERROR(__xludf.DUMMYFUNCTION("""COMPUTED_VALUE"""),"")</f>
        <v/>
      </c>
      <c r="H1132" s="10" t="str">
        <f>IFERROR(__xludf.DUMMYFUNCTION("""COMPUTED_VALUE"""),"")</f>
        <v/>
      </c>
      <c r="I1132" s="10" t="str">
        <f>IFERROR(__xludf.DUMMYFUNCTION("""COMPUTED_VALUE"""),"")</f>
        <v/>
      </c>
    </row>
    <row r="1133">
      <c r="A1133" s="10" t="str">
        <f>IFERROR(__xludf.DUMMYFUNCTION("""COMPUTED_VALUE"""),"")</f>
        <v/>
      </c>
      <c r="B1133" s="10" t="str">
        <f>IFERROR(__xludf.DUMMYFUNCTION("""COMPUTED_VALUE"""),"")</f>
        <v/>
      </c>
      <c r="C1133" s="10" t="str">
        <f>IFERROR(__xludf.DUMMYFUNCTION("""COMPUTED_VALUE"""),"")</f>
        <v/>
      </c>
      <c r="D1133" s="10" t="str">
        <f>IFERROR(__xludf.DUMMYFUNCTION("""COMPUTED_VALUE"""),"")</f>
        <v/>
      </c>
      <c r="E1133" s="10" t="str">
        <f>IFERROR(__xludf.DUMMYFUNCTION("""COMPUTED_VALUE"""),"")</f>
        <v/>
      </c>
      <c r="F1133" s="10" t="str">
        <f>IFERROR(__xludf.DUMMYFUNCTION("""COMPUTED_VALUE"""),"")</f>
        <v/>
      </c>
      <c r="G1133" s="10" t="str">
        <f>IFERROR(__xludf.DUMMYFUNCTION("""COMPUTED_VALUE"""),"")</f>
        <v/>
      </c>
      <c r="H1133" s="10" t="str">
        <f>IFERROR(__xludf.DUMMYFUNCTION("""COMPUTED_VALUE"""),"")</f>
        <v/>
      </c>
      <c r="I1133" s="10" t="str">
        <f>IFERROR(__xludf.DUMMYFUNCTION("""COMPUTED_VALUE"""),"")</f>
        <v/>
      </c>
    </row>
    <row r="1134">
      <c r="A1134" s="10" t="str">
        <f>IFERROR(__xludf.DUMMYFUNCTION("""COMPUTED_VALUE"""),"")</f>
        <v/>
      </c>
      <c r="B1134" s="10" t="str">
        <f>IFERROR(__xludf.DUMMYFUNCTION("""COMPUTED_VALUE"""),"")</f>
        <v/>
      </c>
      <c r="C1134" s="10" t="str">
        <f>IFERROR(__xludf.DUMMYFUNCTION("""COMPUTED_VALUE"""),"")</f>
        <v/>
      </c>
      <c r="D1134" s="10" t="str">
        <f>IFERROR(__xludf.DUMMYFUNCTION("""COMPUTED_VALUE"""),"")</f>
        <v/>
      </c>
      <c r="E1134" s="10" t="str">
        <f>IFERROR(__xludf.DUMMYFUNCTION("""COMPUTED_VALUE"""),"")</f>
        <v/>
      </c>
      <c r="F1134" s="10" t="str">
        <f>IFERROR(__xludf.DUMMYFUNCTION("""COMPUTED_VALUE"""),"")</f>
        <v/>
      </c>
      <c r="G1134" s="10" t="str">
        <f>IFERROR(__xludf.DUMMYFUNCTION("""COMPUTED_VALUE"""),"")</f>
        <v/>
      </c>
      <c r="H1134" s="10" t="str">
        <f>IFERROR(__xludf.DUMMYFUNCTION("""COMPUTED_VALUE"""),"")</f>
        <v/>
      </c>
      <c r="I1134" s="10" t="str">
        <f>IFERROR(__xludf.DUMMYFUNCTION("""COMPUTED_VALUE"""),"")</f>
        <v/>
      </c>
    </row>
    <row r="1135">
      <c r="A1135" s="10" t="str">
        <f>IFERROR(__xludf.DUMMYFUNCTION("""COMPUTED_VALUE"""),"")</f>
        <v/>
      </c>
      <c r="B1135" s="10" t="str">
        <f>IFERROR(__xludf.DUMMYFUNCTION("""COMPUTED_VALUE"""),"")</f>
        <v/>
      </c>
      <c r="C1135" s="10" t="str">
        <f>IFERROR(__xludf.DUMMYFUNCTION("""COMPUTED_VALUE"""),"")</f>
        <v/>
      </c>
      <c r="D1135" s="10" t="str">
        <f>IFERROR(__xludf.DUMMYFUNCTION("""COMPUTED_VALUE"""),"")</f>
        <v/>
      </c>
      <c r="E1135" s="10" t="str">
        <f>IFERROR(__xludf.DUMMYFUNCTION("""COMPUTED_VALUE"""),"")</f>
        <v/>
      </c>
      <c r="F1135" s="10" t="str">
        <f>IFERROR(__xludf.DUMMYFUNCTION("""COMPUTED_VALUE"""),"")</f>
        <v/>
      </c>
      <c r="G1135" s="10" t="str">
        <f>IFERROR(__xludf.DUMMYFUNCTION("""COMPUTED_VALUE"""),"")</f>
        <v/>
      </c>
      <c r="H1135" s="10" t="str">
        <f>IFERROR(__xludf.DUMMYFUNCTION("""COMPUTED_VALUE"""),"")</f>
        <v/>
      </c>
      <c r="I1135" s="10" t="str">
        <f>IFERROR(__xludf.DUMMYFUNCTION("""COMPUTED_VALUE"""),"")</f>
        <v/>
      </c>
    </row>
    <row r="1136">
      <c r="A1136" s="10" t="str">
        <f>IFERROR(__xludf.DUMMYFUNCTION("""COMPUTED_VALUE"""),"")</f>
        <v/>
      </c>
      <c r="B1136" s="10" t="str">
        <f>IFERROR(__xludf.DUMMYFUNCTION("""COMPUTED_VALUE"""),"")</f>
        <v/>
      </c>
      <c r="C1136" s="10" t="str">
        <f>IFERROR(__xludf.DUMMYFUNCTION("""COMPUTED_VALUE"""),"")</f>
        <v/>
      </c>
      <c r="D1136" s="10" t="str">
        <f>IFERROR(__xludf.DUMMYFUNCTION("""COMPUTED_VALUE"""),"")</f>
        <v/>
      </c>
      <c r="E1136" s="10" t="str">
        <f>IFERROR(__xludf.DUMMYFUNCTION("""COMPUTED_VALUE"""),"")</f>
        <v/>
      </c>
      <c r="F1136" s="10" t="str">
        <f>IFERROR(__xludf.DUMMYFUNCTION("""COMPUTED_VALUE"""),"")</f>
        <v/>
      </c>
      <c r="G1136" s="10" t="str">
        <f>IFERROR(__xludf.DUMMYFUNCTION("""COMPUTED_VALUE"""),"")</f>
        <v/>
      </c>
      <c r="H1136" s="10" t="str">
        <f>IFERROR(__xludf.DUMMYFUNCTION("""COMPUTED_VALUE"""),"")</f>
        <v/>
      </c>
      <c r="I1136" s="10" t="str">
        <f>IFERROR(__xludf.DUMMYFUNCTION("""COMPUTED_VALUE"""),"")</f>
        <v/>
      </c>
    </row>
    <row r="1137">
      <c r="A1137" s="10" t="str">
        <f>IFERROR(__xludf.DUMMYFUNCTION("""COMPUTED_VALUE"""),"")</f>
        <v/>
      </c>
      <c r="B1137" s="10" t="str">
        <f>IFERROR(__xludf.DUMMYFUNCTION("""COMPUTED_VALUE"""),"")</f>
        <v/>
      </c>
      <c r="C1137" s="10" t="str">
        <f>IFERROR(__xludf.DUMMYFUNCTION("""COMPUTED_VALUE"""),"")</f>
        <v/>
      </c>
      <c r="D1137" s="10" t="str">
        <f>IFERROR(__xludf.DUMMYFUNCTION("""COMPUTED_VALUE"""),"")</f>
        <v/>
      </c>
      <c r="E1137" s="10" t="str">
        <f>IFERROR(__xludf.DUMMYFUNCTION("""COMPUTED_VALUE"""),"")</f>
        <v/>
      </c>
      <c r="F1137" s="10" t="str">
        <f>IFERROR(__xludf.DUMMYFUNCTION("""COMPUTED_VALUE"""),"")</f>
        <v/>
      </c>
      <c r="G1137" s="10" t="str">
        <f>IFERROR(__xludf.DUMMYFUNCTION("""COMPUTED_VALUE"""),"")</f>
        <v/>
      </c>
      <c r="H1137" s="10" t="str">
        <f>IFERROR(__xludf.DUMMYFUNCTION("""COMPUTED_VALUE"""),"")</f>
        <v/>
      </c>
      <c r="I1137" s="10" t="str">
        <f>IFERROR(__xludf.DUMMYFUNCTION("""COMPUTED_VALUE"""),"")</f>
        <v/>
      </c>
    </row>
    <row r="1138">
      <c r="A1138" s="10" t="str">
        <f>IFERROR(__xludf.DUMMYFUNCTION("""COMPUTED_VALUE"""),"")</f>
        <v/>
      </c>
      <c r="B1138" s="10" t="str">
        <f>IFERROR(__xludf.DUMMYFUNCTION("""COMPUTED_VALUE"""),"")</f>
        <v/>
      </c>
      <c r="C1138" s="10" t="str">
        <f>IFERROR(__xludf.DUMMYFUNCTION("""COMPUTED_VALUE"""),"")</f>
        <v/>
      </c>
      <c r="D1138" s="10" t="str">
        <f>IFERROR(__xludf.DUMMYFUNCTION("""COMPUTED_VALUE"""),"")</f>
        <v/>
      </c>
      <c r="E1138" s="10" t="str">
        <f>IFERROR(__xludf.DUMMYFUNCTION("""COMPUTED_VALUE"""),"")</f>
        <v/>
      </c>
      <c r="F1138" s="10" t="str">
        <f>IFERROR(__xludf.DUMMYFUNCTION("""COMPUTED_VALUE"""),"")</f>
        <v/>
      </c>
      <c r="G1138" s="10" t="str">
        <f>IFERROR(__xludf.DUMMYFUNCTION("""COMPUTED_VALUE"""),"")</f>
        <v/>
      </c>
      <c r="H1138" s="10" t="str">
        <f>IFERROR(__xludf.DUMMYFUNCTION("""COMPUTED_VALUE"""),"")</f>
        <v/>
      </c>
      <c r="I1138" s="10" t="str">
        <f>IFERROR(__xludf.DUMMYFUNCTION("""COMPUTED_VALUE"""),"")</f>
        <v/>
      </c>
    </row>
    <row r="1139">
      <c r="A1139" s="10" t="str">
        <f>IFERROR(__xludf.DUMMYFUNCTION("""COMPUTED_VALUE"""),"")</f>
        <v/>
      </c>
      <c r="B1139" s="10" t="str">
        <f>IFERROR(__xludf.DUMMYFUNCTION("""COMPUTED_VALUE"""),"")</f>
        <v/>
      </c>
      <c r="C1139" s="10" t="str">
        <f>IFERROR(__xludf.DUMMYFUNCTION("""COMPUTED_VALUE"""),"")</f>
        <v/>
      </c>
      <c r="D1139" s="10" t="str">
        <f>IFERROR(__xludf.DUMMYFUNCTION("""COMPUTED_VALUE"""),"")</f>
        <v/>
      </c>
      <c r="E1139" s="10" t="str">
        <f>IFERROR(__xludf.DUMMYFUNCTION("""COMPUTED_VALUE"""),"")</f>
        <v/>
      </c>
      <c r="F1139" s="10" t="str">
        <f>IFERROR(__xludf.DUMMYFUNCTION("""COMPUTED_VALUE"""),"")</f>
        <v/>
      </c>
      <c r="G1139" s="10" t="str">
        <f>IFERROR(__xludf.DUMMYFUNCTION("""COMPUTED_VALUE"""),"")</f>
        <v/>
      </c>
      <c r="H1139" s="10" t="str">
        <f>IFERROR(__xludf.DUMMYFUNCTION("""COMPUTED_VALUE"""),"")</f>
        <v/>
      </c>
      <c r="I1139" s="10" t="str">
        <f>IFERROR(__xludf.DUMMYFUNCTION("""COMPUTED_VALUE"""),"")</f>
        <v/>
      </c>
    </row>
    <row r="1140">
      <c r="A1140" s="10" t="str">
        <f>IFERROR(__xludf.DUMMYFUNCTION("""COMPUTED_VALUE"""),"")</f>
        <v/>
      </c>
      <c r="B1140" s="10" t="str">
        <f>IFERROR(__xludf.DUMMYFUNCTION("""COMPUTED_VALUE"""),"")</f>
        <v/>
      </c>
      <c r="C1140" s="10" t="str">
        <f>IFERROR(__xludf.DUMMYFUNCTION("""COMPUTED_VALUE"""),"")</f>
        <v/>
      </c>
      <c r="D1140" s="10" t="str">
        <f>IFERROR(__xludf.DUMMYFUNCTION("""COMPUTED_VALUE"""),"")</f>
        <v/>
      </c>
      <c r="E1140" s="10" t="str">
        <f>IFERROR(__xludf.DUMMYFUNCTION("""COMPUTED_VALUE"""),"")</f>
        <v/>
      </c>
      <c r="F1140" s="10" t="str">
        <f>IFERROR(__xludf.DUMMYFUNCTION("""COMPUTED_VALUE"""),"")</f>
        <v/>
      </c>
      <c r="G1140" s="10" t="str">
        <f>IFERROR(__xludf.DUMMYFUNCTION("""COMPUTED_VALUE"""),"")</f>
        <v/>
      </c>
      <c r="H1140" s="10" t="str">
        <f>IFERROR(__xludf.DUMMYFUNCTION("""COMPUTED_VALUE"""),"")</f>
        <v/>
      </c>
      <c r="I1140" s="10" t="str">
        <f>IFERROR(__xludf.DUMMYFUNCTION("""COMPUTED_VALUE"""),"")</f>
        <v/>
      </c>
    </row>
    <row r="1141">
      <c r="A1141" s="10" t="str">
        <f>IFERROR(__xludf.DUMMYFUNCTION("""COMPUTED_VALUE"""),"")</f>
        <v/>
      </c>
      <c r="B1141" s="10" t="str">
        <f>IFERROR(__xludf.DUMMYFUNCTION("""COMPUTED_VALUE"""),"")</f>
        <v/>
      </c>
      <c r="C1141" s="10" t="str">
        <f>IFERROR(__xludf.DUMMYFUNCTION("""COMPUTED_VALUE"""),"")</f>
        <v/>
      </c>
      <c r="D1141" s="10" t="str">
        <f>IFERROR(__xludf.DUMMYFUNCTION("""COMPUTED_VALUE"""),"")</f>
        <v/>
      </c>
      <c r="E1141" s="10" t="str">
        <f>IFERROR(__xludf.DUMMYFUNCTION("""COMPUTED_VALUE"""),"")</f>
        <v/>
      </c>
      <c r="F1141" s="10" t="str">
        <f>IFERROR(__xludf.DUMMYFUNCTION("""COMPUTED_VALUE"""),"")</f>
        <v/>
      </c>
      <c r="G1141" s="10" t="str">
        <f>IFERROR(__xludf.DUMMYFUNCTION("""COMPUTED_VALUE"""),"")</f>
        <v/>
      </c>
      <c r="H1141" s="10" t="str">
        <f>IFERROR(__xludf.DUMMYFUNCTION("""COMPUTED_VALUE"""),"")</f>
        <v/>
      </c>
      <c r="I1141" s="10" t="str">
        <f>IFERROR(__xludf.DUMMYFUNCTION("""COMPUTED_VALUE"""),"")</f>
        <v/>
      </c>
    </row>
    <row r="1142">
      <c r="A1142" s="10" t="str">
        <f>IFERROR(__xludf.DUMMYFUNCTION("""COMPUTED_VALUE"""),"")</f>
        <v/>
      </c>
      <c r="B1142" s="10" t="str">
        <f>IFERROR(__xludf.DUMMYFUNCTION("""COMPUTED_VALUE"""),"")</f>
        <v/>
      </c>
      <c r="C1142" s="10" t="str">
        <f>IFERROR(__xludf.DUMMYFUNCTION("""COMPUTED_VALUE"""),"")</f>
        <v/>
      </c>
      <c r="D1142" s="10" t="str">
        <f>IFERROR(__xludf.DUMMYFUNCTION("""COMPUTED_VALUE"""),"")</f>
        <v/>
      </c>
      <c r="E1142" s="10" t="str">
        <f>IFERROR(__xludf.DUMMYFUNCTION("""COMPUTED_VALUE"""),"")</f>
        <v/>
      </c>
      <c r="F1142" s="10" t="str">
        <f>IFERROR(__xludf.DUMMYFUNCTION("""COMPUTED_VALUE"""),"")</f>
        <v/>
      </c>
      <c r="G1142" s="10" t="str">
        <f>IFERROR(__xludf.DUMMYFUNCTION("""COMPUTED_VALUE"""),"")</f>
        <v/>
      </c>
      <c r="H1142" s="10" t="str">
        <f>IFERROR(__xludf.DUMMYFUNCTION("""COMPUTED_VALUE"""),"")</f>
        <v/>
      </c>
      <c r="I1142" s="10" t="str">
        <f>IFERROR(__xludf.DUMMYFUNCTION("""COMPUTED_VALUE"""),"")</f>
        <v/>
      </c>
    </row>
    <row r="1143">
      <c r="A1143" s="10" t="str">
        <f>IFERROR(__xludf.DUMMYFUNCTION("""COMPUTED_VALUE"""),"")</f>
        <v/>
      </c>
      <c r="B1143" s="10" t="str">
        <f>IFERROR(__xludf.DUMMYFUNCTION("""COMPUTED_VALUE"""),"")</f>
        <v/>
      </c>
      <c r="C1143" s="10" t="str">
        <f>IFERROR(__xludf.DUMMYFUNCTION("""COMPUTED_VALUE"""),"")</f>
        <v/>
      </c>
      <c r="D1143" s="10" t="str">
        <f>IFERROR(__xludf.DUMMYFUNCTION("""COMPUTED_VALUE"""),"")</f>
        <v/>
      </c>
      <c r="E1143" s="10" t="str">
        <f>IFERROR(__xludf.DUMMYFUNCTION("""COMPUTED_VALUE"""),"")</f>
        <v/>
      </c>
      <c r="F1143" s="10" t="str">
        <f>IFERROR(__xludf.DUMMYFUNCTION("""COMPUTED_VALUE"""),"")</f>
        <v/>
      </c>
      <c r="G1143" s="10" t="str">
        <f>IFERROR(__xludf.DUMMYFUNCTION("""COMPUTED_VALUE"""),"")</f>
        <v/>
      </c>
      <c r="H1143" s="10" t="str">
        <f>IFERROR(__xludf.DUMMYFUNCTION("""COMPUTED_VALUE"""),"")</f>
        <v/>
      </c>
      <c r="I1143" s="10" t="str">
        <f>IFERROR(__xludf.DUMMYFUNCTION("""COMPUTED_VALUE"""),"")</f>
        <v/>
      </c>
    </row>
    <row r="1144">
      <c r="A1144" s="10" t="str">
        <f>IFERROR(__xludf.DUMMYFUNCTION("""COMPUTED_VALUE"""),"")</f>
        <v/>
      </c>
      <c r="B1144" s="10" t="str">
        <f>IFERROR(__xludf.DUMMYFUNCTION("""COMPUTED_VALUE"""),"")</f>
        <v/>
      </c>
      <c r="C1144" s="10" t="str">
        <f>IFERROR(__xludf.DUMMYFUNCTION("""COMPUTED_VALUE"""),"")</f>
        <v/>
      </c>
      <c r="D1144" s="10" t="str">
        <f>IFERROR(__xludf.DUMMYFUNCTION("""COMPUTED_VALUE"""),"")</f>
        <v/>
      </c>
      <c r="E1144" s="10" t="str">
        <f>IFERROR(__xludf.DUMMYFUNCTION("""COMPUTED_VALUE"""),"")</f>
        <v/>
      </c>
      <c r="F1144" s="10" t="str">
        <f>IFERROR(__xludf.DUMMYFUNCTION("""COMPUTED_VALUE"""),"")</f>
        <v/>
      </c>
      <c r="G1144" s="10" t="str">
        <f>IFERROR(__xludf.DUMMYFUNCTION("""COMPUTED_VALUE"""),"")</f>
        <v/>
      </c>
      <c r="H1144" s="10" t="str">
        <f>IFERROR(__xludf.DUMMYFUNCTION("""COMPUTED_VALUE"""),"")</f>
        <v/>
      </c>
      <c r="I1144" s="10" t="str">
        <f>IFERROR(__xludf.DUMMYFUNCTION("""COMPUTED_VALUE"""),"")</f>
        <v/>
      </c>
    </row>
    <row r="1145">
      <c r="A1145" s="10" t="str">
        <f>IFERROR(__xludf.DUMMYFUNCTION("""COMPUTED_VALUE"""),"")</f>
        <v/>
      </c>
      <c r="B1145" s="10" t="str">
        <f>IFERROR(__xludf.DUMMYFUNCTION("""COMPUTED_VALUE"""),"")</f>
        <v/>
      </c>
      <c r="C1145" s="10" t="str">
        <f>IFERROR(__xludf.DUMMYFUNCTION("""COMPUTED_VALUE"""),"")</f>
        <v/>
      </c>
      <c r="D1145" s="10" t="str">
        <f>IFERROR(__xludf.DUMMYFUNCTION("""COMPUTED_VALUE"""),"")</f>
        <v/>
      </c>
      <c r="E1145" s="10" t="str">
        <f>IFERROR(__xludf.DUMMYFUNCTION("""COMPUTED_VALUE"""),"")</f>
        <v/>
      </c>
      <c r="F1145" s="10" t="str">
        <f>IFERROR(__xludf.DUMMYFUNCTION("""COMPUTED_VALUE"""),"")</f>
        <v/>
      </c>
      <c r="G1145" s="10" t="str">
        <f>IFERROR(__xludf.DUMMYFUNCTION("""COMPUTED_VALUE"""),"")</f>
        <v/>
      </c>
      <c r="H1145" s="10" t="str">
        <f>IFERROR(__xludf.DUMMYFUNCTION("""COMPUTED_VALUE"""),"")</f>
        <v/>
      </c>
      <c r="I1145" s="10" t="str">
        <f>IFERROR(__xludf.DUMMYFUNCTION("""COMPUTED_VALUE"""),"")</f>
        <v/>
      </c>
    </row>
    <row r="1146">
      <c r="A1146" s="10" t="str">
        <f>IFERROR(__xludf.DUMMYFUNCTION("""COMPUTED_VALUE"""),"")</f>
        <v/>
      </c>
      <c r="B1146" s="10" t="str">
        <f>IFERROR(__xludf.DUMMYFUNCTION("""COMPUTED_VALUE"""),"")</f>
        <v/>
      </c>
      <c r="C1146" s="10" t="str">
        <f>IFERROR(__xludf.DUMMYFUNCTION("""COMPUTED_VALUE"""),"")</f>
        <v/>
      </c>
      <c r="D1146" s="10" t="str">
        <f>IFERROR(__xludf.DUMMYFUNCTION("""COMPUTED_VALUE"""),"")</f>
        <v/>
      </c>
      <c r="E1146" s="10" t="str">
        <f>IFERROR(__xludf.DUMMYFUNCTION("""COMPUTED_VALUE"""),"")</f>
        <v/>
      </c>
      <c r="F1146" s="10" t="str">
        <f>IFERROR(__xludf.DUMMYFUNCTION("""COMPUTED_VALUE"""),"")</f>
        <v/>
      </c>
      <c r="G1146" s="10" t="str">
        <f>IFERROR(__xludf.DUMMYFUNCTION("""COMPUTED_VALUE"""),"")</f>
        <v/>
      </c>
      <c r="H1146" s="10" t="str">
        <f>IFERROR(__xludf.DUMMYFUNCTION("""COMPUTED_VALUE"""),"")</f>
        <v/>
      </c>
      <c r="I1146" s="10" t="str">
        <f>IFERROR(__xludf.DUMMYFUNCTION("""COMPUTED_VALUE"""),"")</f>
        <v/>
      </c>
    </row>
    <row r="1147">
      <c r="A1147" s="10" t="str">
        <f>IFERROR(__xludf.DUMMYFUNCTION("""COMPUTED_VALUE"""),"")</f>
        <v/>
      </c>
      <c r="B1147" s="10" t="str">
        <f>IFERROR(__xludf.DUMMYFUNCTION("""COMPUTED_VALUE"""),"")</f>
        <v/>
      </c>
      <c r="C1147" s="10" t="str">
        <f>IFERROR(__xludf.DUMMYFUNCTION("""COMPUTED_VALUE"""),"")</f>
        <v/>
      </c>
      <c r="D1147" s="10" t="str">
        <f>IFERROR(__xludf.DUMMYFUNCTION("""COMPUTED_VALUE"""),"")</f>
        <v/>
      </c>
      <c r="E1147" s="10" t="str">
        <f>IFERROR(__xludf.DUMMYFUNCTION("""COMPUTED_VALUE"""),"")</f>
        <v/>
      </c>
      <c r="F1147" s="10" t="str">
        <f>IFERROR(__xludf.DUMMYFUNCTION("""COMPUTED_VALUE"""),"")</f>
        <v/>
      </c>
      <c r="G1147" s="10" t="str">
        <f>IFERROR(__xludf.DUMMYFUNCTION("""COMPUTED_VALUE"""),"")</f>
        <v/>
      </c>
      <c r="H1147" s="10" t="str">
        <f>IFERROR(__xludf.DUMMYFUNCTION("""COMPUTED_VALUE"""),"")</f>
        <v/>
      </c>
      <c r="I1147" s="10" t="str">
        <f>IFERROR(__xludf.DUMMYFUNCTION("""COMPUTED_VALUE"""),"")</f>
        <v/>
      </c>
    </row>
    <row r="1148">
      <c r="A1148" s="10" t="str">
        <f>IFERROR(__xludf.DUMMYFUNCTION("""COMPUTED_VALUE"""),"")</f>
        <v/>
      </c>
      <c r="B1148" s="10" t="str">
        <f>IFERROR(__xludf.DUMMYFUNCTION("""COMPUTED_VALUE"""),"")</f>
        <v/>
      </c>
      <c r="C1148" s="10" t="str">
        <f>IFERROR(__xludf.DUMMYFUNCTION("""COMPUTED_VALUE"""),"")</f>
        <v/>
      </c>
      <c r="D1148" s="10" t="str">
        <f>IFERROR(__xludf.DUMMYFUNCTION("""COMPUTED_VALUE"""),"")</f>
        <v/>
      </c>
      <c r="E1148" s="10" t="str">
        <f>IFERROR(__xludf.DUMMYFUNCTION("""COMPUTED_VALUE"""),"")</f>
        <v/>
      </c>
      <c r="F1148" s="10" t="str">
        <f>IFERROR(__xludf.DUMMYFUNCTION("""COMPUTED_VALUE"""),"")</f>
        <v/>
      </c>
      <c r="G1148" s="10" t="str">
        <f>IFERROR(__xludf.DUMMYFUNCTION("""COMPUTED_VALUE"""),"")</f>
        <v/>
      </c>
      <c r="H1148" s="10" t="str">
        <f>IFERROR(__xludf.DUMMYFUNCTION("""COMPUTED_VALUE"""),"")</f>
        <v/>
      </c>
      <c r="I1148" s="10" t="str">
        <f>IFERROR(__xludf.DUMMYFUNCTION("""COMPUTED_VALUE"""),"")</f>
        <v/>
      </c>
    </row>
    <row r="1149">
      <c r="A1149" s="10" t="str">
        <f>IFERROR(__xludf.DUMMYFUNCTION("""COMPUTED_VALUE"""),"")</f>
        <v/>
      </c>
      <c r="B1149" s="10" t="str">
        <f>IFERROR(__xludf.DUMMYFUNCTION("""COMPUTED_VALUE"""),"")</f>
        <v/>
      </c>
      <c r="C1149" s="10" t="str">
        <f>IFERROR(__xludf.DUMMYFUNCTION("""COMPUTED_VALUE"""),"")</f>
        <v/>
      </c>
      <c r="D1149" s="10" t="str">
        <f>IFERROR(__xludf.DUMMYFUNCTION("""COMPUTED_VALUE"""),"")</f>
        <v/>
      </c>
      <c r="E1149" s="10" t="str">
        <f>IFERROR(__xludf.DUMMYFUNCTION("""COMPUTED_VALUE"""),"")</f>
        <v/>
      </c>
      <c r="F1149" s="10" t="str">
        <f>IFERROR(__xludf.DUMMYFUNCTION("""COMPUTED_VALUE"""),"")</f>
        <v/>
      </c>
      <c r="G1149" s="10" t="str">
        <f>IFERROR(__xludf.DUMMYFUNCTION("""COMPUTED_VALUE"""),"")</f>
        <v/>
      </c>
      <c r="H1149" s="10" t="str">
        <f>IFERROR(__xludf.DUMMYFUNCTION("""COMPUTED_VALUE"""),"")</f>
        <v/>
      </c>
      <c r="I1149" s="10" t="str">
        <f>IFERROR(__xludf.DUMMYFUNCTION("""COMPUTED_VALUE"""),"")</f>
        <v/>
      </c>
    </row>
    <row r="1150">
      <c r="A1150" s="10" t="str">
        <f>IFERROR(__xludf.DUMMYFUNCTION("""COMPUTED_VALUE"""),"")</f>
        <v/>
      </c>
      <c r="B1150" s="10" t="str">
        <f>IFERROR(__xludf.DUMMYFUNCTION("""COMPUTED_VALUE"""),"")</f>
        <v/>
      </c>
      <c r="C1150" s="10" t="str">
        <f>IFERROR(__xludf.DUMMYFUNCTION("""COMPUTED_VALUE"""),"")</f>
        <v/>
      </c>
      <c r="D1150" s="10" t="str">
        <f>IFERROR(__xludf.DUMMYFUNCTION("""COMPUTED_VALUE"""),"")</f>
        <v/>
      </c>
      <c r="E1150" s="10" t="str">
        <f>IFERROR(__xludf.DUMMYFUNCTION("""COMPUTED_VALUE"""),"")</f>
        <v/>
      </c>
      <c r="F1150" s="10" t="str">
        <f>IFERROR(__xludf.DUMMYFUNCTION("""COMPUTED_VALUE"""),"")</f>
        <v/>
      </c>
      <c r="G1150" s="10" t="str">
        <f>IFERROR(__xludf.DUMMYFUNCTION("""COMPUTED_VALUE"""),"")</f>
        <v/>
      </c>
      <c r="H1150" s="10" t="str">
        <f>IFERROR(__xludf.DUMMYFUNCTION("""COMPUTED_VALUE"""),"")</f>
        <v/>
      </c>
      <c r="I1150" s="10" t="str">
        <f>IFERROR(__xludf.DUMMYFUNCTION("""COMPUTED_VALUE"""),"")</f>
        <v/>
      </c>
    </row>
    <row r="1151">
      <c r="A1151" s="10" t="str">
        <f>IFERROR(__xludf.DUMMYFUNCTION("""COMPUTED_VALUE"""),"")</f>
        <v/>
      </c>
      <c r="B1151" s="10" t="str">
        <f>IFERROR(__xludf.DUMMYFUNCTION("""COMPUTED_VALUE"""),"")</f>
        <v/>
      </c>
      <c r="C1151" s="10" t="str">
        <f>IFERROR(__xludf.DUMMYFUNCTION("""COMPUTED_VALUE"""),"")</f>
        <v/>
      </c>
      <c r="D1151" s="10" t="str">
        <f>IFERROR(__xludf.DUMMYFUNCTION("""COMPUTED_VALUE"""),"")</f>
        <v/>
      </c>
      <c r="E1151" s="10" t="str">
        <f>IFERROR(__xludf.DUMMYFUNCTION("""COMPUTED_VALUE"""),"")</f>
        <v/>
      </c>
      <c r="F1151" s="10" t="str">
        <f>IFERROR(__xludf.DUMMYFUNCTION("""COMPUTED_VALUE"""),"")</f>
        <v/>
      </c>
      <c r="G1151" s="10" t="str">
        <f>IFERROR(__xludf.DUMMYFUNCTION("""COMPUTED_VALUE"""),"")</f>
        <v/>
      </c>
      <c r="H1151" s="10" t="str">
        <f>IFERROR(__xludf.DUMMYFUNCTION("""COMPUTED_VALUE"""),"")</f>
        <v/>
      </c>
      <c r="I1151" s="10" t="str">
        <f>IFERROR(__xludf.DUMMYFUNCTION("""COMPUTED_VALUE"""),"")</f>
        <v/>
      </c>
    </row>
    <row r="1152">
      <c r="A1152" s="10" t="str">
        <f>IFERROR(__xludf.DUMMYFUNCTION("""COMPUTED_VALUE"""),"")</f>
        <v/>
      </c>
      <c r="B1152" s="10" t="str">
        <f>IFERROR(__xludf.DUMMYFUNCTION("""COMPUTED_VALUE"""),"")</f>
        <v/>
      </c>
      <c r="C1152" s="10" t="str">
        <f>IFERROR(__xludf.DUMMYFUNCTION("""COMPUTED_VALUE"""),"")</f>
        <v/>
      </c>
      <c r="D1152" s="10" t="str">
        <f>IFERROR(__xludf.DUMMYFUNCTION("""COMPUTED_VALUE"""),"")</f>
        <v/>
      </c>
      <c r="E1152" s="10" t="str">
        <f>IFERROR(__xludf.DUMMYFUNCTION("""COMPUTED_VALUE"""),"")</f>
        <v/>
      </c>
      <c r="F1152" s="10" t="str">
        <f>IFERROR(__xludf.DUMMYFUNCTION("""COMPUTED_VALUE"""),"")</f>
        <v/>
      </c>
      <c r="G1152" s="10" t="str">
        <f>IFERROR(__xludf.DUMMYFUNCTION("""COMPUTED_VALUE"""),"")</f>
        <v/>
      </c>
      <c r="H1152" s="10" t="str">
        <f>IFERROR(__xludf.DUMMYFUNCTION("""COMPUTED_VALUE"""),"")</f>
        <v/>
      </c>
      <c r="I1152" s="10" t="str">
        <f>IFERROR(__xludf.DUMMYFUNCTION("""COMPUTED_VALUE"""),"")</f>
        <v/>
      </c>
    </row>
    <row r="1153">
      <c r="A1153" s="10" t="str">
        <f>IFERROR(__xludf.DUMMYFUNCTION("""COMPUTED_VALUE"""),"")</f>
        <v/>
      </c>
      <c r="B1153" s="10" t="str">
        <f>IFERROR(__xludf.DUMMYFUNCTION("""COMPUTED_VALUE"""),"")</f>
        <v/>
      </c>
      <c r="C1153" s="10" t="str">
        <f>IFERROR(__xludf.DUMMYFUNCTION("""COMPUTED_VALUE"""),"")</f>
        <v/>
      </c>
      <c r="D1153" s="10" t="str">
        <f>IFERROR(__xludf.DUMMYFUNCTION("""COMPUTED_VALUE"""),"")</f>
        <v/>
      </c>
      <c r="E1153" s="10" t="str">
        <f>IFERROR(__xludf.DUMMYFUNCTION("""COMPUTED_VALUE"""),"")</f>
        <v/>
      </c>
      <c r="F1153" s="10" t="str">
        <f>IFERROR(__xludf.DUMMYFUNCTION("""COMPUTED_VALUE"""),"")</f>
        <v/>
      </c>
      <c r="G1153" s="10" t="str">
        <f>IFERROR(__xludf.DUMMYFUNCTION("""COMPUTED_VALUE"""),"")</f>
        <v/>
      </c>
      <c r="H1153" s="10" t="str">
        <f>IFERROR(__xludf.DUMMYFUNCTION("""COMPUTED_VALUE"""),"")</f>
        <v/>
      </c>
      <c r="I1153" s="10" t="str">
        <f>IFERROR(__xludf.DUMMYFUNCTION("""COMPUTED_VALUE"""),"")</f>
        <v/>
      </c>
    </row>
    <row r="1154">
      <c r="A1154" s="10" t="str">
        <f>IFERROR(__xludf.DUMMYFUNCTION("""COMPUTED_VALUE"""),"")</f>
        <v/>
      </c>
      <c r="B1154" s="10" t="str">
        <f>IFERROR(__xludf.DUMMYFUNCTION("""COMPUTED_VALUE"""),"")</f>
        <v/>
      </c>
      <c r="C1154" s="10" t="str">
        <f>IFERROR(__xludf.DUMMYFUNCTION("""COMPUTED_VALUE"""),"")</f>
        <v/>
      </c>
      <c r="D1154" s="10" t="str">
        <f>IFERROR(__xludf.DUMMYFUNCTION("""COMPUTED_VALUE"""),"")</f>
        <v/>
      </c>
      <c r="E1154" s="10" t="str">
        <f>IFERROR(__xludf.DUMMYFUNCTION("""COMPUTED_VALUE"""),"")</f>
        <v/>
      </c>
      <c r="F1154" s="10" t="str">
        <f>IFERROR(__xludf.DUMMYFUNCTION("""COMPUTED_VALUE"""),"")</f>
        <v/>
      </c>
      <c r="G1154" s="10" t="str">
        <f>IFERROR(__xludf.DUMMYFUNCTION("""COMPUTED_VALUE"""),"")</f>
        <v/>
      </c>
      <c r="H1154" s="10" t="str">
        <f>IFERROR(__xludf.DUMMYFUNCTION("""COMPUTED_VALUE"""),"")</f>
        <v/>
      </c>
      <c r="I1154" s="10" t="str">
        <f>IFERROR(__xludf.DUMMYFUNCTION("""COMPUTED_VALUE"""),"")</f>
        <v/>
      </c>
    </row>
    <row r="1155">
      <c r="A1155" s="10" t="str">
        <f>IFERROR(__xludf.DUMMYFUNCTION("""COMPUTED_VALUE"""),"")</f>
        <v/>
      </c>
      <c r="B1155" s="10" t="str">
        <f>IFERROR(__xludf.DUMMYFUNCTION("""COMPUTED_VALUE"""),"")</f>
        <v/>
      </c>
      <c r="C1155" s="10" t="str">
        <f>IFERROR(__xludf.DUMMYFUNCTION("""COMPUTED_VALUE"""),"")</f>
        <v/>
      </c>
      <c r="D1155" s="10" t="str">
        <f>IFERROR(__xludf.DUMMYFUNCTION("""COMPUTED_VALUE"""),"")</f>
        <v/>
      </c>
      <c r="E1155" s="10" t="str">
        <f>IFERROR(__xludf.DUMMYFUNCTION("""COMPUTED_VALUE"""),"")</f>
        <v/>
      </c>
      <c r="F1155" s="10" t="str">
        <f>IFERROR(__xludf.DUMMYFUNCTION("""COMPUTED_VALUE"""),"")</f>
        <v/>
      </c>
      <c r="G1155" s="10" t="str">
        <f>IFERROR(__xludf.DUMMYFUNCTION("""COMPUTED_VALUE"""),"")</f>
        <v/>
      </c>
      <c r="H1155" s="10" t="str">
        <f>IFERROR(__xludf.DUMMYFUNCTION("""COMPUTED_VALUE"""),"")</f>
        <v/>
      </c>
      <c r="I1155" s="10" t="str">
        <f>IFERROR(__xludf.DUMMYFUNCTION("""COMPUTED_VALUE"""),"")</f>
        <v/>
      </c>
    </row>
    <row r="1156">
      <c r="A1156" s="10" t="str">
        <f>IFERROR(__xludf.DUMMYFUNCTION("""COMPUTED_VALUE"""),"")</f>
        <v/>
      </c>
      <c r="B1156" s="10" t="str">
        <f>IFERROR(__xludf.DUMMYFUNCTION("""COMPUTED_VALUE"""),"")</f>
        <v/>
      </c>
      <c r="C1156" s="10" t="str">
        <f>IFERROR(__xludf.DUMMYFUNCTION("""COMPUTED_VALUE"""),"")</f>
        <v/>
      </c>
      <c r="D1156" s="10" t="str">
        <f>IFERROR(__xludf.DUMMYFUNCTION("""COMPUTED_VALUE"""),"")</f>
        <v/>
      </c>
      <c r="E1156" s="10" t="str">
        <f>IFERROR(__xludf.DUMMYFUNCTION("""COMPUTED_VALUE"""),"")</f>
        <v/>
      </c>
      <c r="F1156" s="10" t="str">
        <f>IFERROR(__xludf.DUMMYFUNCTION("""COMPUTED_VALUE"""),"")</f>
        <v/>
      </c>
      <c r="G1156" s="10" t="str">
        <f>IFERROR(__xludf.DUMMYFUNCTION("""COMPUTED_VALUE"""),"")</f>
        <v/>
      </c>
      <c r="H1156" s="10" t="str">
        <f>IFERROR(__xludf.DUMMYFUNCTION("""COMPUTED_VALUE"""),"")</f>
        <v/>
      </c>
      <c r="I1156" s="10" t="str">
        <f>IFERROR(__xludf.DUMMYFUNCTION("""COMPUTED_VALUE"""),"")</f>
        <v/>
      </c>
    </row>
    <row r="1157">
      <c r="A1157" s="10" t="str">
        <f>IFERROR(__xludf.DUMMYFUNCTION("""COMPUTED_VALUE"""),"")</f>
        <v/>
      </c>
      <c r="B1157" s="10" t="str">
        <f>IFERROR(__xludf.DUMMYFUNCTION("""COMPUTED_VALUE"""),"")</f>
        <v/>
      </c>
      <c r="C1157" s="10" t="str">
        <f>IFERROR(__xludf.DUMMYFUNCTION("""COMPUTED_VALUE"""),"")</f>
        <v/>
      </c>
      <c r="D1157" s="10" t="str">
        <f>IFERROR(__xludf.DUMMYFUNCTION("""COMPUTED_VALUE"""),"")</f>
        <v/>
      </c>
      <c r="E1157" s="10" t="str">
        <f>IFERROR(__xludf.DUMMYFUNCTION("""COMPUTED_VALUE"""),"")</f>
        <v/>
      </c>
      <c r="F1157" s="10" t="str">
        <f>IFERROR(__xludf.DUMMYFUNCTION("""COMPUTED_VALUE"""),"")</f>
        <v/>
      </c>
      <c r="G1157" s="10" t="str">
        <f>IFERROR(__xludf.DUMMYFUNCTION("""COMPUTED_VALUE"""),"")</f>
        <v/>
      </c>
      <c r="H1157" s="10" t="str">
        <f>IFERROR(__xludf.DUMMYFUNCTION("""COMPUTED_VALUE"""),"")</f>
        <v/>
      </c>
      <c r="I1157" s="10" t="str">
        <f>IFERROR(__xludf.DUMMYFUNCTION("""COMPUTED_VALUE"""),"")</f>
        <v/>
      </c>
    </row>
    <row r="1158">
      <c r="A1158" s="10" t="str">
        <f>IFERROR(__xludf.DUMMYFUNCTION("""COMPUTED_VALUE"""),"")</f>
        <v/>
      </c>
      <c r="B1158" s="10" t="str">
        <f>IFERROR(__xludf.DUMMYFUNCTION("""COMPUTED_VALUE"""),"")</f>
        <v/>
      </c>
      <c r="C1158" s="10" t="str">
        <f>IFERROR(__xludf.DUMMYFUNCTION("""COMPUTED_VALUE"""),"")</f>
        <v/>
      </c>
      <c r="D1158" s="10" t="str">
        <f>IFERROR(__xludf.DUMMYFUNCTION("""COMPUTED_VALUE"""),"")</f>
        <v/>
      </c>
      <c r="E1158" s="10" t="str">
        <f>IFERROR(__xludf.DUMMYFUNCTION("""COMPUTED_VALUE"""),"")</f>
        <v/>
      </c>
      <c r="F1158" s="10" t="str">
        <f>IFERROR(__xludf.DUMMYFUNCTION("""COMPUTED_VALUE"""),"")</f>
        <v/>
      </c>
      <c r="G1158" s="10" t="str">
        <f>IFERROR(__xludf.DUMMYFUNCTION("""COMPUTED_VALUE"""),"")</f>
        <v/>
      </c>
      <c r="H1158" s="10" t="str">
        <f>IFERROR(__xludf.DUMMYFUNCTION("""COMPUTED_VALUE"""),"")</f>
        <v/>
      </c>
      <c r="I1158" s="10" t="str">
        <f>IFERROR(__xludf.DUMMYFUNCTION("""COMPUTED_VALUE"""),"")</f>
        <v/>
      </c>
    </row>
    <row r="1159">
      <c r="A1159" s="10" t="str">
        <f>IFERROR(__xludf.DUMMYFUNCTION("""COMPUTED_VALUE"""),"")</f>
        <v/>
      </c>
      <c r="B1159" s="10" t="str">
        <f>IFERROR(__xludf.DUMMYFUNCTION("""COMPUTED_VALUE"""),"")</f>
        <v/>
      </c>
      <c r="C1159" s="10" t="str">
        <f>IFERROR(__xludf.DUMMYFUNCTION("""COMPUTED_VALUE"""),"")</f>
        <v/>
      </c>
      <c r="D1159" s="10" t="str">
        <f>IFERROR(__xludf.DUMMYFUNCTION("""COMPUTED_VALUE"""),"")</f>
        <v/>
      </c>
      <c r="E1159" s="10" t="str">
        <f>IFERROR(__xludf.DUMMYFUNCTION("""COMPUTED_VALUE"""),"")</f>
        <v/>
      </c>
      <c r="F1159" s="10" t="str">
        <f>IFERROR(__xludf.DUMMYFUNCTION("""COMPUTED_VALUE"""),"")</f>
        <v/>
      </c>
      <c r="G1159" s="10" t="str">
        <f>IFERROR(__xludf.DUMMYFUNCTION("""COMPUTED_VALUE"""),"")</f>
        <v/>
      </c>
      <c r="H1159" s="10" t="str">
        <f>IFERROR(__xludf.DUMMYFUNCTION("""COMPUTED_VALUE"""),"")</f>
        <v/>
      </c>
      <c r="I1159" s="10" t="str">
        <f>IFERROR(__xludf.DUMMYFUNCTION("""COMPUTED_VALUE"""),"")</f>
        <v/>
      </c>
    </row>
    <row r="1160">
      <c r="A1160" s="10" t="str">
        <f>IFERROR(__xludf.DUMMYFUNCTION("""COMPUTED_VALUE"""),"")</f>
        <v/>
      </c>
      <c r="B1160" s="10" t="str">
        <f>IFERROR(__xludf.DUMMYFUNCTION("""COMPUTED_VALUE"""),"")</f>
        <v/>
      </c>
      <c r="C1160" s="10" t="str">
        <f>IFERROR(__xludf.DUMMYFUNCTION("""COMPUTED_VALUE"""),"")</f>
        <v/>
      </c>
      <c r="D1160" s="10" t="str">
        <f>IFERROR(__xludf.DUMMYFUNCTION("""COMPUTED_VALUE"""),"")</f>
        <v/>
      </c>
      <c r="E1160" s="10" t="str">
        <f>IFERROR(__xludf.DUMMYFUNCTION("""COMPUTED_VALUE"""),"")</f>
        <v/>
      </c>
      <c r="F1160" s="10" t="str">
        <f>IFERROR(__xludf.DUMMYFUNCTION("""COMPUTED_VALUE"""),"")</f>
        <v/>
      </c>
      <c r="G1160" s="10" t="str">
        <f>IFERROR(__xludf.DUMMYFUNCTION("""COMPUTED_VALUE"""),"")</f>
        <v/>
      </c>
      <c r="H1160" s="10" t="str">
        <f>IFERROR(__xludf.DUMMYFUNCTION("""COMPUTED_VALUE"""),"")</f>
        <v/>
      </c>
      <c r="I1160" s="10" t="str">
        <f>IFERROR(__xludf.DUMMYFUNCTION("""COMPUTED_VALUE"""),"")</f>
        <v/>
      </c>
    </row>
    <row r="1161">
      <c r="A1161" s="10" t="str">
        <f>IFERROR(__xludf.DUMMYFUNCTION("""COMPUTED_VALUE"""),"")</f>
        <v/>
      </c>
      <c r="B1161" s="10" t="str">
        <f>IFERROR(__xludf.DUMMYFUNCTION("""COMPUTED_VALUE"""),"")</f>
        <v/>
      </c>
      <c r="C1161" s="10" t="str">
        <f>IFERROR(__xludf.DUMMYFUNCTION("""COMPUTED_VALUE"""),"")</f>
        <v/>
      </c>
      <c r="D1161" s="10" t="str">
        <f>IFERROR(__xludf.DUMMYFUNCTION("""COMPUTED_VALUE"""),"")</f>
        <v/>
      </c>
      <c r="E1161" s="10" t="str">
        <f>IFERROR(__xludf.DUMMYFUNCTION("""COMPUTED_VALUE"""),"")</f>
        <v/>
      </c>
      <c r="F1161" s="10" t="str">
        <f>IFERROR(__xludf.DUMMYFUNCTION("""COMPUTED_VALUE"""),"")</f>
        <v/>
      </c>
      <c r="G1161" s="10" t="str">
        <f>IFERROR(__xludf.DUMMYFUNCTION("""COMPUTED_VALUE"""),"")</f>
        <v/>
      </c>
      <c r="H1161" s="10" t="str">
        <f>IFERROR(__xludf.DUMMYFUNCTION("""COMPUTED_VALUE"""),"")</f>
        <v/>
      </c>
      <c r="I1161" s="10" t="str">
        <f>IFERROR(__xludf.DUMMYFUNCTION("""COMPUTED_VALUE"""),"")</f>
        <v/>
      </c>
    </row>
    <row r="1162">
      <c r="A1162" s="10" t="str">
        <f>IFERROR(__xludf.DUMMYFUNCTION("""COMPUTED_VALUE"""),"")</f>
        <v/>
      </c>
      <c r="B1162" s="10" t="str">
        <f>IFERROR(__xludf.DUMMYFUNCTION("""COMPUTED_VALUE"""),"")</f>
        <v/>
      </c>
      <c r="C1162" s="10" t="str">
        <f>IFERROR(__xludf.DUMMYFUNCTION("""COMPUTED_VALUE"""),"")</f>
        <v/>
      </c>
      <c r="D1162" s="10" t="str">
        <f>IFERROR(__xludf.DUMMYFUNCTION("""COMPUTED_VALUE"""),"")</f>
        <v/>
      </c>
      <c r="E1162" s="10" t="str">
        <f>IFERROR(__xludf.DUMMYFUNCTION("""COMPUTED_VALUE"""),"")</f>
        <v/>
      </c>
      <c r="F1162" s="10" t="str">
        <f>IFERROR(__xludf.DUMMYFUNCTION("""COMPUTED_VALUE"""),"")</f>
        <v/>
      </c>
      <c r="G1162" s="10" t="str">
        <f>IFERROR(__xludf.DUMMYFUNCTION("""COMPUTED_VALUE"""),"")</f>
        <v/>
      </c>
      <c r="H1162" s="10" t="str">
        <f>IFERROR(__xludf.DUMMYFUNCTION("""COMPUTED_VALUE"""),"")</f>
        <v/>
      </c>
      <c r="I1162" s="10" t="str">
        <f>IFERROR(__xludf.DUMMYFUNCTION("""COMPUTED_VALUE"""),"")</f>
        <v/>
      </c>
    </row>
    <row r="1163">
      <c r="A1163" s="10" t="str">
        <f>IFERROR(__xludf.DUMMYFUNCTION("""COMPUTED_VALUE"""),"")</f>
        <v/>
      </c>
      <c r="B1163" s="10" t="str">
        <f>IFERROR(__xludf.DUMMYFUNCTION("""COMPUTED_VALUE"""),"")</f>
        <v/>
      </c>
      <c r="C1163" s="10" t="str">
        <f>IFERROR(__xludf.DUMMYFUNCTION("""COMPUTED_VALUE"""),"")</f>
        <v/>
      </c>
      <c r="D1163" s="10" t="str">
        <f>IFERROR(__xludf.DUMMYFUNCTION("""COMPUTED_VALUE"""),"")</f>
        <v/>
      </c>
      <c r="E1163" s="10" t="str">
        <f>IFERROR(__xludf.DUMMYFUNCTION("""COMPUTED_VALUE"""),"")</f>
        <v/>
      </c>
      <c r="F1163" s="10" t="str">
        <f>IFERROR(__xludf.DUMMYFUNCTION("""COMPUTED_VALUE"""),"")</f>
        <v/>
      </c>
      <c r="G1163" s="10" t="str">
        <f>IFERROR(__xludf.DUMMYFUNCTION("""COMPUTED_VALUE"""),"")</f>
        <v/>
      </c>
      <c r="H1163" s="10" t="str">
        <f>IFERROR(__xludf.DUMMYFUNCTION("""COMPUTED_VALUE"""),"")</f>
        <v/>
      </c>
      <c r="I1163" s="10" t="str">
        <f>IFERROR(__xludf.DUMMYFUNCTION("""COMPUTED_VALUE"""),"")</f>
        <v/>
      </c>
    </row>
    <row r="1164">
      <c r="A1164" s="10" t="str">
        <f>IFERROR(__xludf.DUMMYFUNCTION("""COMPUTED_VALUE"""),"")</f>
        <v/>
      </c>
      <c r="B1164" s="10" t="str">
        <f>IFERROR(__xludf.DUMMYFUNCTION("""COMPUTED_VALUE"""),"")</f>
        <v/>
      </c>
      <c r="C1164" s="10" t="str">
        <f>IFERROR(__xludf.DUMMYFUNCTION("""COMPUTED_VALUE"""),"")</f>
        <v/>
      </c>
      <c r="D1164" s="10" t="str">
        <f>IFERROR(__xludf.DUMMYFUNCTION("""COMPUTED_VALUE"""),"")</f>
        <v/>
      </c>
      <c r="E1164" s="10" t="str">
        <f>IFERROR(__xludf.DUMMYFUNCTION("""COMPUTED_VALUE"""),"")</f>
        <v/>
      </c>
      <c r="F1164" s="10" t="str">
        <f>IFERROR(__xludf.DUMMYFUNCTION("""COMPUTED_VALUE"""),"")</f>
        <v/>
      </c>
      <c r="G1164" s="10" t="str">
        <f>IFERROR(__xludf.DUMMYFUNCTION("""COMPUTED_VALUE"""),"")</f>
        <v/>
      </c>
      <c r="H1164" s="10" t="str">
        <f>IFERROR(__xludf.DUMMYFUNCTION("""COMPUTED_VALUE"""),"")</f>
        <v/>
      </c>
      <c r="I1164" s="10" t="str">
        <f>IFERROR(__xludf.DUMMYFUNCTION("""COMPUTED_VALUE"""),"")</f>
        <v/>
      </c>
    </row>
    <row r="1165">
      <c r="A1165" s="10" t="str">
        <f>IFERROR(__xludf.DUMMYFUNCTION("""COMPUTED_VALUE"""),"")</f>
        <v/>
      </c>
      <c r="B1165" s="10" t="str">
        <f>IFERROR(__xludf.DUMMYFUNCTION("""COMPUTED_VALUE"""),"")</f>
        <v/>
      </c>
      <c r="C1165" s="10" t="str">
        <f>IFERROR(__xludf.DUMMYFUNCTION("""COMPUTED_VALUE"""),"")</f>
        <v/>
      </c>
      <c r="D1165" s="10" t="str">
        <f>IFERROR(__xludf.DUMMYFUNCTION("""COMPUTED_VALUE"""),"")</f>
        <v/>
      </c>
      <c r="E1165" s="10" t="str">
        <f>IFERROR(__xludf.DUMMYFUNCTION("""COMPUTED_VALUE"""),"")</f>
        <v/>
      </c>
      <c r="F1165" s="10" t="str">
        <f>IFERROR(__xludf.DUMMYFUNCTION("""COMPUTED_VALUE"""),"")</f>
        <v/>
      </c>
      <c r="G1165" s="10" t="str">
        <f>IFERROR(__xludf.DUMMYFUNCTION("""COMPUTED_VALUE"""),"")</f>
        <v/>
      </c>
      <c r="H1165" s="10" t="str">
        <f>IFERROR(__xludf.DUMMYFUNCTION("""COMPUTED_VALUE"""),"")</f>
        <v/>
      </c>
      <c r="I1165" s="10" t="str">
        <f>IFERROR(__xludf.DUMMYFUNCTION("""COMPUTED_VALUE"""),"")</f>
        <v/>
      </c>
    </row>
    <row r="1166">
      <c r="A1166" s="10" t="str">
        <f>IFERROR(__xludf.DUMMYFUNCTION("""COMPUTED_VALUE"""),"")</f>
        <v/>
      </c>
      <c r="B1166" s="10" t="str">
        <f>IFERROR(__xludf.DUMMYFUNCTION("""COMPUTED_VALUE"""),"")</f>
        <v/>
      </c>
      <c r="C1166" s="10" t="str">
        <f>IFERROR(__xludf.DUMMYFUNCTION("""COMPUTED_VALUE"""),"")</f>
        <v/>
      </c>
      <c r="D1166" s="10" t="str">
        <f>IFERROR(__xludf.DUMMYFUNCTION("""COMPUTED_VALUE"""),"")</f>
        <v/>
      </c>
      <c r="E1166" s="10" t="str">
        <f>IFERROR(__xludf.DUMMYFUNCTION("""COMPUTED_VALUE"""),"")</f>
        <v/>
      </c>
      <c r="F1166" s="10" t="str">
        <f>IFERROR(__xludf.DUMMYFUNCTION("""COMPUTED_VALUE"""),"")</f>
        <v/>
      </c>
      <c r="G1166" s="10" t="str">
        <f>IFERROR(__xludf.DUMMYFUNCTION("""COMPUTED_VALUE"""),"")</f>
        <v/>
      </c>
      <c r="H1166" s="10" t="str">
        <f>IFERROR(__xludf.DUMMYFUNCTION("""COMPUTED_VALUE"""),"")</f>
        <v/>
      </c>
      <c r="I1166" s="10" t="str">
        <f>IFERROR(__xludf.DUMMYFUNCTION("""COMPUTED_VALUE"""),"")</f>
        <v/>
      </c>
    </row>
    <row r="1167">
      <c r="A1167" s="10" t="str">
        <f>IFERROR(__xludf.DUMMYFUNCTION("""COMPUTED_VALUE"""),"")</f>
        <v/>
      </c>
      <c r="B1167" s="10" t="str">
        <f>IFERROR(__xludf.DUMMYFUNCTION("""COMPUTED_VALUE"""),"")</f>
        <v/>
      </c>
      <c r="C1167" s="10" t="str">
        <f>IFERROR(__xludf.DUMMYFUNCTION("""COMPUTED_VALUE"""),"")</f>
        <v/>
      </c>
      <c r="D1167" s="10" t="str">
        <f>IFERROR(__xludf.DUMMYFUNCTION("""COMPUTED_VALUE"""),"")</f>
        <v/>
      </c>
      <c r="E1167" s="10" t="str">
        <f>IFERROR(__xludf.DUMMYFUNCTION("""COMPUTED_VALUE"""),"")</f>
        <v/>
      </c>
      <c r="F1167" s="10" t="str">
        <f>IFERROR(__xludf.DUMMYFUNCTION("""COMPUTED_VALUE"""),"")</f>
        <v/>
      </c>
      <c r="G1167" s="10" t="str">
        <f>IFERROR(__xludf.DUMMYFUNCTION("""COMPUTED_VALUE"""),"")</f>
        <v/>
      </c>
      <c r="H1167" s="10" t="str">
        <f>IFERROR(__xludf.DUMMYFUNCTION("""COMPUTED_VALUE"""),"")</f>
        <v/>
      </c>
      <c r="I1167" s="10" t="str">
        <f>IFERROR(__xludf.DUMMYFUNCTION("""COMPUTED_VALUE"""),"")</f>
        <v/>
      </c>
    </row>
    <row r="1168">
      <c r="A1168" s="10" t="str">
        <f>IFERROR(__xludf.DUMMYFUNCTION("""COMPUTED_VALUE"""),"")</f>
        <v/>
      </c>
      <c r="B1168" s="10" t="str">
        <f>IFERROR(__xludf.DUMMYFUNCTION("""COMPUTED_VALUE"""),"")</f>
        <v/>
      </c>
      <c r="C1168" s="10" t="str">
        <f>IFERROR(__xludf.DUMMYFUNCTION("""COMPUTED_VALUE"""),"")</f>
        <v/>
      </c>
      <c r="D1168" s="10" t="str">
        <f>IFERROR(__xludf.DUMMYFUNCTION("""COMPUTED_VALUE"""),"")</f>
        <v/>
      </c>
      <c r="E1168" s="10" t="str">
        <f>IFERROR(__xludf.DUMMYFUNCTION("""COMPUTED_VALUE"""),"")</f>
        <v/>
      </c>
      <c r="F1168" s="10" t="str">
        <f>IFERROR(__xludf.DUMMYFUNCTION("""COMPUTED_VALUE"""),"")</f>
        <v/>
      </c>
      <c r="G1168" s="10" t="str">
        <f>IFERROR(__xludf.DUMMYFUNCTION("""COMPUTED_VALUE"""),"")</f>
        <v/>
      </c>
      <c r="H1168" s="10" t="str">
        <f>IFERROR(__xludf.DUMMYFUNCTION("""COMPUTED_VALUE"""),"")</f>
        <v/>
      </c>
      <c r="I1168" s="10" t="str">
        <f>IFERROR(__xludf.DUMMYFUNCTION("""COMPUTED_VALUE"""),"")</f>
        <v/>
      </c>
    </row>
    <row r="1169">
      <c r="A1169" s="10" t="str">
        <f>IFERROR(__xludf.DUMMYFUNCTION("""COMPUTED_VALUE"""),"")</f>
        <v/>
      </c>
      <c r="B1169" s="10" t="str">
        <f>IFERROR(__xludf.DUMMYFUNCTION("""COMPUTED_VALUE"""),"")</f>
        <v/>
      </c>
      <c r="C1169" s="10" t="str">
        <f>IFERROR(__xludf.DUMMYFUNCTION("""COMPUTED_VALUE"""),"")</f>
        <v/>
      </c>
      <c r="D1169" s="10" t="str">
        <f>IFERROR(__xludf.DUMMYFUNCTION("""COMPUTED_VALUE"""),"")</f>
        <v/>
      </c>
      <c r="E1169" s="10" t="str">
        <f>IFERROR(__xludf.DUMMYFUNCTION("""COMPUTED_VALUE"""),"")</f>
        <v/>
      </c>
      <c r="F1169" s="10" t="str">
        <f>IFERROR(__xludf.DUMMYFUNCTION("""COMPUTED_VALUE"""),"")</f>
        <v/>
      </c>
      <c r="G1169" s="10" t="str">
        <f>IFERROR(__xludf.DUMMYFUNCTION("""COMPUTED_VALUE"""),"")</f>
        <v/>
      </c>
      <c r="H1169" s="10" t="str">
        <f>IFERROR(__xludf.DUMMYFUNCTION("""COMPUTED_VALUE"""),"")</f>
        <v/>
      </c>
      <c r="I1169" s="10" t="str">
        <f>IFERROR(__xludf.DUMMYFUNCTION("""COMPUTED_VALUE"""),"")</f>
        <v/>
      </c>
    </row>
    <row r="1170">
      <c r="A1170" s="10" t="str">
        <f>IFERROR(__xludf.DUMMYFUNCTION("""COMPUTED_VALUE"""),"")</f>
        <v/>
      </c>
      <c r="B1170" s="10" t="str">
        <f>IFERROR(__xludf.DUMMYFUNCTION("""COMPUTED_VALUE"""),"")</f>
        <v/>
      </c>
      <c r="C1170" s="10" t="str">
        <f>IFERROR(__xludf.DUMMYFUNCTION("""COMPUTED_VALUE"""),"")</f>
        <v/>
      </c>
      <c r="D1170" s="10" t="str">
        <f>IFERROR(__xludf.DUMMYFUNCTION("""COMPUTED_VALUE"""),"")</f>
        <v/>
      </c>
      <c r="E1170" s="10" t="str">
        <f>IFERROR(__xludf.DUMMYFUNCTION("""COMPUTED_VALUE"""),"")</f>
        <v/>
      </c>
      <c r="F1170" s="10" t="str">
        <f>IFERROR(__xludf.DUMMYFUNCTION("""COMPUTED_VALUE"""),"")</f>
        <v/>
      </c>
      <c r="G1170" s="10" t="str">
        <f>IFERROR(__xludf.DUMMYFUNCTION("""COMPUTED_VALUE"""),"")</f>
        <v/>
      </c>
      <c r="H1170" s="10" t="str">
        <f>IFERROR(__xludf.DUMMYFUNCTION("""COMPUTED_VALUE"""),"")</f>
        <v/>
      </c>
      <c r="I1170" s="10" t="str">
        <f>IFERROR(__xludf.DUMMYFUNCTION("""COMPUTED_VALUE"""),"")</f>
        <v/>
      </c>
    </row>
    <row r="1171">
      <c r="A1171" s="10" t="str">
        <f>IFERROR(__xludf.DUMMYFUNCTION("""COMPUTED_VALUE"""),"")</f>
        <v/>
      </c>
      <c r="B1171" s="10" t="str">
        <f>IFERROR(__xludf.DUMMYFUNCTION("""COMPUTED_VALUE"""),"")</f>
        <v/>
      </c>
      <c r="C1171" s="10" t="str">
        <f>IFERROR(__xludf.DUMMYFUNCTION("""COMPUTED_VALUE"""),"")</f>
        <v/>
      </c>
      <c r="D1171" s="10" t="str">
        <f>IFERROR(__xludf.DUMMYFUNCTION("""COMPUTED_VALUE"""),"")</f>
        <v/>
      </c>
      <c r="E1171" s="10" t="str">
        <f>IFERROR(__xludf.DUMMYFUNCTION("""COMPUTED_VALUE"""),"")</f>
        <v/>
      </c>
      <c r="F1171" s="10" t="str">
        <f>IFERROR(__xludf.DUMMYFUNCTION("""COMPUTED_VALUE"""),"")</f>
        <v/>
      </c>
      <c r="G1171" s="10" t="str">
        <f>IFERROR(__xludf.DUMMYFUNCTION("""COMPUTED_VALUE"""),"")</f>
        <v/>
      </c>
      <c r="H1171" s="10" t="str">
        <f>IFERROR(__xludf.DUMMYFUNCTION("""COMPUTED_VALUE"""),"")</f>
        <v/>
      </c>
      <c r="I1171" s="10" t="str">
        <f>IFERROR(__xludf.DUMMYFUNCTION("""COMPUTED_VALUE"""),"")</f>
        <v/>
      </c>
    </row>
    <row r="1172">
      <c r="A1172" s="10" t="str">
        <f>IFERROR(__xludf.DUMMYFUNCTION("""COMPUTED_VALUE"""),"")</f>
        <v/>
      </c>
      <c r="B1172" s="10" t="str">
        <f>IFERROR(__xludf.DUMMYFUNCTION("""COMPUTED_VALUE"""),"")</f>
        <v/>
      </c>
      <c r="C1172" s="10" t="str">
        <f>IFERROR(__xludf.DUMMYFUNCTION("""COMPUTED_VALUE"""),"")</f>
        <v/>
      </c>
      <c r="D1172" s="10" t="str">
        <f>IFERROR(__xludf.DUMMYFUNCTION("""COMPUTED_VALUE"""),"")</f>
        <v/>
      </c>
      <c r="E1172" s="10" t="str">
        <f>IFERROR(__xludf.DUMMYFUNCTION("""COMPUTED_VALUE"""),"")</f>
        <v/>
      </c>
      <c r="F1172" s="10" t="str">
        <f>IFERROR(__xludf.DUMMYFUNCTION("""COMPUTED_VALUE"""),"")</f>
        <v/>
      </c>
      <c r="G1172" s="10" t="str">
        <f>IFERROR(__xludf.DUMMYFUNCTION("""COMPUTED_VALUE"""),"")</f>
        <v/>
      </c>
      <c r="H1172" s="10" t="str">
        <f>IFERROR(__xludf.DUMMYFUNCTION("""COMPUTED_VALUE"""),"")</f>
        <v/>
      </c>
      <c r="I1172" s="10" t="str">
        <f>IFERROR(__xludf.DUMMYFUNCTION("""COMPUTED_VALUE"""),"")</f>
        <v/>
      </c>
    </row>
    <row r="1173">
      <c r="A1173" s="10" t="str">
        <f>IFERROR(__xludf.DUMMYFUNCTION("""COMPUTED_VALUE"""),"")</f>
        <v/>
      </c>
      <c r="B1173" s="10" t="str">
        <f>IFERROR(__xludf.DUMMYFUNCTION("""COMPUTED_VALUE"""),"")</f>
        <v/>
      </c>
      <c r="C1173" s="10" t="str">
        <f>IFERROR(__xludf.DUMMYFUNCTION("""COMPUTED_VALUE"""),"")</f>
        <v/>
      </c>
      <c r="D1173" s="10" t="str">
        <f>IFERROR(__xludf.DUMMYFUNCTION("""COMPUTED_VALUE"""),"")</f>
        <v/>
      </c>
      <c r="E1173" s="10" t="str">
        <f>IFERROR(__xludf.DUMMYFUNCTION("""COMPUTED_VALUE"""),"")</f>
        <v/>
      </c>
      <c r="F1173" s="10" t="str">
        <f>IFERROR(__xludf.DUMMYFUNCTION("""COMPUTED_VALUE"""),"")</f>
        <v/>
      </c>
      <c r="G1173" s="10" t="str">
        <f>IFERROR(__xludf.DUMMYFUNCTION("""COMPUTED_VALUE"""),"")</f>
        <v/>
      </c>
      <c r="H1173" s="10" t="str">
        <f>IFERROR(__xludf.DUMMYFUNCTION("""COMPUTED_VALUE"""),"")</f>
        <v/>
      </c>
      <c r="I1173" s="10" t="str">
        <f>IFERROR(__xludf.DUMMYFUNCTION("""COMPUTED_VALUE"""),"")</f>
        <v/>
      </c>
    </row>
    <row r="1174">
      <c r="A1174" s="10" t="str">
        <f>IFERROR(__xludf.DUMMYFUNCTION("""COMPUTED_VALUE"""),"")</f>
        <v/>
      </c>
      <c r="B1174" s="10" t="str">
        <f>IFERROR(__xludf.DUMMYFUNCTION("""COMPUTED_VALUE"""),"")</f>
        <v/>
      </c>
      <c r="C1174" s="10" t="str">
        <f>IFERROR(__xludf.DUMMYFUNCTION("""COMPUTED_VALUE"""),"")</f>
        <v/>
      </c>
      <c r="D1174" s="10" t="str">
        <f>IFERROR(__xludf.DUMMYFUNCTION("""COMPUTED_VALUE"""),"")</f>
        <v/>
      </c>
      <c r="E1174" s="10" t="str">
        <f>IFERROR(__xludf.DUMMYFUNCTION("""COMPUTED_VALUE"""),"")</f>
        <v/>
      </c>
      <c r="F1174" s="10" t="str">
        <f>IFERROR(__xludf.DUMMYFUNCTION("""COMPUTED_VALUE"""),"")</f>
        <v/>
      </c>
      <c r="G1174" s="10" t="str">
        <f>IFERROR(__xludf.DUMMYFUNCTION("""COMPUTED_VALUE"""),"")</f>
        <v/>
      </c>
      <c r="H1174" s="10" t="str">
        <f>IFERROR(__xludf.DUMMYFUNCTION("""COMPUTED_VALUE"""),"")</f>
        <v/>
      </c>
      <c r="I1174" s="10" t="str">
        <f>IFERROR(__xludf.DUMMYFUNCTION("""COMPUTED_VALUE"""),"")</f>
        <v/>
      </c>
    </row>
    <row r="1175">
      <c r="A1175" s="10" t="str">
        <f>IFERROR(__xludf.DUMMYFUNCTION("""COMPUTED_VALUE"""),"")</f>
        <v/>
      </c>
      <c r="B1175" s="10" t="str">
        <f>IFERROR(__xludf.DUMMYFUNCTION("""COMPUTED_VALUE"""),"")</f>
        <v/>
      </c>
      <c r="C1175" s="10" t="str">
        <f>IFERROR(__xludf.DUMMYFUNCTION("""COMPUTED_VALUE"""),"")</f>
        <v/>
      </c>
      <c r="D1175" s="10" t="str">
        <f>IFERROR(__xludf.DUMMYFUNCTION("""COMPUTED_VALUE"""),"")</f>
        <v/>
      </c>
      <c r="E1175" s="10" t="str">
        <f>IFERROR(__xludf.DUMMYFUNCTION("""COMPUTED_VALUE"""),"")</f>
        <v/>
      </c>
      <c r="F1175" s="10" t="str">
        <f>IFERROR(__xludf.DUMMYFUNCTION("""COMPUTED_VALUE"""),"")</f>
        <v/>
      </c>
      <c r="G1175" s="10" t="str">
        <f>IFERROR(__xludf.DUMMYFUNCTION("""COMPUTED_VALUE"""),"")</f>
        <v/>
      </c>
      <c r="H1175" s="10" t="str">
        <f>IFERROR(__xludf.DUMMYFUNCTION("""COMPUTED_VALUE"""),"")</f>
        <v/>
      </c>
      <c r="I1175" s="10" t="str">
        <f>IFERROR(__xludf.DUMMYFUNCTION("""COMPUTED_VALUE"""),"")</f>
        <v/>
      </c>
    </row>
    <row r="1176">
      <c r="A1176" s="10" t="str">
        <f>IFERROR(__xludf.DUMMYFUNCTION("""COMPUTED_VALUE"""),"")</f>
        <v/>
      </c>
      <c r="B1176" s="10" t="str">
        <f>IFERROR(__xludf.DUMMYFUNCTION("""COMPUTED_VALUE"""),"")</f>
        <v/>
      </c>
      <c r="C1176" s="10" t="str">
        <f>IFERROR(__xludf.DUMMYFUNCTION("""COMPUTED_VALUE"""),"")</f>
        <v/>
      </c>
      <c r="D1176" s="10" t="str">
        <f>IFERROR(__xludf.DUMMYFUNCTION("""COMPUTED_VALUE"""),"")</f>
        <v/>
      </c>
      <c r="E1176" s="10" t="str">
        <f>IFERROR(__xludf.DUMMYFUNCTION("""COMPUTED_VALUE"""),"")</f>
        <v/>
      </c>
      <c r="F1176" s="10" t="str">
        <f>IFERROR(__xludf.DUMMYFUNCTION("""COMPUTED_VALUE"""),"")</f>
        <v/>
      </c>
      <c r="G1176" s="10" t="str">
        <f>IFERROR(__xludf.DUMMYFUNCTION("""COMPUTED_VALUE"""),"")</f>
        <v/>
      </c>
      <c r="H1176" s="10" t="str">
        <f>IFERROR(__xludf.DUMMYFUNCTION("""COMPUTED_VALUE"""),"")</f>
        <v/>
      </c>
      <c r="I1176" s="10" t="str">
        <f>IFERROR(__xludf.DUMMYFUNCTION("""COMPUTED_VALUE"""),"")</f>
        <v/>
      </c>
    </row>
    <row r="1177">
      <c r="A1177" s="10" t="str">
        <f>IFERROR(__xludf.DUMMYFUNCTION("""COMPUTED_VALUE"""),"")</f>
        <v/>
      </c>
      <c r="B1177" s="10" t="str">
        <f>IFERROR(__xludf.DUMMYFUNCTION("""COMPUTED_VALUE"""),"")</f>
        <v/>
      </c>
      <c r="C1177" s="10" t="str">
        <f>IFERROR(__xludf.DUMMYFUNCTION("""COMPUTED_VALUE"""),"")</f>
        <v/>
      </c>
      <c r="D1177" s="10" t="str">
        <f>IFERROR(__xludf.DUMMYFUNCTION("""COMPUTED_VALUE"""),"")</f>
        <v/>
      </c>
      <c r="E1177" s="10" t="str">
        <f>IFERROR(__xludf.DUMMYFUNCTION("""COMPUTED_VALUE"""),"")</f>
        <v/>
      </c>
      <c r="F1177" s="10" t="str">
        <f>IFERROR(__xludf.DUMMYFUNCTION("""COMPUTED_VALUE"""),"")</f>
        <v/>
      </c>
      <c r="G1177" s="10" t="str">
        <f>IFERROR(__xludf.DUMMYFUNCTION("""COMPUTED_VALUE"""),"")</f>
        <v/>
      </c>
      <c r="H1177" s="10" t="str">
        <f>IFERROR(__xludf.DUMMYFUNCTION("""COMPUTED_VALUE"""),"")</f>
        <v/>
      </c>
      <c r="I1177" s="10" t="str">
        <f>IFERROR(__xludf.DUMMYFUNCTION("""COMPUTED_VALUE"""),"")</f>
        <v/>
      </c>
    </row>
    <row r="1178">
      <c r="A1178" s="10" t="str">
        <f>IFERROR(__xludf.DUMMYFUNCTION("""COMPUTED_VALUE"""),"")</f>
        <v/>
      </c>
      <c r="B1178" s="10" t="str">
        <f>IFERROR(__xludf.DUMMYFUNCTION("""COMPUTED_VALUE"""),"")</f>
        <v/>
      </c>
      <c r="C1178" s="10" t="str">
        <f>IFERROR(__xludf.DUMMYFUNCTION("""COMPUTED_VALUE"""),"")</f>
        <v/>
      </c>
      <c r="D1178" s="10" t="str">
        <f>IFERROR(__xludf.DUMMYFUNCTION("""COMPUTED_VALUE"""),"")</f>
        <v/>
      </c>
      <c r="E1178" s="10" t="str">
        <f>IFERROR(__xludf.DUMMYFUNCTION("""COMPUTED_VALUE"""),"")</f>
        <v/>
      </c>
      <c r="F1178" s="10" t="str">
        <f>IFERROR(__xludf.DUMMYFUNCTION("""COMPUTED_VALUE"""),"")</f>
        <v/>
      </c>
      <c r="G1178" s="10" t="str">
        <f>IFERROR(__xludf.DUMMYFUNCTION("""COMPUTED_VALUE"""),"")</f>
        <v/>
      </c>
      <c r="H1178" s="10" t="str">
        <f>IFERROR(__xludf.DUMMYFUNCTION("""COMPUTED_VALUE"""),"")</f>
        <v/>
      </c>
      <c r="I1178" s="10" t="str">
        <f>IFERROR(__xludf.DUMMYFUNCTION("""COMPUTED_VALUE"""),"")</f>
        <v/>
      </c>
    </row>
    <row r="1179">
      <c r="A1179" s="10" t="str">
        <f>IFERROR(__xludf.DUMMYFUNCTION("""COMPUTED_VALUE"""),"")</f>
        <v/>
      </c>
      <c r="B1179" s="10" t="str">
        <f>IFERROR(__xludf.DUMMYFUNCTION("""COMPUTED_VALUE"""),"")</f>
        <v/>
      </c>
      <c r="C1179" s="10" t="str">
        <f>IFERROR(__xludf.DUMMYFUNCTION("""COMPUTED_VALUE"""),"")</f>
        <v/>
      </c>
      <c r="D1179" s="10" t="str">
        <f>IFERROR(__xludf.DUMMYFUNCTION("""COMPUTED_VALUE"""),"")</f>
        <v/>
      </c>
      <c r="E1179" s="10" t="str">
        <f>IFERROR(__xludf.DUMMYFUNCTION("""COMPUTED_VALUE"""),"")</f>
        <v/>
      </c>
      <c r="F1179" s="10" t="str">
        <f>IFERROR(__xludf.DUMMYFUNCTION("""COMPUTED_VALUE"""),"")</f>
        <v/>
      </c>
      <c r="G1179" s="10" t="str">
        <f>IFERROR(__xludf.DUMMYFUNCTION("""COMPUTED_VALUE"""),"")</f>
        <v/>
      </c>
      <c r="H1179" s="10" t="str">
        <f>IFERROR(__xludf.DUMMYFUNCTION("""COMPUTED_VALUE"""),"")</f>
        <v/>
      </c>
      <c r="I1179" s="10" t="str">
        <f>IFERROR(__xludf.DUMMYFUNCTION("""COMPUTED_VALUE"""),"")</f>
        <v/>
      </c>
    </row>
    <row r="1180">
      <c r="A1180" s="10" t="str">
        <f>IFERROR(__xludf.DUMMYFUNCTION("""COMPUTED_VALUE"""),"")</f>
        <v/>
      </c>
      <c r="B1180" s="10" t="str">
        <f>IFERROR(__xludf.DUMMYFUNCTION("""COMPUTED_VALUE"""),"")</f>
        <v/>
      </c>
      <c r="C1180" s="10" t="str">
        <f>IFERROR(__xludf.DUMMYFUNCTION("""COMPUTED_VALUE"""),"")</f>
        <v/>
      </c>
      <c r="D1180" s="10" t="str">
        <f>IFERROR(__xludf.DUMMYFUNCTION("""COMPUTED_VALUE"""),"")</f>
        <v/>
      </c>
      <c r="E1180" s="10" t="str">
        <f>IFERROR(__xludf.DUMMYFUNCTION("""COMPUTED_VALUE"""),"")</f>
        <v/>
      </c>
      <c r="F1180" s="10" t="str">
        <f>IFERROR(__xludf.DUMMYFUNCTION("""COMPUTED_VALUE"""),"")</f>
        <v/>
      </c>
      <c r="G1180" s="10" t="str">
        <f>IFERROR(__xludf.DUMMYFUNCTION("""COMPUTED_VALUE"""),"")</f>
        <v/>
      </c>
      <c r="H1180" s="10" t="str">
        <f>IFERROR(__xludf.DUMMYFUNCTION("""COMPUTED_VALUE"""),"")</f>
        <v/>
      </c>
      <c r="I1180" s="10" t="str">
        <f>IFERROR(__xludf.DUMMYFUNCTION("""COMPUTED_VALUE"""),"")</f>
        <v/>
      </c>
    </row>
    <row r="1181">
      <c r="A1181" s="10" t="str">
        <f>IFERROR(__xludf.DUMMYFUNCTION("""COMPUTED_VALUE"""),"")</f>
        <v/>
      </c>
      <c r="B1181" s="10" t="str">
        <f>IFERROR(__xludf.DUMMYFUNCTION("""COMPUTED_VALUE"""),"")</f>
        <v/>
      </c>
      <c r="C1181" s="10" t="str">
        <f>IFERROR(__xludf.DUMMYFUNCTION("""COMPUTED_VALUE"""),"")</f>
        <v/>
      </c>
      <c r="D1181" s="10" t="str">
        <f>IFERROR(__xludf.DUMMYFUNCTION("""COMPUTED_VALUE"""),"")</f>
        <v/>
      </c>
      <c r="E1181" s="10" t="str">
        <f>IFERROR(__xludf.DUMMYFUNCTION("""COMPUTED_VALUE"""),"")</f>
        <v/>
      </c>
      <c r="F1181" s="10" t="str">
        <f>IFERROR(__xludf.DUMMYFUNCTION("""COMPUTED_VALUE"""),"")</f>
        <v/>
      </c>
      <c r="G1181" s="10" t="str">
        <f>IFERROR(__xludf.DUMMYFUNCTION("""COMPUTED_VALUE"""),"")</f>
        <v/>
      </c>
      <c r="H1181" s="10" t="str">
        <f>IFERROR(__xludf.DUMMYFUNCTION("""COMPUTED_VALUE"""),"")</f>
        <v/>
      </c>
      <c r="I1181" s="10" t="str">
        <f>IFERROR(__xludf.DUMMYFUNCTION("""COMPUTED_VALUE"""),"")</f>
        <v/>
      </c>
    </row>
    <row r="1182">
      <c r="A1182" s="10" t="str">
        <f>IFERROR(__xludf.DUMMYFUNCTION("""COMPUTED_VALUE"""),"")</f>
        <v/>
      </c>
      <c r="B1182" s="10" t="str">
        <f>IFERROR(__xludf.DUMMYFUNCTION("""COMPUTED_VALUE"""),"")</f>
        <v/>
      </c>
      <c r="C1182" s="10" t="str">
        <f>IFERROR(__xludf.DUMMYFUNCTION("""COMPUTED_VALUE"""),"")</f>
        <v/>
      </c>
      <c r="D1182" s="10" t="str">
        <f>IFERROR(__xludf.DUMMYFUNCTION("""COMPUTED_VALUE"""),"")</f>
        <v/>
      </c>
      <c r="E1182" s="10" t="str">
        <f>IFERROR(__xludf.DUMMYFUNCTION("""COMPUTED_VALUE"""),"")</f>
        <v/>
      </c>
      <c r="F1182" s="10" t="str">
        <f>IFERROR(__xludf.DUMMYFUNCTION("""COMPUTED_VALUE"""),"")</f>
        <v/>
      </c>
      <c r="G1182" s="10" t="str">
        <f>IFERROR(__xludf.DUMMYFUNCTION("""COMPUTED_VALUE"""),"")</f>
        <v/>
      </c>
      <c r="H1182" s="10" t="str">
        <f>IFERROR(__xludf.DUMMYFUNCTION("""COMPUTED_VALUE"""),"")</f>
        <v/>
      </c>
      <c r="I1182" s="10" t="str">
        <f>IFERROR(__xludf.DUMMYFUNCTION("""COMPUTED_VALUE"""),"")</f>
        <v/>
      </c>
    </row>
    <row r="1183">
      <c r="A1183" s="10" t="str">
        <f>IFERROR(__xludf.DUMMYFUNCTION("""COMPUTED_VALUE"""),"")</f>
        <v/>
      </c>
      <c r="B1183" s="10" t="str">
        <f>IFERROR(__xludf.DUMMYFUNCTION("""COMPUTED_VALUE"""),"")</f>
        <v/>
      </c>
      <c r="C1183" s="10" t="str">
        <f>IFERROR(__xludf.DUMMYFUNCTION("""COMPUTED_VALUE"""),"")</f>
        <v/>
      </c>
      <c r="D1183" s="10" t="str">
        <f>IFERROR(__xludf.DUMMYFUNCTION("""COMPUTED_VALUE"""),"")</f>
        <v/>
      </c>
      <c r="E1183" s="10" t="str">
        <f>IFERROR(__xludf.DUMMYFUNCTION("""COMPUTED_VALUE"""),"")</f>
        <v/>
      </c>
      <c r="F1183" s="10" t="str">
        <f>IFERROR(__xludf.DUMMYFUNCTION("""COMPUTED_VALUE"""),"")</f>
        <v/>
      </c>
      <c r="G1183" s="10" t="str">
        <f>IFERROR(__xludf.DUMMYFUNCTION("""COMPUTED_VALUE"""),"")</f>
        <v/>
      </c>
      <c r="H1183" s="10" t="str">
        <f>IFERROR(__xludf.DUMMYFUNCTION("""COMPUTED_VALUE"""),"")</f>
        <v/>
      </c>
      <c r="I1183" s="10" t="str">
        <f>IFERROR(__xludf.DUMMYFUNCTION("""COMPUTED_VALUE"""),"")</f>
        <v/>
      </c>
    </row>
    <row r="1184">
      <c r="A1184" s="10" t="str">
        <f>IFERROR(__xludf.DUMMYFUNCTION("""COMPUTED_VALUE"""),"")</f>
        <v/>
      </c>
      <c r="B1184" s="10" t="str">
        <f>IFERROR(__xludf.DUMMYFUNCTION("""COMPUTED_VALUE"""),"")</f>
        <v/>
      </c>
      <c r="C1184" s="10" t="str">
        <f>IFERROR(__xludf.DUMMYFUNCTION("""COMPUTED_VALUE"""),"")</f>
        <v/>
      </c>
      <c r="D1184" s="10" t="str">
        <f>IFERROR(__xludf.DUMMYFUNCTION("""COMPUTED_VALUE"""),"")</f>
        <v/>
      </c>
      <c r="E1184" s="10" t="str">
        <f>IFERROR(__xludf.DUMMYFUNCTION("""COMPUTED_VALUE"""),"")</f>
        <v/>
      </c>
      <c r="F1184" s="10" t="str">
        <f>IFERROR(__xludf.DUMMYFUNCTION("""COMPUTED_VALUE"""),"")</f>
        <v/>
      </c>
      <c r="G1184" s="10" t="str">
        <f>IFERROR(__xludf.DUMMYFUNCTION("""COMPUTED_VALUE"""),"")</f>
        <v/>
      </c>
      <c r="H1184" s="10" t="str">
        <f>IFERROR(__xludf.DUMMYFUNCTION("""COMPUTED_VALUE"""),"")</f>
        <v/>
      </c>
      <c r="I1184" s="10" t="str">
        <f>IFERROR(__xludf.DUMMYFUNCTION("""COMPUTED_VALUE"""),"")</f>
        <v/>
      </c>
    </row>
    <row r="1185">
      <c r="A1185" s="10" t="str">
        <f>IFERROR(__xludf.DUMMYFUNCTION("""COMPUTED_VALUE"""),"")</f>
        <v/>
      </c>
      <c r="B1185" s="10" t="str">
        <f>IFERROR(__xludf.DUMMYFUNCTION("""COMPUTED_VALUE"""),"")</f>
        <v/>
      </c>
      <c r="C1185" s="10" t="str">
        <f>IFERROR(__xludf.DUMMYFUNCTION("""COMPUTED_VALUE"""),"")</f>
        <v/>
      </c>
      <c r="D1185" s="10" t="str">
        <f>IFERROR(__xludf.DUMMYFUNCTION("""COMPUTED_VALUE"""),"")</f>
        <v/>
      </c>
      <c r="E1185" s="10" t="str">
        <f>IFERROR(__xludf.DUMMYFUNCTION("""COMPUTED_VALUE"""),"")</f>
        <v/>
      </c>
      <c r="F1185" s="10" t="str">
        <f>IFERROR(__xludf.DUMMYFUNCTION("""COMPUTED_VALUE"""),"")</f>
        <v/>
      </c>
      <c r="G1185" s="10" t="str">
        <f>IFERROR(__xludf.DUMMYFUNCTION("""COMPUTED_VALUE"""),"")</f>
        <v/>
      </c>
      <c r="H1185" s="10" t="str">
        <f>IFERROR(__xludf.DUMMYFUNCTION("""COMPUTED_VALUE"""),"")</f>
        <v/>
      </c>
      <c r="I1185" s="10" t="str">
        <f>IFERROR(__xludf.DUMMYFUNCTION("""COMPUTED_VALUE"""),"")</f>
        <v/>
      </c>
    </row>
    <row r="1186">
      <c r="A1186" s="10" t="str">
        <f>IFERROR(__xludf.DUMMYFUNCTION("""COMPUTED_VALUE"""),"")</f>
        <v/>
      </c>
      <c r="B1186" s="10" t="str">
        <f>IFERROR(__xludf.DUMMYFUNCTION("""COMPUTED_VALUE"""),"")</f>
        <v/>
      </c>
      <c r="C1186" s="10" t="str">
        <f>IFERROR(__xludf.DUMMYFUNCTION("""COMPUTED_VALUE"""),"")</f>
        <v/>
      </c>
      <c r="D1186" s="10" t="str">
        <f>IFERROR(__xludf.DUMMYFUNCTION("""COMPUTED_VALUE"""),"")</f>
        <v/>
      </c>
      <c r="E1186" s="10" t="str">
        <f>IFERROR(__xludf.DUMMYFUNCTION("""COMPUTED_VALUE"""),"")</f>
        <v/>
      </c>
      <c r="F1186" s="10" t="str">
        <f>IFERROR(__xludf.DUMMYFUNCTION("""COMPUTED_VALUE"""),"")</f>
        <v/>
      </c>
      <c r="G1186" s="10" t="str">
        <f>IFERROR(__xludf.DUMMYFUNCTION("""COMPUTED_VALUE"""),"")</f>
        <v/>
      </c>
      <c r="H1186" s="10" t="str">
        <f>IFERROR(__xludf.DUMMYFUNCTION("""COMPUTED_VALUE"""),"")</f>
        <v/>
      </c>
      <c r="I1186" s="10" t="str">
        <f>IFERROR(__xludf.DUMMYFUNCTION("""COMPUTED_VALUE"""),"")</f>
        <v/>
      </c>
    </row>
    <row r="1187">
      <c r="A1187" s="10" t="str">
        <f>IFERROR(__xludf.DUMMYFUNCTION("""COMPUTED_VALUE"""),"")</f>
        <v/>
      </c>
      <c r="B1187" s="10" t="str">
        <f>IFERROR(__xludf.DUMMYFUNCTION("""COMPUTED_VALUE"""),"")</f>
        <v/>
      </c>
      <c r="C1187" s="10" t="str">
        <f>IFERROR(__xludf.DUMMYFUNCTION("""COMPUTED_VALUE"""),"")</f>
        <v/>
      </c>
      <c r="D1187" s="10" t="str">
        <f>IFERROR(__xludf.DUMMYFUNCTION("""COMPUTED_VALUE"""),"")</f>
        <v/>
      </c>
      <c r="E1187" s="10" t="str">
        <f>IFERROR(__xludf.DUMMYFUNCTION("""COMPUTED_VALUE"""),"")</f>
        <v/>
      </c>
      <c r="F1187" s="10" t="str">
        <f>IFERROR(__xludf.DUMMYFUNCTION("""COMPUTED_VALUE"""),"")</f>
        <v/>
      </c>
      <c r="G1187" s="10" t="str">
        <f>IFERROR(__xludf.DUMMYFUNCTION("""COMPUTED_VALUE"""),"")</f>
        <v/>
      </c>
      <c r="H1187" s="10" t="str">
        <f>IFERROR(__xludf.DUMMYFUNCTION("""COMPUTED_VALUE"""),"")</f>
        <v/>
      </c>
      <c r="I1187" s="10" t="str">
        <f>IFERROR(__xludf.DUMMYFUNCTION("""COMPUTED_VALUE"""),"")</f>
        <v/>
      </c>
    </row>
    <row r="1188">
      <c r="A1188" s="10" t="str">
        <f>IFERROR(__xludf.DUMMYFUNCTION("""COMPUTED_VALUE"""),"")</f>
        <v/>
      </c>
      <c r="B1188" s="10" t="str">
        <f>IFERROR(__xludf.DUMMYFUNCTION("""COMPUTED_VALUE"""),"")</f>
        <v/>
      </c>
      <c r="C1188" s="10" t="str">
        <f>IFERROR(__xludf.DUMMYFUNCTION("""COMPUTED_VALUE"""),"")</f>
        <v/>
      </c>
      <c r="D1188" s="10" t="str">
        <f>IFERROR(__xludf.DUMMYFUNCTION("""COMPUTED_VALUE"""),"")</f>
        <v/>
      </c>
      <c r="E1188" s="10" t="str">
        <f>IFERROR(__xludf.DUMMYFUNCTION("""COMPUTED_VALUE"""),"")</f>
        <v/>
      </c>
      <c r="F1188" s="10" t="str">
        <f>IFERROR(__xludf.DUMMYFUNCTION("""COMPUTED_VALUE"""),"")</f>
        <v/>
      </c>
      <c r="G1188" s="10" t="str">
        <f>IFERROR(__xludf.DUMMYFUNCTION("""COMPUTED_VALUE"""),"")</f>
        <v/>
      </c>
      <c r="H1188" s="10" t="str">
        <f>IFERROR(__xludf.DUMMYFUNCTION("""COMPUTED_VALUE"""),"")</f>
        <v/>
      </c>
      <c r="I1188" s="10" t="str">
        <f>IFERROR(__xludf.DUMMYFUNCTION("""COMPUTED_VALUE"""),"")</f>
        <v/>
      </c>
    </row>
    <row r="1189">
      <c r="A1189" s="10" t="str">
        <f>IFERROR(__xludf.DUMMYFUNCTION("""COMPUTED_VALUE"""),"")</f>
        <v/>
      </c>
      <c r="B1189" s="10" t="str">
        <f>IFERROR(__xludf.DUMMYFUNCTION("""COMPUTED_VALUE"""),"")</f>
        <v/>
      </c>
      <c r="C1189" s="10" t="str">
        <f>IFERROR(__xludf.DUMMYFUNCTION("""COMPUTED_VALUE"""),"")</f>
        <v/>
      </c>
      <c r="D1189" s="10" t="str">
        <f>IFERROR(__xludf.DUMMYFUNCTION("""COMPUTED_VALUE"""),"")</f>
        <v/>
      </c>
      <c r="E1189" s="10" t="str">
        <f>IFERROR(__xludf.DUMMYFUNCTION("""COMPUTED_VALUE"""),"")</f>
        <v/>
      </c>
      <c r="F1189" s="10" t="str">
        <f>IFERROR(__xludf.DUMMYFUNCTION("""COMPUTED_VALUE"""),"")</f>
        <v/>
      </c>
      <c r="G1189" s="10" t="str">
        <f>IFERROR(__xludf.DUMMYFUNCTION("""COMPUTED_VALUE"""),"")</f>
        <v/>
      </c>
      <c r="H1189" s="10" t="str">
        <f>IFERROR(__xludf.DUMMYFUNCTION("""COMPUTED_VALUE"""),"")</f>
        <v/>
      </c>
      <c r="I1189" s="10" t="str">
        <f>IFERROR(__xludf.DUMMYFUNCTION("""COMPUTED_VALUE"""),"")</f>
        <v/>
      </c>
    </row>
    <row r="1190">
      <c r="A1190" s="10" t="str">
        <f>IFERROR(__xludf.DUMMYFUNCTION("""COMPUTED_VALUE"""),"")</f>
        <v/>
      </c>
      <c r="B1190" s="10" t="str">
        <f>IFERROR(__xludf.DUMMYFUNCTION("""COMPUTED_VALUE"""),"")</f>
        <v/>
      </c>
      <c r="C1190" s="10" t="str">
        <f>IFERROR(__xludf.DUMMYFUNCTION("""COMPUTED_VALUE"""),"")</f>
        <v/>
      </c>
      <c r="D1190" s="10" t="str">
        <f>IFERROR(__xludf.DUMMYFUNCTION("""COMPUTED_VALUE"""),"")</f>
        <v/>
      </c>
      <c r="E1190" s="10" t="str">
        <f>IFERROR(__xludf.DUMMYFUNCTION("""COMPUTED_VALUE"""),"")</f>
        <v/>
      </c>
      <c r="F1190" s="10" t="str">
        <f>IFERROR(__xludf.DUMMYFUNCTION("""COMPUTED_VALUE"""),"")</f>
        <v/>
      </c>
      <c r="G1190" s="10" t="str">
        <f>IFERROR(__xludf.DUMMYFUNCTION("""COMPUTED_VALUE"""),"")</f>
        <v/>
      </c>
      <c r="H1190" s="10" t="str">
        <f>IFERROR(__xludf.DUMMYFUNCTION("""COMPUTED_VALUE"""),"")</f>
        <v/>
      </c>
      <c r="I1190" s="10" t="str">
        <f>IFERROR(__xludf.DUMMYFUNCTION("""COMPUTED_VALUE"""),"")</f>
        <v/>
      </c>
    </row>
    <row r="1191">
      <c r="A1191" s="10" t="str">
        <f>IFERROR(__xludf.DUMMYFUNCTION("""COMPUTED_VALUE"""),"")</f>
        <v/>
      </c>
      <c r="B1191" s="10" t="str">
        <f>IFERROR(__xludf.DUMMYFUNCTION("""COMPUTED_VALUE"""),"")</f>
        <v/>
      </c>
      <c r="C1191" s="10" t="str">
        <f>IFERROR(__xludf.DUMMYFUNCTION("""COMPUTED_VALUE"""),"")</f>
        <v/>
      </c>
      <c r="D1191" s="10" t="str">
        <f>IFERROR(__xludf.DUMMYFUNCTION("""COMPUTED_VALUE"""),"")</f>
        <v/>
      </c>
      <c r="E1191" s="10" t="str">
        <f>IFERROR(__xludf.DUMMYFUNCTION("""COMPUTED_VALUE"""),"")</f>
        <v/>
      </c>
      <c r="F1191" s="10" t="str">
        <f>IFERROR(__xludf.DUMMYFUNCTION("""COMPUTED_VALUE"""),"")</f>
        <v/>
      </c>
      <c r="G1191" s="10" t="str">
        <f>IFERROR(__xludf.DUMMYFUNCTION("""COMPUTED_VALUE"""),"")</f>
        <v/>
      </c>
      <c r="H1191" s="10" t="str">
        <f>IFERROR(__xludf.DUMMYFUNCTION("""COMPUTED_VALUE"""),"")</f>
        <v/>
      </c>
      <c r="I1191" s="10" t="str">
        <f>IFERROR(__xludf.DUMMYFUNCTION("""COMPUTED_VALUE"""),"")</f>
        <v/>
      </c>
    </row>
    <row r="1192">
      <c r="A1192" s="10" t="str">
        <f>IFERROR(__xludf.DUMMYFUNCTION("""COMPUTED_VALUE"""),"")</f>
        <v/>
      </c>
      <c r="B1192" s="10" t="str">
        <f>IFERROR(__xludf.DUMMYFUNCTION("""COMPUTED_VALUE"""),"")</f>
        <v/>
      </c>
      <c r="C1192" s="10" t="str">
        <f>IFERROR(__xludf.DUMMYFUNCTION("""COMPUTED_VALUE"""),"")</f>
        <v/>
      </c>
      <c r="D1192" s="10" t="str">
        <f>IFERROR(__xludf.DUMMYFUNCTION("""COMPUTED_VALUE"""),"")</f>
        <v/>
      </c>
      <c r="E1192" s="10" t="str">
        <f>IFERROR(__xludf.DUMMYFUNCTION("""COMPUTED_VALUE"""),"")</f>
        <v/>
      </c>
      <c r="F1192" s="10" t="str">
        <f>IFERROR(__xludf.DUMMYFUNCTION("""COMPUTED_VALUE"""),"")</f>
        <v/>
      </c>
      <c r="G1192" s="10" t="str">
        <f>IFERROR(__xludf.DUMMYFUNCTION("""COMPUTED_VALUE"""),"")</f>
        <v/>
      </c>
      <c r="H1192" s="10" t="str">
        <f>IFERROR(__xludf.DUMMYFUNCTION("""COMPUTED_VALUE"""),"")</f>
        <v/>
      </c>
      <c r="I1192" s="10" t="str">
        <f>IFERROR(__xludf.DUMMYFUNCTION("""COMPUTED_VALUE"""),"")</f>
        <v/>
      </c>
    </row>
    <row r="1193">
      <c r="A1193" s="10" t="str">
        <f>IFERROR(__xludf.DUMMYFUNCTION("""COMPUTED_VALUE"""),"")</f>
        <v/>
      </c>
      <c r="B1193" s="10" t="str">
        <f>IFERROR(__xludf.DUMMYFUNCTION("""COMPUTED_VALUE"""),"")</f>
        <v/>
      </c>
      <c r="C1193" s="10" t="str">
        <f>IFERROR(__xludf.DUMMYFUNCTION("""COMPUTED_VALUE"""),"")</f>
        <v/>
      </c>
      <c r="D1193" s="10" t="str">
        <f>IFERROR(__xludf.DUMMYFUNCTION("""COMPUTED_VALUE"""),"")</f>
        <v/>
      </c>
      <c r="E1193" s="10" t="str">
        <f>IFERROR(__xludf.DUMMYFUNCTION("""COMPUTED_VALUE"""),"")</f>
        <v/>
      </c>
      <c r="F1193" s="10" t="str">
        <f>IFERROR(__xludf.DUMMYFUNCTION("""COMPUTED_VALUE"""),"")</f>
        <v/>
      </c>
      <c r="G1193" s="10" t="str">
        <f>IFERROR(__xludf.DUMMYFUNCTION("""COMPUTED_VALUE"""),"")</f>
        <v/>
      </c>
      <c r="H1193" s="10" t="str">
        <f>IFERROR(__xludf.DUMMYFUNCTION("""COMPUTED_VALUE"""),"")</f>
        <v/>
      </c>
      <c r="I1193" s="10" t="str">
        <f>IFERROR(__xludf.DUMMYFUNCTION("""COMPUTED_VALUE"""),"")</f>
        <v/>
      </c>
    </row>
    <row r="1194">
      <c r="A1194" s="10" t="str">
        <f>IFERROR(__xludf.DUMMYFUNCTION("""COMPUTED_VALUE"""),"")</f>
        <v/>
      </c>
      <c r="B1194" s="10" t="str">
        <f>IFERROR(__xludf.DUMMYFUNCTION("""COMPUTED_VALUE"""),"")</f>
        <v/>
      </c>
      <c r="C1194" s="10" t="str">
        <f>IFERROR(__xludf.DUMMYFUNCTION("""COMPUTED_VALUE"""),"")</f>
        <v/>
      </c>
      <c r="D1194" s="10" t="str">
        <f>IFERROR(__xludf.DUMMYFUNCTION("""COMPUTED_VALUE"""),"")</f>
        <v/>
      </c>
      <c r="E1194" s="10" t="str">
        <f>IFERROR(__xludf.DUMMYFUNCTION("""COMPUTED_VALUE"""),"")</f>
        <v/>
      </c>
      <c r="F1194" s="10" t="str">
        <f>IFERROR(__xludf.DUMMYFUNCTION("""COMPUTED_VALUE"""),"")</f>
        <v/>
      </c>
      <c r="G1194" s="10" t="str">
        <f>IFERROR(__xludf.DUMMYFUNCTION("""COMPUTED_VALUE"""),"")</f>
        <v/>
      </c>
      <c r="H1194" s="10" t="str">
        <f>IFERROR(__xludf.DUMMYFUNCTION("""COMPUTED_VALUE"""),"")</f>
        <v/>
      </c>
      <c r="I1194" s="10" t="str">
        <f>IFERROR(__xludf.DUMMYFUNCTION("""COMPUTED_VALUE"""),"")</f>
        <v/>
      </c>
    </row>
    <row r="1195">
      <c r="A1195" s="10" t="str">
        <f>IFERROR(__xludf.DUMMYFUNCTION("""COMPUTED_VALUE"""),"")</f>
        <v/>
      </c>
      <c r="B1195" s="10" t="str">
        <f>IFERROR(__xludf.DUMMYFUNCTION("""COMPUTED_VALUE"""),"")</f>
        <v/>
      </c>
      <c r="C1195" s="10" t="str">
        <f>IFERROR(__xludf.DUMMYFUNCTION("""COMPUTED_VALUE"""),"")</f>
        <v/>
      </c>
      <c r="D1195" s="10" t="str">
        <f>IFERROR(__xludf.DUMMYFUNCTION("""COMPUTED_VALUE"""),"")</f>
        <v/>
      </c>
      <c r="E1195" s="10" t="str">
        <f>IFERROR(__xludf.DUMMYFUNCTION("""COMPUTED_VALUE"""),"")</f>
        <v/>
      </c>
      <c r="F1195" s="10" t="str">
        <f>IFERROR(__xludf.DUMMYFUNCTION("""COMPUTED_VALUE"""),"")</f>
        <v/>
      </c>
      <c r="G1195" s="10" t="str">
        <f>IFERROR(__xludf.DUMMYFUNCTION("""COMPUTED_VALUE"""),"")</f>
        <v/>
      </c>
      <c r="H1195" s="10" t="str">
        <f>IFERROR(__xludf.DUMMYFUNCTION("""COMPUTED_VALUE"""),"")</f>
        <v/>
      </c>
      <c r="I1195" s="10" t="str">
        <f>IFERROR(__xludf.DUMMYFUNCTION("""COMPUTED_VALUE"""),"")</f>
        <v/>
      </c>
    </row>
    <row r="1196">
      <c r="A1196" s="10" t="str">
        <f>IFERROR(__xludf.DUMMYFUNCTION("""COMPUTED_VALUE"""),"")</f>
        <v/>
      </c>
      <c r="B1196" s="10" t="str">
        <f>IFERROR(__xludf.DUMMYFUNCTION("""COMPUTED_VALUE"""),"")</f>
        <v/>
      </c>
      <c r="C1196" s="10" t="str">
        <f>IFERROR(__xludf.DUMMYFUNCTION("""COMPUTED_VALUE"""),"")</f>
        <v/>
      </c>
      <c r="D1196" s="10" t="str">
        <f>IFERROR(__xludf.DUMMYFUNCTION("""COMPUTED_VALUE"""),"")</f>
        <v/>
      </c>
      <c r="E1196" s="10" t="str">
        <f>IFERROR(__xludf.DUMMYFUNCTION("""COMPUTED_VALUE"""),"")</f>
        <v/>
      </c>
      <c r="F1196" s="10" t="str">
        <f>IFERROR(__xludf.DUMMYFUNCTION("""COMPUTED_VALUE"""),"")</f>
        <v/>
      </c>
      <c r="G1196" s="10" t="str">
        <f>IFERROR(__xludf.DUMMYFUNCTION("""COMPUTED_VALUE"""),"")</f>
        <v/>
      </c>
      <c r="H1196" s="10" t="str">
        <f>IFERROR(__xludf.DUMMYFUNCTION("""COMPUTED_VALUE"""),"")</f>
        <v/>
      </c>
      <c r="I1196" s="10" t="str">
        <f>IFERROR(__xludf.DUMMYFUNCTION("""COMPUTED_VALUE"""),"")</f>
        <v/>
      </c>
    </row>
    <row r="1197">
      <c r="A1197" s="10" t="str">
        <f>IFERROR(__xludf.DUMMYFUNCTION("""COMPUTED_VALUE"""),"")</f>
        <v/>
      </c>
      <c r="B1197" s="10" t="str">
        <f>IFERROR(__xludf.DUMMYFUNCTION("""COMPUTED_VALUE"""),"")</f>
        <v/>
      </c>
      <c r="C1197" s="10" t="str">
        <f>IFERROR(__xludf.DUMMYFUNCTION("""COMPUTED_VALUE"""),"")</f>
        <v/>
      </c>
      <c r="D1197" s="10" t="str">
        <f>IFERROR(__xludf.DUMMYFUNCTION("""COMPUTED_VALUE"""),"")</f>
        <v/>
      </c>
      <c r="E1197" s="10" t="str">
        <f>IFERROR(__xludf.DUMMYFUNCTION("""COMPUTED_VALUE"""),"")</f>
        <v/>
      </c>
      <c r="F1197" s="10" t="str">
        <f>IFERROR(__xludf.DUMMYFUNCTION("""COMPUTED_VALUE"""),"")</f>
        <v/>
      </c>
      <c r="G1197" s="10" t="str">
        <f>IFERROR(__xludf.DUMMYFUNCTION("""COMPUTED_VALUE"""),"")</f>
        <v/>
      </c>
      <c r="H1197" s="10" t="str">
        <f>IFERROR(__xludf.DUMMYFUNCTION("""COMPUTED_VALUE"""),"")</f>
        <v/>
      </c>
      <c r="I1197" s="10" t="str">
        <f>IFERROR(__xludf.DUMMYFUNCTION("""COMPUTED_VALUE"""),"")</f>
        <v/>
      </c>
    </row>
    <row r="1198">
      <c r="A1198" s="10" t="str">
        <f>IFERROR(__xludf.DUMMYFUNCTION("""COMPUTED_VALUE"""),"")</f>
        <v/>
      </c>
      <c r="B1198" s="10" t="str">
        <f>IFERROR(__xludf.DUMMYFUNCTION("""COMPUTED_VALUE"""),"")</f>
        <v/>
      </c>
      <c r="C1198" s="10" t="str">
        <f>IFERROR(__xludf.DUMMYFUNCTION("""COMPUTED_VALUE"""),"")</f>
        <v/>
      </c>
      <c r="D1198" s="10" t="str">
        <f>IFERROR(__xludf.DUMMYFUNCTION("""COMPUTED_VALUE"""),"")</f>
        <v/>
      </c>
      <c r="E1198" s="10" t="str">
        <f>IFERROR(__xludf.DUMMYFUNCTION("""COMPUTED_VALUE"""),"")</f>
        <v/>
      </c>
      <c r="F1198" s="10" t="str">
        <f>IFERROR(__xludf.DUMMYFUNCTION("""COMPUTED_VALUE"""),"")</f>
        <v/>
      </c>
      <c r="G1198" s="10" t="str">
        <f>IFERROR(__xludf.DUMMYFUNCTION("""COMPUTED_VALUE"""),"")</f>
        <v/>
      </c>
      <c r="H1198" s="10" t="str">
        <f>IFERROR(__xludf.DUMMYFUNCTION("""COMPUTED_VALUE"""),"")</f>
        <v/>
      </c>
      <c r="I1198" s="10" t="str">
        <f>IFERROR(__xludf.DUMMYFUNCTION("""COMPUTED_VALUE"""),"")</f>
        <v/>
      </c>
    </row>
    <row r="1199">
      <c r="A1199" s="10" t="str">
        <f>IFERROR(__xludf.DUMMYFUNCTION("""COMPUTED_VALUE"""),"")</f>
        <v/>
      </c>
      <c r="B1199" s="10" t="str">
        <f>IFERROR(__xludf.DUMMYFUNCTION("""COMPUTED_VALUE"""),"")</f>
        <v/>
      </c>
      <c r="C1199" s="10" t="str">
        <f>IFERROR(__xludf.DUMMYFUNCTION("""COMPUTED_VALUE"""),"")</f>
        <v/>
      </c>
      <c r="D1199" s="10" t="str">
        <f>IFERROR(__xludf.DUMMYFUNCTION("""COMPUTED_VALUE"""),"")</f>
        <v/>
      </c>
      <c r="E1199" s="10" t="str">
        <f>IFERROR(__xludf.DUMMYFUNCTION("""COMPUTED_VALUE"""),"")</f>
        <v/>
      </c>
      <c r="F1199" s="10" t="str">
        <f>IFERROR(__xludf.DUMMYFUNCTION("""COMPUTED_VALUE"""),"")</f>
        <v/>
      </c>
      <c r="G1199" s="10" t="str">
        <f>IFERROR(__xludf.DUMMYFUNCTION("""COMPUTED_VALUE"""),"")</f>
        <v/>
      </c>
      <c r="H1199" s="10" t="str">
        <f>IFERROR(__xludf.DUMMYFUNCTION("""COMPUTED_VALUE"""),"")</f>
        <v/>
      </c>
      <c r="I1199" s="10" t="str">
        <f>IFERROR(__xludf.DUMMYFUNCTION("""COMPUTED_VALUE"""),"")</f>
        <v/>
      </c>
    </row>
    <row r="1200">
      <c r="A1200" s="10" t="str">
        <f>IFERROR(__xludf.DUMMYFUNCTION("""COMPUTED_VALUE"""),"")</f>
        <v/>
      </c>
      <c r="B1200" s="10" t="str">
        <f>IFERROR(__xludf.DUMMYFUNCTION("""COMPUTED_VALUE"""),"")</f>
        <v/>
      </c>
      <c r="C1200" s="10" t="str">
        <f>IFERROR(__xludf.DUMMYFUNCTION("""COMPUTED_VALUE"""),"")</f>
        <v/>
      </c>
      <c r="D1200" s="10" t="str">
        <f>IFERROR(__xludf.DUMMYFUNCTION("""COMPUTED_VALUE"""),"")</f>
        <v/>
      </c>
      <c r="E1200" s="10" t="str">
        <f>IFERROR(__xludf.DUMMYFUNCTION("""COMPUTED_VALUE"""),"")</f>
        <v/>
      </c>
      <c r="F1200" s="10" t="str">
        <f>IFERROR(__xludf.DUMMYFUNCTION("""COMPUTED_VALUE"""),"")</f>
        <v/>
      </c>
      <c r="G1200" s="10" t="str">
        <f>IFERROR(__xludf.DUMMYFUNCTION("""COMPUTED_VALUE"""),"")</f>
        <v/>
      </c>
      <c r="H1200" s="10" t="str">
        <f>IFERROR(__xludf.DUMMYFUNCTION("""COMPUTED_VALUE"""),"")</f>
        <v/>
      </c>
      <c r="I1200" s="10" t="str">
        <f>IFERROR(__xludf.DUMMYFUNCTION("""COMPUTED_VALUE"""),"")</f>
        <v/>
      </c>
    </row>
    <row r="1201">
      <c r="A1201" s="10" t="str">
        <f>IFERROR(__xludf.DUMMYFUNCTION("""COMPUTED_VALUE"""),"")</f>
        <v/>
      </c>
      <c r="B1201" s="10" t="str">
        <f>IFERROR(__xludf.DUMMYFUNCTION("""COMPUTED_VALUE"""),"")</f>
        <v/>
      </c>
      <c r="C1201" s="10" t="str">
        <f>IFERROR(__xludf.DUMMYFUNCTION("""COMPUTED_VALUE"""),"")</f>
        <v/>
      </c>
      <c r="D1201" s="10" t="str">
        <f>IFERROR(__xludf.DUMMYFUNCTION("""COMPUTED_VALUE"""),"")</f>
        <v/>
      </c>
      <c r="E1201" s="10" t="str">
        <f>IFERROR(__xludf.DUMMYFUNCTION("""COMPUTED_VALUE"""),"")</f>
        <v/>
      </c>
      <c r="F1201" s="10" t="str">
        <f>IFERROR(__xludf.DUMMYFUNCTION("""COMPUTED_VALUE"""),"")</f>
        <v/>
      </c>
      <c r="G1201" s="10" t="str">
        <f>IFERROR(__xludf.DUMMYFUNCTION("""COMPUTED_VALUE"""),"")</f>
        <v/>
      </c>
      <c r="H1201" s="10" t="str">
        <f>IFERROR(__xludf.DUMMYFUNCTION("""COMPUTED_VALUE"""),"")</f>
        <v/>
      </c>
      <c r="I1201" s="10" t="str">
        <f>IFERROR(__xludf.DUMMYFUNCTION("""COMPUTED_VALUE"""),"")</f>
        <v/>
      </c>
    </row>
    <row r="1202">
      <c r="A1202" s="10" t="str">
        <f>IFERROR(__xludf.DUMMYFUNCTION("""COMPUTED_VALUE"""),"")</f>
        <v/>
      </c>
      <c r="B1202" s="10" t="str">
        <f>IFERROR(__xludf.DUMMYFUNCTION("""COMPUTED_VALUE"""),"")</f>
        <v/>
      </c>
      <c r="C1202" s="10" t="str">
        <f>IFERROR(__xludf.DUMMYFUNCTION("""COMPUTED_VALUE"""),"")</f>
        <v/>
      </c>
      <c r="D1202" s="10" t="str">
        <f>IFERROR(__xludf.DUMMYFUNCTION("""COMPUTED_VALUE"""),"")</f>
        <v/>
      </c>
      <c r="E1202" s="10" t="str">
        <f>IFERROR(__xludf.DUMMYFUNCTION("""COMPUTED_VALUE"""),"")</f>
        <v/>
      </c>
      <c r="F1202" s="10" t="str">
        <f>IFERROR(__xludf.DUMMYFUNCTION("""COMPUTED_VALUE"""),"")</f>
        <v/>
      </c>
      <c r="G1202" s="10" t="str">
        <f>IFERROR(__xludf.DUMMYFUNCTION("""COMPUTED_VALUE"""),"")</f>
        <v/>
      </c>
      <c r="H1202" s="10" t="str">
        <f>IFERROR(__xludf.DUMMYFUNCTION("""COMPUTED_VALUE"""),"")</f>
        <v/>
      </c>
      <c r="I1202" s="10" t="str">
        <f>IFERROR(__xludf.DUMMYFUNCTION("""COMPUTED_VALUE"""),"")</f>
        <v/>
      </c>
    </row>
    <row r="1203">
      <c r="A1203" s="10" t="str">
        <f>IFERROR(__xludf.DUMMYFUNCTION("""COMPUTED_VALUE"""),"")</f>
        <v/>
      </c>
      <c r="B1203" s="10" t="str">
        <f>IFERROR(__xludf.DUMMYFUNCTION("""COMPUTED_VALUE"""),"")</f>
        <v/>
      </c>
      <c r="C1203" s="10" t="str">
        <f>IFERROR(__xludf.DUMMYFUNCTION("""COMPUTED_VALUE"""),"")</f>
        <v/>
      </c>
      <c r="D1203" s="10" t="str">
        <f>IFERROR(__xludf.DUMMYFUNCTION("""COMPUTED_VALUE"""),"")</f>
        <v/>
      </c>
      <c r="E1203" s="10" t="str">
        <f>IFERROR(__xludf.DUMMYFUNCTION("""COMPUTED_VALUE"""),"")</f>
        <v/>
      </c>
      <c r="F1203" s="10" t="str">
        <f>IFERROR(__xludf.DUMMYFUNCTION("""COMPUTED_VALUE"""),"")</f>
        <v/>
      </c>
      <c r="G1203" s="10" t="str">
        <f>IFERROR(__xludf.DUMMYFUNCTION("""COMPUTED_VALUE"""),"")</f>
        <v/>
      </c>
      <c r="H1203" s="10" t="str">
        <f>IFERROR(__xludf.DUMMYFUNCTION("""COMPUTED_VALUE"""),"")</f>
        <v/>
      </c>
      <c r="I1203" s="10" t="str">
        <f>IFERROR(__xludf.DUMMYFUNCTION("""COMPUTED_VALUE"""),"")</f>
        <v/>
      </c>
    </row>
    <row r="1204">
      <c r="A1204" s="10" t="str">
        <f>IFERROR(__xludf.DUMMYFUNCTION("""COMPUTED_VALUE"""),"")</f>
        <v/>
      </c>
      <c r="B1204" s="10" t="str">
        <f>IFERROR(__xludf.DUMMYFUNCTION("""COMPUTED_VALUE"""),"")</f>
        <v/>
      </c>
      <c r="C1204" s="10" t="str">
        <f>IFERROR(__xludf.DUMMYFUNCTION("""COMPUTED_VALUE"""),"")</f>
        <v/>
      </c>
      <c r="D1204" s="10" t="str">
        <f>IFERROR(__xludf.DUMMYFUNCTION("""COMPUTED_VALUE"""),"")</f>
        <v/>
      </c>
      <c r="E1204" s="10" t="str">
        <f>IFERROR(__xludf.DUMMYFUNCTION("""COMPUTED_VALUE"""),"")</f>
        <v/>
      </c>
      <c r="F1204" s="10" t="str">
        <f>IFERROR(__xludf.DUMMYFUNCTION("""COMPUTED_VALUE"""),"")</f>
        <v/>
      </c>
      <c r="G1204" s="10" t="str">
        <f>IFERROR(__xludf.DUMMYFUNCTION("""COMPUTED_VALUE"""),"")</f>
        <v/>
      </c>
      <c r="H1204" s="10" t="str">
        <f>IFERROR(__xludf.DUMMYFUNCTION("""COMPUTED_VALUE"""),"")</f>
        <v/>
      </c>
      <c r="I1204" s="10" t="str">
        <f>IFERROR(__xludf.DUMMYFUNCTION("""COMPUTED_VALUE"""),"")</f>
        <v/>
      </c>
    </row>
    <row r="1205">
      <c r="A1205" s="10" t="str">
        <f>IFERROR(__xludf.DUMMYFUNCTION("""COMPUTED_VALUE"""),"")</f>
        <v/>
      </c>
      <c r="B1205" s="10" t="str">
        <f>IFERROR(__xludf.DUMMYFUNCTION("""COMPUTED_VALUE"""),"")</f>
        <v/>
      </c>
      <c r="C1205" s="10" t="str">
        <f>IFERROR(__xludf.DUMMYFUNCTION("""COMPUTED_VALUE"""),"")</f>
        <v/>
      </c>
      <c r="D1205" s="10" t="str">
        <f>IFERROR(__xludf.DUMMYFUNCTION("""COMPUTED_VALUE"""),"")</f>
        <v/>
      </c>
      <c r="E1205" s="10" t="str">
        <f>IFERROR(__xludf.DUMMYFUNCTION("""COMPUTED_VALUE"""),"")</f>
        <v/>
      </c>
      <c r="F1205" s="10" t="str">
        <f>IFERROR(__xludf.DUMMYFUNCTION("""COMPUTED_VALUE"""),"")</f>
        <v/>
      </c>
      <c r="G1205" s="10" t="str">
        <f>IFERROR(__xludf.DUMMYFUNCTION("""COMPUTED_VALUE"""),"")</f>
        <v/>
      </c>
      <c r="H1205" s="10" t="str">
        <f>IFERROR(__xludf.DUMMYFUNCTION("""COMPUTED_VALUE"""),"")</f>
        <v/>
      </c>
      <c r="I1205" s="10" t="str">
        <f>IFERROR(__xludf.DUMMYFUNCTION("""COMPUTED_VALUE"""),"")</f>
        <v/>
      </c>
    </row>
    <row r="1206">
      <c r="A1206" s="10" t="str">
        <f>IFERROR(__xludf.DUMMYFUNCTION("""COMPUTED_VALUE"""),"")</f>
        <v/>
      </c>
      <c r="B1206" s="10" t="str">
        <f>IFERROR(__xludf.DUMMYFUNCTION("""COMPUTED_VALUE"""),"")</f>
        <v/>
      </c>
      <c r="C1206" s="10" t="str">
        <f>IFERROR(__xludf.DUMMYFUNCTION("""COMPUTED_VALUE"""),"")</f>
        <v/>
      </c>
      <c r="D1206" s="10" t="str">
        <f>IFERROR(__xludf.DUMMYFUNCTION("""COMPUTED_VALUE"""),"")</f>
        <v/>
      </c>
      <c r="E1206" s="10" t="str">
        <f>IFERROR(__xludf.DUMMYFUNCTION("""COMPUTED_VALUE"""),"")</f>
        <v/>
      </c>
      <c r="F1206" s="10" t="str">
        <f>IFERROR(__xludf.DUMMYFUNCTION("""COMPUTED_VALUE"""),"")</f>
        <v/>
      </c>
      <c r="G1206" s="10" t="str">
        <f>IFERROR(__xludf.DUMMYFUNCTION("""COMPUTED_VALUE"""),"")</f>
        <v/>
      </c>
      <c r="H1206" s="10" t="str">
        <f>IFERROR(__xludf.DUMMYFUNCTION("""COMPUTED_VALUE"""),"")</f>
        <v/>
      </c>
      <c r="I1206" s="10" t="str">
        <f>IFERROR(__xludf.DUMMYFUNCTION("""COMPUTED_VALUE"""),"")</f>
        <v/>
      </c>
    </row>
    <row r="1207">
      <c r="A1207" s="10" t="str">
        <f>IFERROR(__xludf.DUMMYFUNCTION("""COMPUTED_VALUE"""),"")</f>
        <v/>
      </c>
      <c r="B1207" s="10" t="str">
        <f>IFERROR(__xludf.DUMMYFUNCTION("""COMPUTED_VALUE"""),"")</f>
        <v/>
      </c>
      <c r="C1207" s="10" t="str">
        <f>IFERROR(__xludf.DUMMYFUNCTION("""COMPUTED_VALUE"""),"")</f>
        <v/>
      </c>
      <c r="D1207" s="10" t="str">
        <f>IFERROR(__xludf.DUMMYFUNCTION("""COMPUTED_VALUE"""),"")</f>
        <v/>
      </c>
      <c r="E1207" s="10" t="str">
        <f>IFERROR(__xludf.DUMMYFUNCTION("""COMPUTED_VALUE"""),"")</f>
        <v/>
      </c>
      <c r="F1207" s="10" t="str">
        <f>IFERROR(__xludf.DUMMYFUNCTION("""COMPUTED_VALUE"""),"")</f>
        <v/>
      </c>
      <c r="G1207" s="10" t="str">
        <f>IFERROR(__xludf.DUMMYFUNCTION("""COMPUTED_VALUE"""),"")</f>
        <v/>
      </c>
      <c r="H1207" s="10" t="str">
        <f>IFERROR(__xludf.DUMMYFUNCTION("""COMPUTED_VALUE"""),"")</f>
        <v/>
      </c>
      <c r="I1207" s="10" t="str">
        <f>IFERROR(__xludf.DUMMYFUNCTION("""COMPUTED_VALUE"""),"")</f>
        <v/>
      </c>
    </row>
    <row r="1208">
      <c r="A1208" s="10" t="str">
        <f>IFERROR(__xludf.DUMMYFUNCTION("""COMPUTED_VALUE"""),"")</f>
        <v/>
      </c>
      <c r="B1208" s="10" t="str">
        <f>IFERROR(__xludf.DUMMYFUNCTION("""COMPUTED_VALUE"""),"")</f>
        <v/>
      </c>
      <c r="C1208" s="10" t="str">
        <f>IFERROR(__xludf.DUMMYFUNCTION("""COMPUTED_VALUE"""),"")</f>
        <v/>
      </c>
      <c r="D1208" s="10" t="str">
        <f>IFERROR(__xludf.DUMMYFUNCTION("""COMPUTED_VALUE"""),"")</f>
        <v/>
      </c>
      <c r="E1208" s="10" t="str">
        <f>IFERROR(__xludf.DUMMYFUNCTION("""COMPUTED_VALUE"""),"")</f>
        <v/>
      </c>
      <c r="F1208" s="10" t="str">
        <f>IFERROR(__xludf.DUMMYFUNCTION("""COMPUTED_VALUE"""),"")</f>
        <v/>
      </c>
      <c r="G1208" s="10" t="str">
        <f>IFERROR(__xludf.DUMMYFUNCTION("""COMPUTED_VALUE"""),"")</f>
        <v/>
      </c>
      <c r="H1208" s="10" t="str">
        <f>IFERROR(__xludf.DUMMYFUNCTION("""COMPUTED_VALUE"""),"")</f>
        <v/>
      </c>
      <c r="I1208" s="10" t="str">
        <f>IFERROR(__xludf.DUMMYFUNCTION("""COMPUTED_VALUE"""),"")</f>
        <v/>
      </c>
    </row>
    <row r="1209">
      <c r="A1209" s="10" t="str">
        <f>IFERROR(__xludf.DUMMYFUNCTION("""COMPUTED_VALUE"""),"")</f>
        <v/>
      </c>
      <c r="B1209" s="10" t="str">
        <f>IFERROR(__xludf.DUMMYFUNCTION("""COMPUTED_VALUE"""),"")</f>
        <v/>
      </c>
      <c r="C1209" s="10" t="str">
        <f>IFERROR(__xludf.DUMMYFUNCTION("""COMPUTED_VALUE"""),"")</f>
        <v/>
      </c>
      <c r="D1209" s="10" t="str">
        <f>IFERROR(__xludf.DUMMYFUNCTION("""COMPUTED_VALUE"""),"")</f>
        <v/>
      </c>
      <c r="E1209" s="10" t="str">
        <f>IFERROR(__xludf.DUMMYFUNCTION("""COMPUTED_VALUE"""),"")</f>
        <v/>
      </c>
      <c r="F1209" s="10" t="str">
        <f>IFERROR(__xludf.DUMMYFUNCTION("""COMPUTED_VALUE"""),"")</f>
        <v/>
      </c>
      <c r="G1209" s="10" t="str">
        <f>IFERROR(__xludf.DUMMYFUNCTION("""COMPUTED_VALUE"""),"")</f>
        <v/>
      </c>
      <c r="H1209" s="10" t="str">
        <f>IFERROR(__xludf.DUMMYFUNCTION("""COMPUTED_VALUE"""),"")</f>
        <v/>
      </c>
      <c r="I1209" s="10" t="str">
        <f>IFERROR(__xludf.DUMMYFUNCTION("""COMPUTED_VALUE"""),"")</f>
        <v/>
      </c>
    </row>
    <row r="1210">
      <c r="A1210" s="10" t="str">
        <f>IFERROR(__xludf.DUMMYFUNCTION("""COMPUTED_VALUE"""),"")</f>
        <v/>
      </c>
      <c r="B1210" s="10" t="str">
        <f>IFERROR(__xludf.DUMMYFUNCTION("""COMPUTED_VALUE"""),"")</f>
        <v/>
      </c>
      <c r="C1210" s="10" t="str">
        <f>IFERROR(__xludf.DUMMYFUNCTION("""COMPUTED_VALUE"""),"")</f>
        <v/>
      </c>
      <c r="D1210" s="10" t="str">
        <f>IFERROR(__xludf.DUMMYFUNCTION("""COMPUTED_VALUE"""),"")</f>
        <v/>
      </c>
      <c r="E1210" s="10" t="str">
        <f>IFERROR(__xludf.DUMMYFUNCTION("""COMPUTED_VALUE"""),"")</f>
        <v/>
      </c>
      <c r="F1210" s="10" t="str">
        <f>IFERROR(__xludf.DUMMYFUNCTION("""COMPUTED_VALUE"""),"")</f>
        <v/>
      </c>
      <c r="G1210" s="10" t="str">
        <f>IFERROR(__xludf.DUMMYFUNCTION("""COMPUTED_VALUE"""),"")</f>
        <v/>
      </c>
      <c r="H1210" s="10" t="str">
        <f>IFERROR(__xludf.DUMMYFUNCTION("""COMPUTED_VALUE"""),"")</f>
        <v/>
      </c>
      <c r="I1210" s="10" t="str">
        <f>IFERROR(__xludf.DUMMYFUNCTION("""COMPUTED_VALUE"""),"")</f>
        <v/>
      </c>
    </row>
    <row r="1211">
      <c r="A1211" s="10" t="str">
        <f>IFERROR(__xludf.DUMMYFUNCTION("""COMPUTED_VALUE"""),"")</f>
        <v/>
      </c>
      <c r="B1211" s="10" t="str">
        <f>IFERROR(__xludf.DUMMYFUNCTION("""COMPUTED_VALUE"""),"")</f>
        <v/>
      </c>
      <c r="C1211" s="10" t="str">
        <f>IFERROR(__xludf.DUMMYFUNCTION("""COMPUTED_VALUE"""),"")</f>
        <v/>
      </c>
      <c r="D1211" s="10" t="str">
        <f>IFERROR(__xludf.DUMMYFUNCTION("""COMPUTED_VALUE"""),"")</f>
        <v/>
      </c>
      <c r="E1211" s="10" t="str">
        <f>IFERROR(__xludf.DUMMYFUNCTION("""COMPUTED_VALUE"""),"")</f>
        <v/>
      </c>
      <c r="F1211" s="10" t="str">
        <f>IFERROR(__xludf.DUMMYFUNCTION("""COMPUTED_VALUE"""),"")</f>
        <v/>
      </c>
      <c r="G1211" s="10" t="str">
        <f>IFERROR(__xludf.DUMMYFUNCTION("""COMPUTED_VALUE"""),"")</f>
        <v/>
      </c>
      <c r="H1211" s="10" t="str">
        <f>IFERROR(__xludf.DUMMYFUNCTION("""COMPUTED_VALUE"""),"")</f>
        <v/>
      </c>
      <c r="I1211" s="10" t="str">
        <f>IFERROR(__xludf.DUMMYFUNCTION("""COMPUTED_VALUE"""),"")</f>
        <v/>
      </c>
    </row>
    <row r="1212">
      <c r="A1212" s="10" t="str">
        <f>IFERROR(__xludf.DUMMYFUNCTION("""COMPUTED_VALUE"""),"")</f>
        <v/>
      </c>
      <c r="B1212" s="10" t="str">
        <f>IFERROR(__xludf.DUMMYFUNCTION("""COMPUTED_VALUE"""),"")</f>
        <v/>
      </c>
      <c r="C1212" s="10" t="str">
        <f>IFERROR(__xludf.DUMMYFUNCTION("""COMPUTED_VALUE"""),"")</f>
        <v/>
      </c>
      <c r="D1212" s="10" t="str">
        <f>IFERROR(__xludf.DUMMYFUNCTION("""COMPUTED_VALUE"""),"")</f>
        <v/>
      </c>
      <c r="E1212" s="10" t="str">
        <f>IFERROR(__xludf.DUMMYFUNCTION("""COMPUTED_VALUE"""),"")</f>
        <v/>
      </c>
      <c r="F1212" s="10" t="str">
        <f>IFERROR(__xludf.DUMMYFUNCTION("""COMPUTED_VALUE"""),"")</f>
        <v/>
      </c>
      <c r="G1212" s="10" t="str">
        <f>IFERROR(__xludf.DUMMYFUNCTION("""COMPUTED_VALUE"""),"")</f>
        <v/>
      </c>
      <c r="H1212" s="10" t="str">
        <f>IFERROR(__xludf.DUMMYFUNCTION("""COMPUTED_VALUE"""),"")</f>
        <v/>
      </c>
      <c r="I1212" s="10" t="str">
        <f>IFERROR(__xludf.DUMMYFUNCTION("""COMPUTED_VALUE"""),"")</f>
        <v/>
      </c>
    </row>
    <row r="1213">
      <c r="A1213" s="10" t="str">
        <f>IFERROR(__xludf.DUMMYFUNCTION("""COMPUTED_VALUE"""),"")</f>
        <v/>
      </c>
      <c r="B1213" s="10" t="str">
        <f>IFERROR(__xludf.DUMMYFUNCTION("""COMPUTED_VALUE"""),"")</f>
        <v/>
      </c>
      <c r="C1213" s="10" t="str">
        <f>IFERROR(__xludf.DUMMYFUNCTION("""COMPUTED_VALUE"""),"")</f>
        <v/>
      </c>
      <c r="D1213" s="10" t="str">
        <f>IFERROR(__xludf.DUMMYFUNCTION("""COMPUTED_VALUE"""),"")</f>
        <v/>
      </c>
      <c r="E1213" s="10" t="str">
        <f>IFERROR(__xludf.DUMMYFUNCTION("""COMPUTED_VALUE"""),"")</f>
        <v/>
      </c>
      <c r="F1213" s="10" t="str">
        <f>IFERROR(__xludf.DUMMYFUNCTION("""COMPUTED_VALUE"""),"")</f>
        <v/>
      </c>
      <c r="G1213" s="10" t="str">
        <f>IFERROR(__xludf.DUMMYFUNCTION("""COMPUTED_VALUE"""),"")</f>
        <v/>
      </c>
      <c r="H1213" s="10" t="str">
        <f>IFERROR(__xludf.DUMMYFUNCTION("""COMPUTED_VALUE"""),"")</f>
        <v/>
      </c>
      <c r="I1213" s="10" t="str">
        <f>IFERROR(__xludf.DUMMYFUNCTION("""COMPUTED_VALUE"""),"")</f>
        <v/>
      </c>
    </row>
    <row r="1214">
      <c r="A1214" s="10" t="str">
        <f>IFERROR(__xludf.DUMMYFUNCTION("""COMPUTED_VALUE"""),"")</f>
        <v/>
      </c>
      <c r="B1214" s="10" t="str">
        <f>IFERROR(__xludf.DUMMYFUNCTION("""COMPUTED_VALUE"""),"")</f>
        <v/>
      </c>
      <c r="C1214" s="10" t="str">
        <f>IFERROR(__xludf.DUMMYFUNCTION("""COMPUTED_VALUE"""),"")</f>
        <v/>
      </c>
      <c r="D1214" s="10" t="str">
        <f>IFERROR(__xludf.DUMMYFUNCTION("""COMPUTED_VALUE"""),"")</f>
        <v/>
      </c>
      <c r="E1214" s="10" t="str">
        <f>IFERROR(__xludf.DUMMYFUNCTION("""COMPUTED_VALUE"""),"")</f>
        <v/>
      </c>
      <c r="F1214" s="10" t="str">
        <f>IFERROR(__xludf.DUMMYFUNCTION("""COMPUTED_VALUE"""),"")</f>
        <v/>
      </c>
      <c r="G1214" s="10" t="str">
        <f>IFERROR(__xludf.DUMMYFUNCTION("""COMPUTED_VALUE"""),"")</f>
        <v/>
      </c>
      <c r="H1214" s="10" t="str">
        <f>IFERROR(__xludf.DUMMYFUNCTION("""COMPUTED_VALUE"""),"")</f>
        <v/>
      </c>
      <c r="I1214" s="10" t="str">
        <f>IFERROR(__xludf.DUMMYFUNCTION("""COMPUTED_VALUE"""),"")</f>
        <v/>
      </c>
    </row>
    <row r="1215">
      <c r="A1215" s="10" t="str">
        <f>IFERROR(__xludf.DUMMYFUNCTION("""COMPUTED_VALUE"""),"")</f>
        <v/>
      </c>
      <c r="B1215" s="10" t="str">
        <f>IFERROR(__xludf.DUMMYFUNCTION("""COMPUTED_VALUE"""),"")</f>
        <v/>
      </c>
      <c r="C1215" s="10" t="str">
        <f>IFERROR(__xludf.DUMMYFUNCTION("""COMPUTED_VALUE"""),"")</f>
        <v/>
      </c>
      <c r="D1215" s="10" t="str">
        <f>IFERROR(__xludf.DUMMYFUNCTION("""COMPUTED_VALUE"""),"")</f>
        <v/>
      </c>
      <c r="E1215" s="10" t="str">
        <f>IFERROR(__xludf.DUMMYFUNCTION("""COMPUTED_VALUE"""),"")</f>
        <v/>
      </c>
      <c r="F1215" s="10" t="str">
        <f>IFERROR(__xludf.DUMMYFUNCTION("""COMPUTED_VALUE"""),"")</f>
        <v/>
      </c>
      <c r="G1215" s="10" t="str">
        <f>IFERROR(__xludf.DUMMYFUNCTION("""COMPUTED_VALUE"""),"")</f>
        <v/>
      </c>
      <c r="H1215" s="10" t="str">
        <f>IFERROR(__xludf.DUMMYFUNCTION("""COMPUTED_VALUE"""),"")</f>
        <v/>
      </c>
      <c r="I1215" s="10" t="str">
        <f>IFERROR(__xludf.DUMMYFUNCTION("""COMPUTED_VALUE"""),"")</f>
        <v/>
      </c>
    </row>
    <row r="1216">
      <c r="A1216" s="10" t="str">
        <f>IFERROR(__xludf.DUMMYFUNCTION("""COMPUTED_VALUE"""),"")</f>
        <v/>
      </c>
      <c r="B1216" s="10" t="str">
        <f>IFERROR(__xludf.DUMMYFUNCTION("""COMPUTED_VALUE"""),"")</f>
        <v/>
      </c>
      <c r="C1216" s="10" t="str">
        <f>IFERROR(__xludf.DUMMYFUNCTION("""COMPUTED_VALUE"""),"")</f>
        <v/>
      </c>
      <c r="D1216" s="10" t="str">
        <f>IFERROR(__xludf.DUMMYFUNCTION("""COMPUTED_VALUE"""),"")</f>
        <v/>
      </c>
      <c r="E1216" s="10" t="str">
        <f>IFERROR(__xludf.DUMMYFUNCTION("""COMPUTED_VALUE"""),"")</f>
        <v/>
      </c>
      <c r="F1216" s="10" t="str">
        <f>IFERROR(__xludf.DUMMYFUNCTION("""COMPUTED_VALUE"""),"")</f>
        <v/>
      </c>
      <c r="G1216" s="10" t="str">
        <f>IFERROR(__xludf.DUMMYFUNCTION("""COMPUTED_VALUE"""),"")</f>
        <v/>
      </c>
      <c r="H1216" s="10" t="str">
        <f>IFERROR(__xludf.DUMMYFUNCTION("""COMPUTED_VALUE"""),"")</f>
        <v/>
      </c>
      <c r="I1216" s="10" t="str">
        <f>IFERROR(__xludf.DUMMYFUNCTION("""COMPUTED_VALUE"""),"")</f>
        <v/>
      </c>
    </row>
    <row r="1217">
      <c r="A1217" s="10" t="str">
        <f>IFERROR(__xludf.DUMMYFUNCTION("""COMPUTED_VALUE"""),"")</f>
        <v/>
      </c>
      <c r="B1217" s="10" t="str">
        <f>IFERROR(__xludf.DUMMYFUNCTION("""COMPUTED_VALUE"""),"")</f>
        <v/>
      </c>
      <c r="C1217" s="10" t="str">
        <f>IFERROR(__xludf.DUMMYFUNCTION("""COMPUTED_VALUE"""),"")</f>
        <v/>
      </c>
      <c r="D1217" s="10" t="str">
        <f>IFERROR(__xludf.DUMMYFUNCTION("""COMPUTED_VALUE"""),"")</f>
        <v/>
      </c>
      <c r="E1217" s="10" t="str">
        <f>IFERROR(__xludf.DUMMYFUNCTION("""COMPUTED_VALUE"""),"")</f>
        <v/>
      </c>
      <c r="F1217" s="10" t="str">
        <f>IFERROR(__xludf.DUMMYFUNCTION("""COMPUTED_VALUE"""),"")</f>
        <v/>
      </c>
      <c r="G1217" s="10" t="str">
        <f>IFERROR(__xludf.DUMMYFUNCTION("""COMPUTED_VALUE"""),"")</f>
        <v/>
      </c>
      <c r="H1217" s="10" t="str">
        <f>IFERROR(__xludf.DUMMYFUNCTION("""COMPUTED_VALUE"""),"")</f>
        <v/>
      </c>
      <c r="I1217" s="10" t="str">
        <f>IFERROR(__xludf.DUMMYFUNCTION("""COMPUTED_VALUE"""),"")</f>
        <v/>
      </c>
    </row>
    <row r="1218">
      <c r="A1218" s="10" t="str">
        <f>IFERROR(__xludf.DUMMYFUNCTION("""COMPUTED_VALUE"""),"")</f>
        <v/>
      </c>
      <c r="B1218" s="10" t="str">
        <f>IFERROR(__xludf.DUMMYFUNCTION("""COMPUTED_VALUE"""),"")</f>
        <v/>
      </c>
      <c r="C1218" s="10" t="str">
        <f>IFERROR(__xludf.DUMMYFUNCTION("""COMPUTED_VALUE"""),"")</f>
        <v/>
      </c>
      <c r="D1218" s="10" t="str">
        <f>IFERROR(__xludf.DUMMYFUNCTION("""COMPUTED_VALUE"""),"")</f>
        <v/>
      </c>
      <c r="E1218" s="10" t="str">
        <f>IFERROR(__xludf.DUMMYFUNCTION("""COMPUTED_VALUE"""),"")</f>
        <v/>
      </c>
      <c r="F1218" s="10" t="str">
        <f>IFERROR(__xludf.DUMMYFUNCTION("""COMPUTED_VALUE"""),"")</f>
        <v/>
      </c>
      <c r="G1218" s="10" t="str">
        <f>IFERROR(__xludf.DUMMYFUNCTION("""COMPUTED_VALUE"""),"")</f>
        <v/>
      </c>
      <c r="H1218" s="10" t="str">
        <f>IFERROR(__xludf.DUMMYFUNCTION("""COMPUTED_VALUE"""),"")</f>
        <v/>
      </c>
      <c r="I1218" s="10" t="str">
        <f>IFERROR(__xludf.DUMMYFUNCTION("""COMPUTED_VALUE"""),"")</f>
        <v/>
      </c>
    </row>
    <row r="1219">
      <c r="A1219" s="10" t="str">
        <f>IFERROR(__xludf.DUMMYFUNCTION("""COMPUTED_VALUE"""),"")</f>
        <v/>
      </c>
      <c r="B1219" s="10" t="str">
        <f>IFERROR(__xludf.DUMMYFUNCTION("""COMPUTED_VALUE"""),"")</f>
        <v/>
      </c>
      <c r="C1219" s="10" t="str">
        <f>IFERROR(__xludf.DUMMYFUNCTION("""COMPUTED_VALUE"""),"")</f>
        <v/>
      </c>
      <c r="D1219" s="10" t="str">
        <f>IFERROR(__xludf.DUMMYFUNCTION("""COMPUTED_VALUE"""),"")</f>
        <v/>
      </c>
      <c r="E1219" s="10" t="str">
        <f>IFERROR(__xludf.DUMMYFUNCTION("""COMPUTED_VALUE"""),"")</f>
        <v/>
      </c>
      <c r="F1219" s="10" t="str">
        <f>IFERROR(__xludf.DUMMYFUNCTION("""COMPUTED_VALUE"""),"")</f>
        <v/>
      </c>
      <c r="G1219" s="10" t="str">
        <f>IFERROR(__xludf.DUMMYFUNCTION("""COMPUTED_VALUE"""),"")</f>
        <v/>
      </c>
      <c r="H1219" s="10" t="str">
        <f>IFERROR(__xludf.DUMMYFUNCTION("""COMPUTED_VALUE"""),"")</f>
        <v/>
      </c>
      <c r="I1219" s="10" t="str">
        <f>IFERROR(__xludf.DUMMYFUNCTION("""COMPUTED_VALUE"""),"")</f>
        <v/>
      </c>
    </row>
    <row r="1220">
      <c r="A1220" s="10" t="str">
        <f>IFERROR(__xludf.DUMMYFUNCTION("""COMPUTED_VALUE"""),"")</f>
        <v/>
      </c>
      <c r="B1220" s="10" t="str">
        <f>IFERROR(__xludf.DUMMYFUNCTION("""COMPUTED_VALUE"""),"")</f>
        <v/>
      </c>
      <c r="C1220" s="10" t="str">
        <f>IFERROR(__xludf.DUMMYFUNCTION("""COMPUTED_VALUE"""),"")</f>
        <v/>
      </c>
      <c r="D1220" s="10" t="str">
        <f>IFERROR(__xludf.DUMMYFUNCTION("""COMPUTED_VALUE"""),"")</f>
        <v/>
      </c>
      <c r="E1220" s="10" t="str">
        <f>IFERROR(__xludf.DUMMYFUNCTION("""COMPUTED_VALUE"""),"")</f>
        <v/>
      </c>
      <c r="F1220" s="10" t="str">
        <f>IFERROR(__xludf.DUMMYFUNCTION("""COMPUTED_VALUE"""),"")</f>
        <v/>
      </c>
      <c r="G1220" s="10" t="str">
        <f>IFERROR(__xludf.DUMMYFUNCTION("""COMPUTED_VALUE"""),"")</f>
        <v/>
      </c>
      <c r="H1220" s="10" t="str">
        <f>IFERROR(__xludf.DUMMYFUNCTION("""COMPUTED_VALUE"""),"")</f>
        <v/>
      </c>
      <c r="I1220" s="10" t="str">
        <f>IFERROR(__xludf.DUMMYFUNCTION("""COMPUTED_VALUE"""),"")</f>
        <v/>
      </c>
    </row>
    <row r="1221">
      <c r="A1221" s="10" t="str">
        <f>IFERROR(__xludf.DUMMYFUNCTION("""COMPUTED_VALUE"""),"")</f>
        <v/>
      </c>
      <c r="B1221" s="10" t="str">
        <f>IFERROR(__xludf.DUMMYFUNCTION("""COMPUTED_VALUE"""),"")</f>
        <v/>
      </c>
      <c r="C1221" s="10" t="str">
        <f>IFERROR(__xludf.DUMMYFUNCTION("""COMPUTED_VALUE"""),"")</f>
        <v/>
      </c>
      <c r="D1221" s="10" t="str">
        <f>IFERROR(__xludf.DUMMYFUNCTION("""COMPUTED_VALUE"""),"")</f>
        <v/>
      </c>
      <c r="E1221" s="10" t="str">
        <f>IFERROR(__xludf.DUMMYFUNCTION("""COMPUTED_VALUE"""),"")</f>
        <v/>
      </c>
      <c r="F1221" s="10" t="str">
        <f>IFERROR(__xludf.DUMMYFUNCTION("""COMPUTED_VALUE"""),"")</f>
        <v/>
      </c>
      <c r="G1221" s="10" t="str">
        <f>IFERROR(__xludf.DUMMYFUNCTION("""COMPUTED_VALUE"""),"")</f>
        <v/>
      </c>
      <c r="H1221" s="10" t="str">
        <f>IFERROR(__xludf.DUMMYFUNCTION("""COMPUTED_VALUE"""),"")</f>
        <v/>
      </c>
      <c r="I1221" s="10" t="str">
        <f>IFERROR(__xludf.DUMMYFUNCTION("""COMPUTED_VALUE"""),"")</f>
        <v/>
      </c>
    </row>
    <row r="1222">
      <c r="A1222" s="10" t="str">
        <f>IFERROR(__xludf.DUMMYFUNCTION("""COMPUTED_VALUE"""),"")</f>
        <v/>
      </c>
      <c r="B1222" s="10" t="str">
        <f>IFERROR(__xludf.DUMMYFUNCTION("""COMPUTED_VALUE"""),"")</f>
        <v/>
      </c>
      <c r="C1222" s="10" t="str">
        <f>IFERROR(__xludf.DUMMYFUNCTION("""COMPUTED_VALUE"""),"")</f>
        <v/>
      </c>
      <c r="D1222" s="10" t="str">
        <f>IFERROR(__xludf.DUMMYFUNCTION("""COMPUTED_VALUE"""),"")</f>
        <v/>
      </c>
      <c r="E1222" s="10" t="str">
        <f>IFERROR(__xludf.DUMMYFUNCTION("""COMPUTED_VALUE"""),"")</f>
        <v/>
      </c>
      <c r="F1222" s="10" t="str">
        <f>IFERROR(__xludf.DUMMYFUNCTION("""COMPUTED_VALUE"""),"")</f>
        <v/>
      </c>
      <c r="G1222" s="10" t="str">
        <f>IFERROR(__xludf.DUMMYFUNCTION("""COMPUTED_VALUE"""),"")</f>
        <v/>
      </c>
      <c r="H1222" s="10" t="str">
        <f>IFERROR(__xludf.DUMMYFUNCTION("""COMPUTED_VALUE"""),"")</f>
        <v/>
      </c>
      <c r="I1222" s="10" t="str">
        <f>IFERROR(__xludf.DUMMYFUNCTION("""COMPUTED_VALUE"""),"")</f>
        <v/>
      </c>
    </row>
    <row r="1223">
      <c r="A1223" s="10" t="str">
        <f>IFERROR(__xludf.DUMMYFUNCTION("""COMPUTED_VALUE"""),"")</f>
        <v/>
      </c>
      <c r="B1223" s="10" t="str">
        <f>IFERROR(__xludf.DUMMYFUNCTION("""COMPUTED_VALUE"""),"")</f>
        <v/>
      </c>
      <c r="C1223" s="10" t="str">
        <f>IFERROR(__xludf.DUMMYFUNCTION("""COMPUTED_VALUE"""),"")</f>
        <v/>
      </c>
      <c r="D1223" s="10" t="str">
        <f>IFERROR(__xludf.DUMMYFUNCTION("""COMPUTED_VALUE"""),"")</f>
        <v/>
      </c>
      <c r="E1223" s="10" t="str">
        <f>IFERROR(__xludf.DUMMYFUNCTION("""COMPUTED_VALUE"""),"")</f>
        <v/>
      </c>
      <c r="F1223" s="10" t="str">
        <f>IFERROR(__xludf.DUMMYFUNCTION("""COMPUTED_VALUE"""),"")</f>
        <v/>
      </c>
      <c r="G1223" s="10" t="str">
        <f>IFERROR(__xludf.DUMMYFUNCTION("""COMPUTED_VALUE"""),"")</f>
        <v/>
      </c>
      <c r="H1223" s="10" t="str">
        <f>IFERROR(__xludf.DUMMYFUNCTION("""COMPUTED_VALUE"""),"")</f>
        <v/>
      </c>
      <c r="I1223" s="10" t="str">
        <f>IFERROR(__xludf.DUMMYFUNCTION("""COMPUTED_VALUE"""),"")</f>
        <v/>
      </c>
    </row>
    <row r="1224">
      <c r="A1224" s="10" t="str">
        <f>IFERROR(__xludf.DUMMYFUNCTION("""COMPUTED_VALUE"""),"")</f>
        <v/>
      </c>
      <c r="B1224" s="10" t="str">
        <f>IFERROR(__xludf.DUMMYFUNCTION("""COMPUTED_VALUE"""),"")</f>
        <v/>
      </c>
      <c r="C1224" s="10" t="str">
        <f>IFERROR(__xludf.DUMMYFUNCTION("""COMPUTED_VALUE"""),"")</f>
        <v/>
      </c>
      <c r="D1224" s="10" t="str">
        <f>IFERROR(__xludf.DUMMYFUNCTION("""COMPUTED_VALUE"""),"")</f>
        <v/>
      </c>
      <c r="E1224" s="10" t="str">
        <f>IFERROR(__xludf.DUMMYFUNCTION("""COMPUTED_VALUE"""),"")</f>
        <v/>
      </c>
      <c r="F1224" s="10" t="str">
        <f>IFERROR(__xludf.DUMMYFUNCTION("""COMPUTED_VALUE"""),"")</f>
        <v/>
      </c>
      <c r="G1224" s="10" t="str">
        <f>IFERROR(__xludf.DUMMYFUNCTION("""COMPUTED_VALUE"""),"")</f>
        <v/>
      </c>
      <c r="H1224" s="10" t="str">
        <f>IFERROR(__xludf.DUMMYFUNCTION("""COMPUTED_VALUE"""),"")</f>
        <v/>
      </c>
      <c r="I1224" s="10" t="str">
        <f>IFERROR(__xludf.DUMMYFUNCTION("""COMPUTED_VALUE"""),"")</f>
        <v/>
      </c>
    </row>
    <row r="1225">
      <c r="A1225" s="10" t="str">
        <f>IFERROR(__xludf.DUMMYFUNCTION("""COMPUTED_VALUE"""),"")</f>
        <v/>
      </c>
      <c r="B1225" s="10" t="str">
        <f>IFERROR(__xludf.DUMMYFUNCTION("""COMPUTED_VALUE"""),"")</f>
        <v/>
      </c>
      <c r="C1225" s="10" t="str">
        <f>IFERROR(__xludf.DUMMYFUNCTION("""COMPUTED_VALUE"""),"")</f>
        <v/>
      </c>
      <c r="D1225" s="10" t="str">
        <f>IFERROR(__xludf.DUMMYFUNCTION("""COMPUTED_VALUE"""),"")</f>
        <v/>
      </c>
      <c r="E1225" s="10" t="str">
        <f>IFERROR(__xludf.DUMMYFUNCTION("""COMPUTED_VALUE"""),"")</f>
        <v/>
      </c>
      <c r="F1225" s="10" t="str">
        <f>IFERROR(__xludf.DUMMYFUNCTION("""COMPUTED_VALUE"""),"")</f>
        <v/>
      </c>
      <c r="G1225" s="10" t="str">
        <f>IFERROR(__xludf.DUMMYFUNCTION("""COMPUTED_VALUE"""),"")</f>
        <v/>
      </c>
      <c r="H1225" s="10" t="str">
        <f>IFERROR(__xludf.DUMMYFUNCTION("""COMPUTED_VALUE"""),"")</f>
        <v/>
      </c>
      <c r="I1225" s="10" t="str">
        <f>IFERROR(__xludf.DUMMYFUNCTION("""COMPUTED_VALUE"""),"")</f>
        <v/>
      </c>
    </row>
    <row r="1226">
      <c r="A1226" s="10" t="str">
        <f>IFERROR(__xludf.DUMMYFUNCTION("""COMPUTED_VALUE"""),"")</f>
        <v/>
      </c>
      <c r="B1226" s="10" t="str">
        <f>IFERROR(__xludf.DUMMYFUNCTION("""COMPUTED_VALUE"""),"")</f>
        <v/>
      </c>
      <c r="C1226" s="10" t="str">
        <f>IFERROR(__xludf.DUMMYFUNCTION("""COMPUTED_VALUE"""),"")</f>
        <v/>
      </c>
      <c r="D1226" s="10" t="str">
        <f>IFERROR(__xludf.DUMMYFUNCTION("""COMPUTED_VALUE"""),"")</f>
        <v/>
      </c>
      <c r="E1226" s="10" t="str">
        <f>IFERROR(__xludf.DUMMYFUNCTION("""COMPUTED_VALUE"""),"")</f>
        <v/>
      </c>
      <c r="F1226" s="10" t="str">
        <f>IFERROR(__xludf.DUMMYFUNCTION("""COMPUTED_VALUE"""),"")</f>
        <v/>
      </c>
      <c r="G1226" s="10" t="str">
        <f>IFERROR(__xludf.DUMMYFUNCTION("""COMPUTED_VALUE"""),"")</f>
        <v/>
      </c>
      <c r="H1226" s="10" t="str">
        <f>IFERROR(__xludf.DUMMYFUNCTION("""COMPUTED_VALUE"""),"")</f>
        <v/>
      </c>
      <c r="I1226" s="10" t="str">
        <f>IFERROR(__xludf.DUMMYFUNCTION("""COMPUTED_VALUE"""),"")</f>
        <v/>
      </c>
    </row>
    <row r="1227">
      <c r="A1227" s="10" t="str">
        <f>IFERROR(__xludf.DUMMYFUNCTION("""COMPUTED_VALUE"""),"")</f>
        <v/>
      </c>
      <c r="B1227" s="10" t="str">
        <f>IFERROR(__xludf.DUMMYFUNCTION("""COMPUTED_VALUE"""),"")</f>
        <v/>
      </c>
      <c r="C1227" s="10" t="str">
        <f>IFERROR(__xludf.DUMMYFUNCTION("""COMPUTED_VALUE"""),"")</f>
        <v/>
      </c>
      <c r="D1227" s="10" t="str">
        <f>IFERROR(__xludf.DUMMYFUNCTION("""COMPUTED_VALUE"""),"")</f>
        <v/>
      </c>
      <c r="E1227" s="10" t="str">
        <f>IFERROR(__xludf.DUMMYFUNCTION("""COMPUTED_VALUE"""),"")</f>
        <v/>
      </c>
      <c r="F1227" s="10" t="str">
        <f>IFERROR(__xludf.DUMMYFUNCTION("""COMPUTED_VALUE"""),"")</f>
        <v/>
      </c>
      <c r="G1227" s="10" t="str">
        <f>IFERROR(__xludf.DUMMYFUNCTION("""COMPUTED_VALUE"""),"")</f>
        <v/>
      </c>
      <c r="H1227" s="10" t="str">
        <f>IFERROR(__xludf.DUMMYFUNCTION("""COMPUTED_VALUE"""),"")</f>
        <v/>
      </c>
      <c r="I1227" s="10" t="str">
        <f>IFERROR(__xludf.DUMMYFUNCTION("""COMPUTED_VALUE"""),"")</f>
        <v/>
      </c>
    </row>
    <row r="1228">
      <c r="A1228" s="10" t="str">
        <f>IFERROR(__xludf.DUMMYFUNCTION("""COMPUTED_VALUE"""),"")</f>
        <v/>
      </c>
      <c r="B1228" s="10" t="str">
        <f>IFERROR(__xludf.DUMMYFUNCTION("""COMPUTED_VALUE"""),"")</f>
        <v/>
      </c>
      <c r="C1228" s="10" t="str">
        <f>IFERROR(__xludf.DUMMYFUNCTION("""COMPUTED_VALUE"""),"")</f>
        <v/>
      </c>
      <c r="D1228" s="10" t="str">
        <f>IFERROR(__xludf.DUMMYFUNCTION("""COMPUTED_VALUE"""),"")</f>
        <v/>
      </c>
      <c r="E1228" s="10" t="str">
        <f>IFERROR(__xludf.DUMMYFUNCTION("""COMPUTED_VALUE"""),"")</f>
        <v/>
      </c>
      <c r="F1228" s="10" t="str">
        <f>IFERROR(__xludf.DUMMYFUNCTION("""COMPUTED_VALUE"""),"")</f>
        <v/>
      </c>
      <c r="G1228" s="10" t="str">
        <f>IFERROR(__xludf.DUMMYFUNCTION("""COMPUTED_VALUE"""),"")</f>
        <v/>
      </c>
      <c r="H1228" s="10" t="str">
        <f>IFERROR(__xludf.DUMMYFUNCTION("""COMPUTED_VALUE"""),"")</f>
        <v/>
      </c>
      <c r="I1228" s="10" t="str">
        <f>IFERROR(__xludf.DUMMYFUNCTION("""COMPUTED_VALUE"""),"")</f>
        <v/>
      </c>
    </row>
    <row r="1229">
      <c r="A1229" s="10" t="str">
        <f>IFERROR(__xludf.DUMMYFUNCTION("""COMPUTED_VALUE"""),"")</f>
        <v/>
      </c>
      <c r="B1229" s="10" t="str">
        <f>IFERROR(__xludf.DUMMYFUNCTION("""COMPUTED_VALUE"""),"")</f>
        <v/>
      </c>
      <c r="C1229" s="10" t="str">
        <f>IFERROR(__xludf.DUMMYFUNCTION("""COMPUTED_VALUE"""),"")</f>
        <v/>
      </c>
      <c r="D1229" s="10" t="str">
        <f>IFERROR(__xludf.DUMMYFUNCTION("""COMPUTED_VALUE"""),"")</f>
        <v/>
      </c>
      <c r="E1229" s="10" t="str">
        <f>IFERROR(__xludf.DUMMYFUNCTION("""COMPUTED_VALUE"""),"")</f>
        <v/>
      </c>
      <c r="F1229" s="10" t="str">
        <f>IFERROR(__xludf.DUMMYFUNCTION("""COMPUTED_VALUE"""),"")</f>
        <v/>
      </c>
      <c r="G1229" s="10" t="str">
        <f>IFERROR(__xludf.DUMMYFUNCTION("""COMPUTED_VALUE"""),"")</f>
        <v/>
      </c>
      <c r="H1229" s="10" t="str">
        <f>IFERROR(__xludf.DUMMYFUNCTION("""COMPUTED_VALUE"""),"")</f>
        <v/>
      </c>
      <c r="I1229" s="10" t="str">
        <f>IFERROR(__xludf.DUMMYFUNCTION("""COMPUTED_VALUE"""),"")</f>
        <v/>
      </c>
    </row>
    <row r="1230">
      <c r="A1230" s="10" t="str">
        <f>IFERROR(__xludf.DUMMYFUNCTION("""COMPUTED_VALUE"""),"")</f>
        <v/>
      </c>
      <c r="B1230" s="10" t="str">
        <f>IFERROR(__xludf.DUMMYFUNCTION("""COMPUTED_VALUE"""),"")</f>
        <v/>
      </c>
      <c r="C1230" s="10" t="str">
        <f>IFERROR(__xludf.DUMMYFUNCTION("""COMPUTED_VALUE"""),"")</f>
        <v/>
      </c>
      <c r="D1230" s="10" t="str">
        <f>IFERROR(__xludf.DUMMYFUNCTION("""COMPUTED_VALUE"""),"")</f>
        <v/>
      </c>
      <c r="E1230" s="10" t="str">
        <f>IFERROR(__xludf.DUMMYFUNCTION("""COMPUTED_VALUE"""),"")</f>
        <v/>
      </c>
      <c r="F1230" s="10" t="str">
        <f>IFERROR(__xludf.DUMMYFUNCTION("""COMPUTED_VALUE"""),"")</f>
        <v/>
      </c>
      <c r="G1230" s="10" t="str">
        <f>IFERROR(__xludf.DUMMYFUNCTION("""COMPUTED_VALUE"""),"")</f>
        <v/>
      </c>
      <c r="H1230" s="10" t="str">
        <f>IFERROR(__xludf.DUMMYFUNCTION("""COMPUTED_VALUE"""),"")</f>
        <v/>
      </c>
      <c r="I1230" s="10" t="str">
        <f>IFERROR(__xludf.DUMMYFUNCTION("""COMPUTED_VALUE"""),"")</f>
        <v/>
      </c>
    </row>
    <row r="1231">
      <c r="A1231" s="10" t="str">
        <f>IFERROR(__xludf.DUMMYFUNCTION("""COMPUTED_VALUE"""),"")</f>
        <v/>
      </c>
      <c r="B1231" s="10" t="str">
        <f>IFERROR(__xludf.DUMMYFUNCTION("""COMPUTED_VALUE"""),"")</f>
        <v/>
      </c>
      <c r="C1231" s="10" t="str">
        <f>IFERROR(__xludf.DUMMYFUNCTION("""COMPUTED_VALUE"""),"")</f>
        <v/>
      </c>
      <c r="D1231" s="10" t="str">
        <f>IFERROR(__xludf.DUMMYFUNCTION("""COMPUTED_VALUE"""),"")</f>
        <v/>
      </c>
      <c r="E1231" s="10" t="str">
        <f>IFERROR(__xludf.DUMMYFUNCTION("""COMPUTED_VALUE"""),"")</f>
        <v/>
      </c>
      <c r="F1231" s="10" t="str">
        <f>IFERROR(__xludf.DUMMYFUNCTION("""COMPUTED_VALUE"""),"")</f>
        <v/>
      </c>
      <c r="G1231" s="10" t="str">
        <f>IFERROR(__xludf.DUMMYFUNCTION("""COMPUTED_VALUE"""),"")</f>
        <v/>
      </c>
      <c r="H1231" s="10" t="str">
        <f>IFERROR(__xludf.DUMMYFUNCTION("""COMPUTED_VALUE"""),"")</f>
        <v/>
      </c>
      <c r="I1231" s="10" t="str">
        <f>IFERROR(__xludf.DUMMYFUNCTION("""COMPUTED_VALUE"""),"")</f>
        <v/>
      </c>
    </row>
    <row r="1232">
      <c r="A1232" s="10" t="str">
        <f>IFERROR(__xludf.DUMMYFUNCTION("""COMPUTED_VALUE"""),"")</f>
        <v/>
      </c>
      <c r="B1232" s="10" t="str">
        <f>IFERROR(__xludf.DUMMYFUNCTION("""COMPUTED_VALUE"""),"")</f>
        <v/>
      </c>
      <c r="C1232" s="10" t="str">
        <f>IFERROR(__xludf.DUMMYFUNCTION("""COMPUTED_VALUE"""),"")</f>
        <v/>
      </c>
      <c r="D1232" s="10" t="str">
        <f>IFERROR(__xludf.DUMMYFUNCTION("""COMPUTED_VALUE"""),"")</f>
        <v/>
      </c>
      <c r="E1232" s="10" t="str">
        <f>IFERROR(__xludf.DUMMYFUNCTION("""COMPUTED_VALUE"""),"")</f>
        <v/>
      </c>
      <c r="F1232" s="10" t="str">
        <f>IFERROR(__xludf.DUMMYFUNCTION("""COMPUTED_VALUE"""),"")</f>
        <v/>
      </c>
      <c r="G1232" s="10" t="str">
        <f>IFERROR(__xludf.DUMMYFUNCTION("""COMPUTED_VALUE"""),"")</f>
        <v/>
      </c>
      <c r="H1232" s="10" t="str">
        <f>IFERROR(__xludf.DUMMYFUNCTION("""COMPUTED_VALUE"""),"")</f>
        <v/>
      </c>
      <c r="I1232" s="10" t="str">
        <f>IFERROR(__xludf.DUMMYFUNCTION("""COMPUTED_VALUE"""),"")</f>
        <v/>
      </c>
    </row>
    <row r="1233">
      <c r="A1233" s="10" t="str">
        <f>IFERROR(__xludf.DUMMYFUNCTION("""COMPUTED_VALUE"""),"")</f>
        <v/>
      </c>
      <c r="B1233" s="10" t="str">
        <f>IFERROR(__xludf.DUMMYFUNCTION("""COMPUTED_VALUE"""),"")</f>
        <v/>
      </c>
      <c r="C1233" s="10" t="str">
        <f>IFERROR(__xludf.DUMMYFUNCTION("""COMPUTED_VALUE"""),"")</f>
        <v/>
      </c>
      <c r="D1233" s="10" t="str">
        <f>IFERROR(__xludf.DUMMYFUNCTION("""COMPUTED_VALUE"""),"")</f>
        <v/>
      </c>
      <c r="E1233" s="10" t="str">
        <f>IFERROR(__xludf.DUMMYFUNCTION("""COMPUTED_VALUE"""),"")</f>
        <v/>
      </c>
      <c r="F1233" s="10" t="str">
        <f>IFERROR(__xludf.DUMMYFUNCTION("""COMPUTED_VALUE"""),"")</f>
        <v/>
      </c>
      <c r="G1233" s="10" t="str">
        <f>IFERROR(__xludf.DUMMYFUNCTION("""COMPUTED_VALUE"""),"")</f>
        <v/>
      </c>
      <c r="H1233" s="10" t="str">
        <f>IFERROR(__xludf.DUMMYFUNCTION("""COMPUTED_VALUE"""),"")</f>
        <v/>
      </c>
      <c r="I1233" s="10" t="str">
        <f>IFERROR(__xludf.DUMMYFUNCTION("""COMPUTED_VALUE"""),"")</f>
        <v/>
      </c>
    </row>
    <row r="1234">
      <c r="A1234" s="10" t="str">
        <f>IFERROR(__xludf.DUMMYFUNCTION("""COMPUTED_VALUE"""),"")</f>
        <v/>
      </c>
      <c r="B1234" s="10" t="str">
        <f>IFERROR(__xludf.DUMMYFUNCTION("""COMPUTED_VALUE"""),"")</f>
        <v/>
      </c>
      <c r="C1234" s="10" t="str">
        <f>IFERROR(__xludf.DUMMYFUNCTION("""COMPUTED_VALUE"""),"")</f>
        <v/>
      </c>
      <c r="D1234" s="10" t="str">
        <f>IFERROR(__xludf.DUMMYFUNCTION("""COMPUTED_VALUE"""),"")</f>
        <v/>
      </c>
      <c r="E1234" s="10" t="str">
        <f>IFERROR(__xludf.DUMMYFUNCTION("""COMPUTED_VALUE"""),"")</f>
        <v/>
      </c>
      <c r="F1234" s="10" t="str">
        <f>IFERROR(__xludf.DUMMYFUNCTION("""COMPUTED_VALUE"""),"")</f>
        <v/>
      </c>
      <c r="G1234" s="10" t="str">
        <f>IFERROR(__xludf.DUMMYFUNCTION("""COMPUTED_VALUE"""),"")</f>
        <v/>
      </c>
      <c r="H1234" s="10" t="str">
        <f>IFERROR(__xludf.DUMMYFUNCTION("""COMPUTED_VALUE"""),"")</f>
        <v/>
      </c>
      <c r="I1234" s="10" t="str">
        <f>IFERROR(__xludf.DUMMYFUNCTION("""COMPUTED_VALUE"""),"")</f>
        <v/>
      </c>
    </row>
    <row r="1235">
      <c r="A1235" s="10" t="str">
        <f>IFERROR(__xludf.DUMMYFUNCTION("""COMPUTED_VALUE"""),"")</f>
        <v/>
      </c>
      <c r="B1235" s="10" t="str">
        <f>IFERROR(__xludf.DUMMYFUNCTION("""COMPUTED_VALUE"""),"")</f>
        <v/>
      </c>
      <c r="C1235" s="10" t="str">
        <f>IFERROR(__xludf.DUMMYFUNCTION("""COMPUTED_VALUE"""),"")</f>
        <v/>
      </c>
      <c r="D1235" s="10" t="str">
        <f>IFERROR(__xludf.DUMMYFUNCTION("""COMPUTED_VALUE"""),"")</f>
        <v/>
      </c>
      <c r="E1235" s="10" t="str">
        <f>IFERROR(__xludf.DUMMYFUNCTION("""COMPUTED_VALUE"""),"")</f>
        <v/>
      </c>
      <c r="F1235" s="10" t="str">
        <f>IFERROR(__xludf.DUMMYFUNCTION("""COMPUTED_VALUE"""),"")</f>
        <v/>
      </c>
      <c r="G1235" s="10" t="str">
        <f>IFERROR(__xludf.DUMMYFUNCTION("""COMPUTED_VALUE"""),"")</f>
        <v/>
      </c>
      <c r="H1235" s="10" t="str">
        <f>IFERROR(__xludf.DUMMYFUNCTION("""COMPUTED_VALUE"""),"")</f>
        <v/>
      </c>
      <c r="I1235" s="10" t="str">
        <f>IFERROR(__xludf.DUMMYFUNCTION("""COMPUTED_VALUE"""),"")</f>
        <v/>
      </c>
    </row>
    <row r="1236">
      <c r="A1236" s="10" t="str">
        <f>IFERROR(__xludf.DUMMYFUNCTION("""COMPUTED_VALUE"""),"")</f>
        <v/>
      </c>
      <c r="B1236" s="10" t="str">
        <f>IFERROR(__xludf.DUMMYFUNCTION("""COMPUTED_VALUE"""),"")</f>
        <v/>
      </c>
      <c r="C1236" s="10" t="str">
        <f>IFERROR(__xludf.DUMMYFUNCTION("""COMPUTED_VALUE"""),"")</f>
        <v/>
      </c>
      <c r="D1236" s="10" t="str">
        <f>IFERROR(__xludf.DUMMYFUNCTION("""COMPUTED_VALUE"""),"")</f>
        <v/>
      </c>
      <c r="E1236" s="10" t="str">
        <f>IFERROR(__xludf.DUMMYFUNCTION("""COMPUTED_VALUE"""),"")</f>
        <v/>
      </c>
      <c r="F1236" s="10" t="str">
        <f>IFERROR(__xludf.DUMMYFUNCTION("""COMPUTED_VALUE"""),"")</f>
        <v/>
      </c>
      <c r="G1236" s="10" t="str">
        <f>IFERROR(__xludf.DUMMYFUNCTION("""COMPUTED_VALUE"""),"")</f>
        <v/>
      </c>
      <c r="H1236" s="10" t="str">
        <f>IFERROR(__xludf.DUMMYFUNCTION("""COMPUTED_VALUE"""),"")</f>
        <v/>
      </c>
      <c r="I1236" s="10" t="str">
        <f>IFERROR(__xludf.DUMMYFUNCTION("""COMPUTED_VALUE"""),"")</f>
        <v/>
      </c>
    </row>
    <row r="1237">
      <c r="A1237" s="10" t="str">
        <f>IFERROR(__xludf.DUMMYFUNCTION("""COMPUTED_VALUE"""),"")</f>
        <v/>
      </c>
      <c r="B1237" s="10" t="str">
        <f>IFERROR(__xludf.DUMMYFUNCTION("""COMPUTED_VALUE"""),"")</f>
        <v/>
      </c>
      <c r="C1237" s="10" t="str">
        <f>IFERROR(__xludf.DUMMYFUNCTION("""COMPUTED_VALUE"""),"")</f>
        <v/>
      </c>
      <c r="D1237" s="10" t="str">
        <f>IFERROR(__xludf.DUMMYFUNCTION("""COMPUTED_VALUE"""),"")</f>
        <v/>
      </c>
      <c r="E1237" s="10" t="str">
        <f>IFERROR(__xludf.DUMMYFUNCTION("""COMPUTED_VALUE"""),"")</f>
        <v/>
      </c>
      <c r="F1237" s="10" t="str">
        <f>IFERROR(__xludf.DUMMYFUNCTION("""COMPUTED_VALUE"""),"")</f>
        <v/>
      </c>
      <c r="G1237" s="10" t="str">
        <f>IFERROR(__xludf.DUMMYFUNCTION("""COMPUTED_VALUE"""),"")</f>
        <v/>
      </c>
      <c r="H1237" s="10" t="str">
        <f>IFERROR(__xludf.DUMMYFUNCTION("""COMPUTED_VALUE"""),"")</f>
        <v/>
      </c>
      <c r="I1237" s="10" t="str">
        <f>IFERROR(__xludf.DUMMYFUNCTION("""COMPUTED_VALUE"""),"")</f>
        <v/>
      </c>
    </row>
    <row r="1238">
      <c r="A1238" s="10" t="str">
        <f>IFERROR(__xludf.DUMMYFUNCTION("""COMPUTED_VALUE"""),"")</f>
        <v/>
      </c>
      <c r="B1238" s="10" t="str">
        <f>IFERROR(__xludf.DUMMYFUNCTION("""COMPUTED_VALUE"""),"")</f>
        <v/>
      </c>
      <c r="C1238" s="10" t="str">
        <f>IFERROR(__xludf.DUMMYFUNCTION("""COMPUTED_VALUE"""),"")</f>
        <v/>
      </c>
      <c r="D1238" s="10" t="str">
        <f>IFERROR(__xludf.DUMMYFUNCTION("""COMPUTED_VALUE"""),"")</f>
        <v/>
      </c>
      <c r="E1238" s="10" t="str">
        <f>IFERROR(__xludf.DUMMYFUNCTION("""COMPUTED_VALUE"""),"")</f>
        <v/>
      </c>
      <c r="F1238" s="10" t="str">
        <f>IFERROR(__xludf.DUMMYFUNCTION("""COMPUTED_VALUE"""),"")</f>
        <v/>
      </c>
      <c r="G1238" s="10" t="str">
        <f>IFERROR(__xludf.DUMMYFUNCTION("""COMPUTED_VALUE"""),"")</f>
        <v/>
      </c>
      <c r="H1238" s="10" t="str">
        <f>IFERROR(__xludf.DUMMYFUNCTION("""COMPUTED_VALUE"""),"")</f>
        <v/>
      </c>
      <c r="I1238" s="10" t="str">
        <f>IFERROR(__xludf.DUMMYFUNCTION("""COMPUTED_VALUE"""),"")</f>
        <v/>
      </c>
    </row>
    <row r="1239">
      <c r="A1239" s="10" t="str">
        <f>IFERROR(__xludf.DUMMYFUNCTION("""COMPUTED_VALUE"""),"")</f>
        <v/>
      </c>
      <c r="B1239" s="10" t="str">
        <f>IFERROR(__xludf.DUMMYFUNCTION("""COMPUTED_VALUE"""),"")</f>
        <v/>
      </c>
      <c r="C1239" s="10" t="str">
        <f>IFERROR(__xludf.DUMMYFUNCTION("""COMPUTED_VALUE"""),"")</f>
        <v/>
      </c>
      <c r="D1239" s="10" t="str">
        <f>IFERROR(__xludf.DUMMYFUNCTION("""COMPUTED_VALUE"""),"")</f>
        <v/>
      </c>
      <c r="E1239" s="10" t="str">
        <f>IFERROR(__xludf.DUMMYFUNCTION("""COMPUTED_VALUE"""),"")</f>
        <v/>
      </c>
      <c r="F1239" s="10" t="str">
        <f>IFERROR(__xludf.DUMMYFUNCTION("""COMPUTED_VALUE"""),"")</f>
        <v/>
      </c>
      <c r="G1239" s="10" t="str">
        <f>IFERROR(__xludf.DUMMYFUNCTION("""COMPUTED_VALUE"""),"")</f>
        <v/>
      </c>
      <c r="H1239" s="10" t="str">
        <f>IFERROR(__xludf.DUMMYFUNCTION("""COMPUTED_VALUE"""),"")</f>
        <v/>
      </c>
      <c r="I1239" s="10" t="str">
        <f>IFERROR(__xludf.DUMMYFUNCTION("""COMPUTED_VALUE"""),"")</f>
        <v/>
      </c>
    </row>
    <row r="1240">
      <c r="A1240" s="10" t="str">
        <f>IFERROR(__xludf.DUMMYFUNCTION("""COMPUTED_VALUE"""),"")</f>
        <v/>
      </c>
      <c r="B1240" s="10" t="str">
        <f>IFERROR(__xludf.DUMMYFUNCTION("""COMPUTED_VALUE"""),"")</f>
        <v/>
      </c>
      <c r="C1240" s="10" t="str">
        <f>IFERROR(__xludf.DUMMYFUNCTION("""COMPUTED_VALUE"""),"")</f>
        <v/>
      </c>
      <c r="D1240" s="10" t="str">
        <f>IFERROR(__xludf.DUMMYFUNCTION("""COMPUTED_VALUE"""),"")</f>
        <v/>
      </c>
      <c r="E1240" s="10" t="str">
        <f>IFERROR(__xludf.DUMMYFUNCTION("""COMPUTED_VALUE"""),"")</f>
        <v/>
      </c>
      <c r="F1240" s="10" t="str">
        <f>IFERROR(__xludf.DUMMYFUNCTION("""COMPUTED_VALUE"""),"")</f>
        <v/>
      </c>
      <c r="G1240" s="10" t="str">
        <f>IFERROR(__xludf.DUMMYFUNCTION("""COMPUTED_VALUE"""),"")</f>
        <v/>
      </c>
      <c r="H1240" s="10" t="str">
        <f>IFERROR(__xludf.DUMMYFUNCTION("""COMPUTED_VALUE"""),"")</f>
        <v/>
      </c>
      <c r="I1240" s="10" t="str">
        <f>IFERROR(__xludf.DUMMYFUNCTION("""COMPUTED_VALUE"""),"")</f>
        <v/>
      </c>
    </row>
    <row r="1241">
      <c r="A1241" s="10" t="str">
        <f>IFERROR(__xludf.DUMMYFUNCTION("""COMPUTED_VALUE"""),"")</f>
        <v/>
      </c>
      <c r="B1241" s="10" t="str">
        <f>IFERROR(__xludf.DUMMYFUNCTION("""COMPUTED_VALUE"""),"")</f>
        <v/>
      </c>
      <c r="C1241" s="10" t="str">
        <f>IFERROR(__xludf.DUMMYFUNCTION("""COMPUTED_VALUE"""),"")</f>
        <v/>
      </c>
      <c r="D1241" s="10" t="str">
        <f>IFERROR(__xludf.DUMMYFUNCTION("""COMPUTED_VALUE"""),"")</f>
        <v/>
      </c>
      <c r="E1241" s="10" t="str">
        <f>IFERROR(__xludf.DUMMYFUNCTION("""COMPUTED_VALUE"""),"")</f>
        <v/>
      </c>
      <c r="F1241" s="10" t="str">
        <f>IFERROR(__xludf.DUMMYFUNCTION("""COMPUTED_VALUE"""),"")</f>
        <v/>
      </c>
      <c r="G1241" s="10" t="str">
        <f>IFERROR(__xludf.DUMMYFUNCTION("""COMPUTED_VALUE"""),"")</f>
        <v/>
      </c>
      <c r="H1241" s="10" t="str">
        <f>IFERROR(__xludf.DUMMYFUNCTION("""COMPUTED_VALUE"""),"")</f>
        <v/>
      </c>
      <c r="I1241" s="10" t="str">
        <f>IFERROR(__xludf.DUMMYFUNCTION("""COMPUTED_VALUE"""),"")</f>
        <v/>
      </c>
    </row>
    <row r="1242">
      <c r="A1242" s="10" t="str">
        <f>IFERROR(__xludf.DUMMYFUNCTION("""COMPUTED_VALUE"""),"")</f>
        <v/>
      </c>
      <c r="B1242" s="10" t="str">
        <f>IFERROR(__xludf.DUMMYFUNCTION("""COMPUTED_VALUE"""),"")</f>
        <v/>
      </c>
      <c r="C1242" s="10" t="str">
        <f>IFERROR(__xludf.DUMMYFUNCTION("""COMPUTED_VALUE"""),"")</f>
        <v/>
      </c>
      <c r="D1242" s="10" t="str">
        <f>IFERROR(__xludf.DUMMYFUNCTION("""COMPUTED_VALUE"""),"")</f>
        <v/>
      </c>
      <c r="E1242" s="10" t="str">
        <f>IFERROR(__xludf.DUMMYFUNCTION("""COMPUTED_VALUE"""),"")</f>
        <v/>
      </c>
      <c r="F1242" s="10" t="str">
        <f>IFERROR(__xludf.DUMMYFUNCTION("""COMPUTED_VALUE"""),"")</f>
        <v/>
      </c>
      <c r="G1242" s="10" t="str">
        <f>IFERROR(__xludf.DUMMYFUNCTION("""COMPUTED_VALUE"""),"")</f>
        <v/>
      </c>
      <c r="H1242" s="10" t="str">
        <f>IFERROR(__xludf.DUMMYFUNCTION("""COMPUTED_VALUE"""),"")</f>
        <v/>
      </c>
      <c r="I1242" s="10" t="str">
        <f>IFERROR(__xludf.DUMMYFUNCTION("""COMPUTED_VALUE"""),"")</f>
        <v/>
      </c>
    </row>
    <row r="1243">
      <c r="A1243" s="10" t="str">
        <f>IFERROR(__xludf.DUMMYFUNCTION("""COMPUTED_VALUE"""),"")</f>
        <v/>
      </c>
      <c r="B1243" s="10" t="str">
        <f>IFERROR(__xludf.DUMMYFUNCTION("""COMPUTED_VALUE"""),"")</f>
        <v/>
      </c>
      <c r="C1243" s="10" t="str">
        <f>IFERROR(__xludf.DUMMYFUNCTION("""COMPUTED_VALUE"""),"")</f>
        <v/>
      </c>
      <c r="D1243" s="10" t="str">
        <f>IFERROR(__xludf.DUMMYFUNCTION("""COMPUTED_VALUE"""),"")</f>
        <v/>
      </c>
      <c r="E1243" s="10" t="str">
        <f>IFERROR(__xludf.DUMMYFUNCTION("""COMPUTED_VALUE"""),"")</f>
        <v/>
      </c>
      <c r="F1243" s="10" t="str">
        <f>IFERROR(__xludf.DUMMYFUNCTION("""COMPUTED_VALUE"""),"")</f>
        <v/>
      </c>
      <c r="G1243" s="10" t="str">
        <f>IFERROR(__xludf.DUMMYFUNCTION("""COMPUTED_VALUE"""),"")</f>
        <v/>
      </c>
      <c r="H1243" s="10" t="str">
        <f>IFERROR(__xludf.DUMMYFUNCTION("""COMPUTED_VALUE"""),"")</f>
        <v/>
      </c>
      <c r="I1243" s="10" t="str">
        <f>IFERROR(__xludf.DUMMYFUNCTION("""COMPUTED_VALUE"""),"")</f>
        <v/>
      </c>
    </row>
    <row r="1244">
      <c r="A1244" s="10" t="str">
        <f>IFERROR(__xludf.DUMMYFUNCTION("""COMPUTED_VALUE"""),"")</f>
        <v/>
      </c>
      <c r="B1244" s="10" t="str">
        <f>IFERROR(__xludf.DUMMYFUNCTION("""COMPUTED_VALUE"""),"")</f>
        <v/>
      </c>
      <c r="C1244" s="10" t="str">
        <f>IFERROR(__xludf.DUMMYFUNCTION("""COMPUTED_VALUE"""),"")</f>
        <v/>
      </c>
      <c r="D1244" s="10" t="str">
        <f>IFERROR(__xludf.DUMMYFUNCTION("""COMPUTED_VALUE"""),"")</f>
        <v/>
      </c>
      <c r="E1244" s="10" t="str">
        <f>IFERROR(__xludf.DUMMYFUNCTION("""COMPUTED_VALUE"""),"")</f>
        <v/>
      </c>
      <c r="F1244" s="10" t="str">
        <f>IFERROR(__xludf.DUMMYFUNCTION("""COMPUTED_VALUE"""),"")</f>
        <v/>
      </c>
      <c r="G1244" s="10" t="str">
        <f>IFERROR(__xludf.DUMMYFUNCTION("""COMPUTED_VALUE"""),"")</f>
        <v/>
      </c>
      <c r="H1244" s="10" t="str">
        <f>IFERROR(__xludf.DUMMYFUNCTION("""COMPUTED_VALUE"""),"")</f>
        <v/>
      </c>
      <c r="I1244" s="10" t="str">
        <f>IFERROR(__xludf.DUMMYFUNCTION("""COMPUTED_VALUE"""),"")</f>
        <v/>
      </c>
    </row>
    <row r="1245">
      <c r="A1245" s="10" t="str">
        <f>IFERROR(__xludf.DUMMYFUNCTION("""COMPUTED_VALUE"""),"")</f>
        <v/>
      </c>
      <c r="B1245" s="10" t="str">
        <f>IFERROR(__xludf.DUMMYFUNCTION("""COMPUTED_VALUE"""),"")</f>
        <v/>
      </c>
      <c r="C1245" s="10" t="str">
        <f>IFERROR(__xludf.DUMMYFUNCTION("""COMPUTED_VALUE"""),"")</f>
        <v/>
      </c>
      <c r="D1245" s="10" t="str">
        <f>IFERROR(__xludf.DUMMYFUNCTION("""COMPUTED_VALUE"""),"")</f>
        <v/>
      </c>
      <c r="E1245" s="10" t="str">
        <f>IFERROR(__xludf.DUMMYFUNCTION("""COMPUTED_VALUE"""),"")</f>
        <v/>
      </c>
      <c r="F1245" s="10" t="str">
        <f>IFERROR(__xludf.DUMMYFUNCTION("""COMPUTED_VALUE"""),"")</f>
        <v/>
      </c>
      <c r="G1245" s="10" t="str">
        <f>IFERROR(__xludf.DUMMYFUNCTION("""COMPUTED_VALUE"""),"")</f>
        <v/>
      </c>
      <c r="H1245" s="10" t="str">
        <f>IFERROR(__xludf.DUMMYFUNCTION("""COMPUTED_VALUE"""),"")</f>
        <v/>
      </c>
      <c r="I1245" s="10" t="str">
        <f>IFERROR(__xludf.DUMMYFUNCTION("""COMPUTED_VALUE"""),"")</f>
        <v/>
      </c>
    </row>
    <row r="1246">
      <c r="A1246" s="10" t="str">
        <f>IFERROR(__xludf.DUMMYFUNCTION("""COMPUTED_VALUE"""),"")</f>
        <v/>
      </c>
      <c r="B1246" s="10" t="str">
        <f>IFERROR(__xludf.DUMMYFUNCTION("""COMPUTED_VALUE"""),"")</f>
        <v/>
      </c>
      <c r="C1246" s="10" t="str">
        <f>IFERROR(__xludf.DUMMYFUNCTION("""COMPUTED_VALUE"""),"")</f>
        <v/>
      </c>
      <c r="D1246" s="10" t="str">
        <f>IFERROR(__xludf.DUMMYFUNCTION("""COMPUTED_VALUE"""),"")</f>
        <v/>
      </c>
      <c r="E1246" s="10" t="str">
        <f>IFERROR(__xludf.DUMMYFUNCTION("""COMPUTED_VALUE"""),"")</f>
        <v/>
      </c>
      <c r="F1246" s="10" t="str">
        <f>IFERROR(__xludf.DUMMYFUNCTION("""COMPUTED_VALUE"""),"")</f>
        <v/>
      </c>
      <c r="G1246" s="10" t="str">
        <f>IFERROR(__xludf.DUMMYFUNCTION("""COMPUTED_VALUE"""),"")</f>
        <v/>
      </c>
      <c r="H1246" s="10" t="str">
        <f>IFERROR(__xludf.DUMMYFUNCTION("""COMPUTED_VALUE"""),"")</f>
        <v/>
      </c>
      <c r="I1246" s="10" t="str">
        <f>IFERROR(__xludf.DUMMYFUNCTION("""COMPUTED_VALUE"""),"")</f>
        <v/>
      </c>
    </row>
    <row r="1247">
      <c r="A1247" s="10" t="str">
        <f>IFERROR(__xludf.DUMMYFUNCTION("""COMPUTED_VALUE"""),"")</f>
        <v/>
      </c>
      <c r="B1247" s="10" t="str">
        <f>IFERROR(__xludf.DUMMYFUNCTION("""COMPUTED_VALUE"""),"")</f>
        <v/>
      </c>
      <c r="C1247" s="10" t="str">
        <f>IFERROR(__xludf.DUMMYFUNCTION("""COMPUTED_VALUE"""),"")</f>
        <v/>
      </c>
      <c r="D1247" s="10" t="str">
        <f>IFERROR(__xludf.DUMMYFUNCTION("""COMPUTED_VALUE"""),"")</f>
        <v/>
      </c>
      <c r="E1247" s="10" t="str">
        <f>IFERROR(__xludf.DUMMYFUNCTION("""COMPUTED_VALUE"""),"")</f>
        <v/>
      </c>
      <c r="F1247" s="10" t="str">
        <f>IFERROR(__xludf.DUMMYFUNCTION("""COMPUTED_VALUE"""),"")</f>
        <v/>
      </c>
      <c r="G1247" s="10" t="str">
        <f>IFERROR(__xludf.DUMMYFUNCTION("""COMPUTED_VALUE"""),"")</f>
        <v/>
      </c>
      <c r="H1247" s="10" t="str">
        <f>IFERROR(__xludf.DUMMYFUNCTION("""COMPUTED_VALUE"""),"")</f>
        <v/>
      </c>
      <c r="I1247" s="10" t="str">
        <f>IFERROR(__xludf.DUMMYFUNCTION("""COMPUTED_VALUE"""),"")</f>
        <v/>
      </c>
    </row>
    <row r="1248">
      <c r="A1248" s="10" t="str">
        <f>IFERROR(__xludf.DUMMYFUNCTION("""COMPUTED_VALUE"""),"")</f>
        <v/>
      </c>
      <c r="B1248" s="10" t="str">
        <f>IFERROR(__xludf.DUMMYFUNCTION("""COMPUTED_VALUE"""),"")</f>
        <v/>
      </c>
      <c r="C1248" s="10" t="str">
        <f>IFERROR(__xludf.DUMMYFUNCTION("""COMPUTED_VALUE"""),"")</f>
        <v/>
      </c>
      <c r="D1248" s="10" t="str">
        <f>IFERROR(__xludf.DUMMYFUNCTION("""COMPUTED_VALUE"""),"")</f>
        <v/>
      </c>
      <c r="E1248" s="10" t="str">
        <f>IFERROR(__xludf.DUMMYFUNCTION("""COMPUTED_VALUE"""),"")</f>
        <v/>
      </c>
      <c r="F1248" s="10" t="str">
        <f>IFERROR(__xludf.DUMMYFUNCTION("""COMPUTED_VALUE"""),"")</f>
        <v/>
      </c>
      <c r="G1248" s="10" t="str">
        <f>IFERROR(__xludf.DUMMYFUNCTION("""COMPUTED_VALUE"""),"")</f>
        <v/>
      </c>
      <c r="H1248" s="10" t="str">
        <f>IFERROR(__xludf.DUMMYFUNCTION("""COMPUTED_VALUE"""),"")</f>
        <v/>
      </c>
      <c r="I1248" s="10" t="str">
        <f>IFERROR(__xludf.DUMMYFUNCTION("""COMPUTED_VALUE"""),"")</f>
        <v/>
      </c>
    </row>
    <row r="1249">
      <c r="A1249" s="10" t="str">
        <f>IFERROR(__xludf.DUMMYFUNCTION("""COMPUTED_VALUE"""),"")</f>
        <v/>
      </c>
      <c r="B1249" s="10" t="str">
        <f>IFERROR(__xludf.DUMMYFUNCTION("""COMPUTED_VALUE"""),"")</f>
        <v/>
      </c>
      <c r="C1249" s="10" t="str">
        <f>IFERROR(__xludf.DUMMYFUNCTION("""COMPUTED_VALUE"""),"")</f>
        <v/>
      </c>
      <c r="D1249" s="10" t="str">
        <f>IFERROR(__xludf.DUMMYFUNCTION("""COMPUTED_VALUE"""),"")</f>
        <v/>
      </c>
      <c r="E1249" s="10" t="str">
        <f>IFERROR(__xludf.DUMMYFUNCTION("""COMPUTED_VALUE"""),"")</f>
        <v/>
      </c>
      <c r="F1249" s="10" t="str">
        <f>IFERROR(__xludf.DUMMYFUNCTION("""COMPUTED_VALUE"""),"")</f>
        <v/>
      </c>
      <c r="G1249" s="10" t="str">
        <f>IFERROR(__xludf.DUMMYFUNCTION("""COMPUTED_VALUE"""),"")</f>
        <v/>
      </c>
      <c r="H1249" s="10" t="str">
        <f>IFERROR(__xludf.DUMMYFUNCTION("""COMPUTED_VALUE"""),"")</f>
        <v/>
      </c>
      <c r="I1249" s="10" t="str">
        <f>IFERROR(__xludf.DUMMYFUNCTION("""COMPUTED_VALUE"""),"")</f>
        <v/>
      </c>
    </row>
    <row r="1250">
      <c r="A1250" s="10" t="str">
        <f>IFERROR(__xludf.DUMMYFUNCTION("""COMPUTED_VALUE"""),"")</f>
        <v/>
      </c>
      <c r="B1250" s="10" t="str">
        <f>IFERROR(__xludf.DUMMYFUNCTION("""COMPUTED_VALUE"""),"")</f>
        <v/>
      </c>
      <c r="C1250" s="10" t="str">
        <f>IFERROR(__xludf.DUMMYFUNCTION("""COMPUTED_VALUE"""),"")</f>
        <v/>
      </c>
      <c r="D1250" s="10" t="str">
        <f>IFERROR(__xludf.DUMMYFUNCTION("""COMPUTED_VALUE"""),"")</f>
        <v/>
      </c>
      <c r="E1250" s="10" t="str">
        <f>IFERROR(__xludf.DUMMYFUNCTION("""COMPUTED_VALUE"""),"")</f>
        <v/>
      </c>
      <c r="F1250" s="10" t="str">
        <f>IFERROR(__xludf.DUMMYFUNCTION("""COMPUTED_VALUE"""),"")</f>
        <v/>
      </c>
      <c r="G1250" s="10" t="str">
        <f>IFERROR(__xludf.DUMMYFUNCTION("""COMPUTED_VALUE"""),"")</f>
        <v/>
      </c>
      <c r="H1250" s="10" t="str">
        <f>IFERROR(__xludf.DUMMYFUNCTION("""COMPUTED_VALUE"""),"")</f>
        <v/>
      </c>
      <c r="I1250" s="10" t="str">
        <f>IFERROR(__xludf.DUMMYFUNCTION("""COMPUTED_VALUE"""),"")</f>
        <v/>
      </c>
    </row>
    <row r="1251">
      <c r="A1251" s="10" t="str">
        <f>IFERROR(__xludf.DUMMYFUNCTION("""COMPUTED_VALUE"""),"")</f>
        <v/>
      </c>
      <c r="B1251" s="10" t="str">
        <f>IFERROR(__xludf.DUMMYFUNCTION("""COMPUTED_VALUE"""),"")</f>
        <v/>
      </c>
      <c r="C1251" s="10" t="str">
        <f>IFERROR(__xludf.DUMMYFUNCTION("""COMPUTED_VALUE"""),"")</f>
        <v/>
      </c>
      <c r="D1251" s="10" t="str">
        <f>IFERROR(__xludf.DUMMYFUNCTION("""COMPUTED_VALUE"""),"")</f>
        <v/>
      </c>
      <c r="E1251" s="10" t="str">
        <f>IFERROR(__xludf.DUMMYFUNCTION("""COMPUTED_VALUE"""),"")</f>
        <v/>
      </c>
      <c r="F1251" s="10" t="str">
        <f>IFERROR(__xludf.DUMMYFUNCTION("""COMPUTED_VALUE"""),"")</f>
        <v/>
      </c>
      <c r="G1251" s="10" t="str">
        <f>IFERROR(__xludf.DUMMYFUNCTION("""COMPUTED_VALUE"""),"")</f>
        <v/>
      </c>
      <c r="H1251" s="10" t="str">
        <f>IFERROR(__xludf.DUMMYFUNCTION("""COMPUTED_VALUE"""),"")</f>
        <v/>
      </c>
      <c r="I1251" s="10" t="str">
        <f>IFERROR(__xludf.DUMMYFUNCTION("""COMPUTED_VALUE"""),"")</f>
        <v/>
      </c>
    </row>
    <row r="1252">
      <c r="A1252" s="10" t="str">
        <f>IFERROR(__xludf.DUMMYFUNCTION("""COMPUTED_VALUE"""),"")</f>
        <v/>
      </c>
      <c r="B1252" s="10" t="str">
        <f>IFERROR(__xludf.DUMMYFUNCTION("""COMPUTED_VALUE"""),"")</f>
        <v/>
      </c>
      <c r="C1252" s="10" t="str">
        <f>IFERROR(__xludf.DUMMYFUNCTION("""COMPUTED_VALUE"""),"")</f>
        <v/>
      </c>
      <c r="D1252" s="10" t="str">
        <f>IFERROR(__xludf.DUMMYFUNCTION("""COMPUTED_VALUE"""),"")</f>
        <v/>
      </c>
      <c r="E1252" s="10" t="str">
        <f>IFERROR(__xludf.DUMMYFUNCTION("""COMPUTED_VALUE"""),"")</f>
        <v/>
      </c>
      <c r="F1252" s="10" t="str">
        <f>IFERROR(__xludf.DUMMYFUNCTION("""COMPUTED_VALUE"""),"")</f>
        <v/>
      </c>
      <c r="G1252" s="10" t="str">
        <f>IFERROR(__xludf.DUMMYFUNCTION("""COMPUTED_VALUE"""),"")</f>
        <v/>
      </c>
      <c r="H1252" s="10" t="str">
        <f>IFERROR(__xludf.DUMMYFUNCTION("""COMPUTED_VALUE"""),"")</f>
        <v/>
      </c>
      <c r="I1252" s="10" t="str">
        <f>IFERROR(__xludf.DUMMYFUNCTION("""COMPUTED_VALUE"""),"")</f>
        <v/>
      </c>
    </row>
    <row r="1253">
      <c r="A1253" s="10" t="str">
        <f>IFERROR(__xludf.DUMMYFUNCTION("""COMPUTED_VALUE"""),"")</f>
        <v/>
      </c>
      <c r="B1253" s="10" t="str">
        <f>IFERROR(__xludf.DUMMYFUNCTION("""COMPUTED_VALUE"""),"")</f>
        <v/>
      </c>
      <c r="C1253" s="10" t="str">
        <f>IFERROR(__xludf.DUMMYFUNCTION("""COMPUTED_VALUE"""),"")</f>
        <v/>
      </c>
      <c r="D1253" s="10" t="str">
        <f>IFERROR(__xludf.DUMMYFUNCTION("""COMPUTED_VALUE"""),"")</f>
        <v/>
      </c>
      <c r="E1253" s="10" t="str">
        <f>IFERROR(__xludf.DUMMYFUNCTION("""COMPUTED_VALUE"""),"")</f>
        <v/>
      </c>
      <c r="F1253" s="10" t="str">
        <f>IFERROR(__xludf.DUMMYFUNCTION("""COMPUTED_VALUE"""),"")</f>
        <v/>
      </c>
      <c r="G1253" s="10" t="str">
        <f>IFERROR(__xludf.DUMMYFUNCTION("""COMPUTED_VALUE"""),"")</f>
        <v/>
      </c>
      <c r="H1253" s="10" t="str">
        <f>IFERROR(__xludf.DUMMYFUNCTION("""COMPUTED_VALUE"""),"")</f>
        <v/>
      </c>
      <c r="I1253" s="10" t="str">
        <f>IFERROR(__xludf.DUMMYFUNCTION("""COMPUTED_VALUE"""),"")</f>
        <v/>
      </c>
    </row>
    <row r="1254">
      <c r="A1254" s="10" t="str">
        <f>IFERROR(__xludf.DUMMYFUNCTION("""COMPUTED_VALUE"""),"")</f>
        <v/>
      </c>
      <c r="B1254" s="10" t="str">
        <f>IFERROR(__xludf.DUMMYFUNCTION("""COMPUTED_VALUE"""),"")</f>
        <v/>
      </c>
      <c r="C1254" s="10" t="str">
        <f>IFERROR(__xludf.DUMMYFUNCTION("""COMPUTED_VALUE"""),"")</f>
        <v/>
      </c>
      <c r="D1254" s="10" t="str">
        <f>IFERROR(__xludf.DUMMYFUNCTION("""COMPUTED_VALUE"""),"")</f>
        <v/>
      </c>
      <c r="E1254" s="10" t="str">
        <f>IFERROR(__xludf.DUMMYFUNCTION("""COMPUTED_VALUE"""),"")</f>
        <v/>
      </c>
      <c r="F1254" s="10" t="str">
        <f>IFERROR(__xludf.DUMMYFUNCTION("""COMPUTED_VALUE"""),"")</f>
        <v/>
      </c>
      <c r="G1254" s="10" t="str">
        <f>IFERROR(__xludf.DUMMYFUNCTION("""COMPUTED_VALUE"""),"")</f>
        <v/>
      </c>
      <c r="H1254" s="10" t="str">
        <f>IFERROR(__xludf.DUMMYFUNCTION("""COMPUTED_VALUE"""),"")</f>
        <v/>
      </c>
      <c r="I1254" s="10" t="str">
        <f>IFERROR(__xludf.DUMMYFUNCTION("""COMPUTED_VALUE"""),"")</f>
        <v/>
      </c>
    </row>
    <row r="1255">
      <c r="A1255" s="10" t="str">
        <f>IFERROR(__xludf.DUMMYFUNCTION("""COMPUTED_VALUE"""),"")</f>
        <v/>
      </c>
      <c r="B1255" s="10" t="str">
        <f>IFERROR(__xludf.DUMMYFUNCTION("""COMPUTED_VALUE"""),"")</f>
        <v/>
      </c>
      <c r="C1255" s="10" t="str">
        <f>IFERROR(__xludf.DUMMYFUNCTION("""COMPUTED_VALUE"""),"")</f>
        <v/>
      </c>
      <c r="D1255" s="10" t="str">
        <f>IFERROR(__xludf.DUMMYFUNCTION("""COMPUTED_VALUE"""),"")</f>
        <v/>
      </c>
      <c r="E1255" s="10" t="str">
        <f>IFERROR(__xludf.DUMMYFUNCTION("""COMPUTED_VALUE"""),"")</f>
        <v/>
      </c>
      <c r="F1255" s="10" t="str">
        <f>IFERROR(__xludf.DUMMYFUNCTION("""COMPUTED_VALUE"""),"")</f>
        <v/>
      </c>
      <c r="G1255" s="10" t="str">
        <f>IFERROR(__xludf.DUMMYFUNCTION("""COMPUTED_VALUE"""),"")</f>
        <v/>
      </c>
      <c r="H1255" s="10" t="str">
        <f>IFERROR(__xludf.DUMMYFUNCTION("""COMPUTED_VALUE"""),"")</f>
        <v/>
      </c>
      <c r="I1255" s="10" t="str">
        <f>IFERROR(__xludf.DUMMYFUNCTION("""COMPUTED_VALUE"""),"")</f>
        <v/>
      </c>
    </row>
    <row r="1256">
      <c r="A1256" s="10" t="str">
        <f>IFERROR(__xludf.DUMMYFUNCTION("""COMPUTED_VALUE"""),"")</f>
        <v/>
      </c>
      <c r="B1256" s="10" t="str">
        <f>IFERROR(__xludf.DUMMYFUNCTION("""COMPUTED_VALUE"""),"")</f>
        <v/>
      </c>
      <c r="C1256" s="10" t="str">
        <f>IFERROR(__xludf.DUMMYFUNCTION("""COMPUTED_VALUE"""),"")</f>
        <v/>
      </c>
      <c r="D1256" s="10" t="str">
        <f>IFERROR(__xludf.DUMMYFUNCTION("""COMPUTED_VALUE"""),"")</f>
        <v/>
      </c>
      <c r="E1256" s="10" t="str">
        <f>IFERROR(__xludf.DUMMYFUNCTION("""COMPUTED_VALUE"""),"")</f>
        <v/>
      </c>
      <c r="F1256" s="10" t="str">
        <f>IFERROR(__xludf.DUMMYFUNCTION("""COMPUTED_VALUE"""),"")</f>
        <v/>
      </c>
      <c r="G1256" s="10" t="str">
        <f>IFERROR(__xludf.DUMMYFUNCTION("""COMPUTED_VALUE"""),"")</f>
        <v/>
      </c>
      <c r="H1256" s="10" t="str">
        <f>IFERROR(__xludf.DUMMYFUNCTION("""COMPUTED_VALUE"""),"")</f>
        <v/>
      </c>
      <c r="I1256" s="10" t="str">
        <f>IFERROR(__xludf.DUMMYFUNCTION("""COMPUTED_VALUE"""),"")</f>
        <v/>
      </c>
    </row>
    <row r="1257">
      <c r="A1257" s="10" t="str">
        <f>IFERROR(__xludf.DUMMYFUNCTION("""COMPUTED_VALUE"""),"")</f>
        <v/>
      </c>
      <c r="B1257" s="10" t="str">
        <f>IFERROR(__xludf.DUMMYFUNCTION("""COMPUTED_VALUE"""),"")</f>
        <v/>
      </c>
      <c r="C1257" s="10" t="str">
        <f>IFERROR(__xludf.DUMMYFUNCTION("""COMPUTED_VALUE"""),"")</f>
        <v/>
      </c>
      <c r="D1257" s="10" t="str">
        <f>IFERROR(__xludf.DUMMYFUNCTION("""COMPUTED_VALUE"""),"")</f>
        <v/>
      </c>
      <c r="E1257" s="10" t="str">
        <f>IFERROR(__xludf.DUMMYFUNCTION("""COMPUTED_VALUE"""),"")</f>
        <v/>
      </c>
      <c r="F1257" s="10" t="str">
        <f>IFERROR(__xludf.DUMMYFUNCTION("""COMPUTED_VALUE"""),"")</f>
        <v/>
      </c>
      <c r="G1257" s="10" t="str">
        <f>IFERROR(__xludf.DUMMYFUNCTION("""COMPUTED_VALUE"""),"")</f>
        <v/>
      </c>
      <c r="H1257" s="10" t="str">
        <f>IFERROR(__xludf.DUMMYFUNCTION("""COMPUTED_VALUE"""),"")</f>
        <v/>
      </c>
      <c r="I1257" s="10" t="str">
        <f>IFERROR(__xludf.DUMMYFUNCTION("""COMPUTED_VALUE"""),"")</f>
        <v/>
      </c>
    </row>
    <row r="1258">
      <c r="A1258" s="10" t="str">
        <f>IFERROR(__xludf.DUMMYFUNCTION("""COMPUTED_VALUE"""),"")</f>
        <v/>
      </c>
      <c r="B1258" s="10" t="str">
        <f>IFERROR(__xludf.DUMMYFUNCTION("""COMPUTED_VALUE"""),"")</f>
        <v/>
      </c>
      <c r="C1258" s="10" t="str">
        <f>IFERROR(__xludf.DUMMYFUNCTION("""COMPUTED_VALUE"""),"")</f>
        <v/>
      </c>
      <c r="D1258" s="10" t="str">
        <f>IFERROR(__xludf.DUMMYFUNCTION("""COMPUTED_VALUE"""),"")</f>
        <v/>
      </c>
      <c r="E1258" s="10" t="str">
        <f>IFERROR(__xludf.DUMMYFUNCTION("""COMPUTED_VALUE"""),"")</f>
        <v/>
      </c>
      <c r="F1258" s="10" t="str">
        <f>IFERROR(__xludf.DUMMYFUNCTION("""COMPUTED_VALUE"""),"")</f>
        <v/>
      </c>
      <c r="G1258" s="10" t="str">
        <f>IFERROR(__xludf.DUMMYFUNCTION("""COMPUTED_VALUE"""),"")</f>
        <v/>
      </c>
      <c r="H1258" s="10" t="str">
        <f>IFERROR(__xludf.DUMMYFUNCTION("""COMPUTED_VALUE"""),"")</f>
        <v/>
      </c>
      <c r="I1258" s="10" t="str">
        <f>IFERROR(__xludf.DUMMYFUNCTION("""COMPUTED_VALUE"""),"")</f>
        <v/>
      </c>
    </row>
    <row r="1259">
      <c r="A1259" s="10" t="str">
        <f>IFERROR(__xludf.DUMMYFUNCTION("""COMPUTED_VALUE"""),"")</f>
        <v/>
      </c>
      <c r="B1259" s="10" t="str">
        <f>IFERROR(__xludf.DUMMYFUNCTION("""COMPUTED_VALUE"""),"")</f>
        <v/>
      </c>
      <c r="C1259" s="10" t="str">
        <f>IFERROR(__xludf.DUMMYFUNCTION("""COMPUTED_VALUE"""),"")</f>
        <v/>
      </c>
      <c r="D1259" s="10" t="str">
        <f>IFERROR(__xludf.DUMMYFUNCTION("""COMPUTED_VALUE"""),"")</f>
        <v/>
      </c>
      <c r="E1259" s="10" t="str">
        <f>IFERROR(__xludf.DUMMYFUNCTION("""COMPUTED_VALUE"""),"")</f>
        <v/>
      </c>
      <c r="F1259" s="10" t="str">
        <f>IFERROR(__xludf.DUMMYFUNCTION("""COMPUTED_VALUE"""),"")</f>
        <v/>
      </c>
      <c r="G1259" s="10" t="str">
        <f>IFERROR(__xludf.DUMMYFUNCTION("""COMPUTED_VALUE"""),"")</f>
        <v/>
      </c>
      <c r="H1259" s="10" t="str">
        <f>IFERROR(__xludf.DUMMYFUNCTION("""COMPUTED_VALUE"""),"")</f>
        <v/>
      </c>
      <c r="I1259" s="10" t="str">
        <f>IFERROR(__xludf.DUMMYFUNCTION("""COMPUTED_VALUE"""),"")</f>
        <v/>
      </c>
    </row>
    <row r="1260">
      <c r="A1260" s="10" t="str">
        <f>IFERROR(__xludf.DUMMYFUNCTION("""COMPUTED_VALUE"""),"")</f>
        <v/>
      </c>
      <c r="B1260" s="10" t="str">
        <f>IFERROR(__xludf.DUMMYFUNCTION("""COMPUTED_VALUE"""),"")</f>
        <v/>
      </c>
      <c r="C1260" s="10" t="str">
        <f>IFERROR(__xludf.DUMMYFUNCTION("""COMPUTED_VALUE"""),"")</f>
        <v/>
      </c>
      <c r="D1260" s="10" t="str">
        <f>IFERROR(__xludf.DUMMYFUNCTION("""COMPUTED_VALUE"""),"")</f>
        <v/>
      </c>
      <c r="E1260" s="10" t="str">
        <f>IFERROR(__xludf.DUMMYFUNCTION("""COMPUTED_VALUE"""),"")</f>
        <v/>
      </c>
      <c r="F1260" s="10" t="str">
        <f>IFERROR(__xludf.DUMMYFUNCTION("""COMPUTED_VALUE"""),"")</f>
        <v/>
      </c>
      <c r="G1260" s="10" t="str">
        <f>IFERROR(__xludf.DUMMYFUNCTION("""COMPUTED_VALUE"""),"")</f>
        <v/>
      </c>
      <c r="H1260" s="10" t="str">
        <f>IFERROR(__xludf.DUMMYFUNCTION("""COMPUTED_VALUE"""),"")</f>
        <v/>
      </c>
      <c r="I1260" s="10" t="str">
        <f>IFERROR(__xludf.DUMMYFUNCTION("""COMPUTED_VALUE"""),"")</f>
        <v/>
      </c>
    </row>
    <row r="1261">
      <c r="A1261" s="10" t="str">
        <f>IFERROR(__xludf.DUMMYFUNCTION("""COMPUTED_VALUE"""),"")</f>
        <v/>
      </c>
      <c r="B1261" s="10" t="str">
        <f>IFERROR(__xludf.DUMMYFUNCTION("""COMPUTED_VALUE"""),"")</f>
        <v/>
      </c>
      <c r="C1261" s="10" t="str">
        <f>IFERROR(__xludf.DUMMYFUNCTION("""COMPUTED_VALUE"""),"")</f>
        <v/>
      </c>
      <c r="D1261" s="10" t="str">
        <f>IFERROR(__xludf.DUMMYFUNCTION("""COMPUTED_VALUE"""),"")</f>
        <v/>
      </c>
      <c r="E1261" s="10" t="str">
        <f>IFERROR(__xludf.DUMMYFUNCTION("""COMPUTED_VALUE"""),"")</f>
        <v/>
      </c>
      <c r="F1261" s="10" t="str">
        <f>IFERROR(__xludf.DUMMYFUNCTION("""COMPUTED_VALUE"""),"")</f>
        <v/>
      </c>
      <c r="G1261" s="10" t="str">
        <f>IFERROR(__xludf.DUMMYFUNCTION("""COMPUTED_VALUE"""),"")</f>
        <v/>
      </c>
      <c r="H1261" s="10" t="str">
        <f>IFERROR(__xludf.DUMMYFUNCTION("""COMPUTED_VALUE"""),"")</f>
        <v/>
      </c>
      <c r="I1261" s="10" t="str">
        <f>IFERROR(__xludf.DUMMYFUNCTION("""COMPUTED_VALUE"""),"")</f>
        <v/>
      </c>
    </row>
    <row r="1262">
      <c r="A1262" s="10" t="str">
        <f>IFERROR(__xludf.DUMMYFUNCTION("""COMPUTED_VALUE"""),"")</f>
        <v/>
      </c>
      <c r="B1262" s="10" t="str">
        <f>IFERROR(__xludf.DUMMYFUNCTION("""COMPUTED_VALUE"""),"")</f>
        <v/>
      </c>
      <c r="C1262" s="10" t="str">
        <f>IFERROR(__xludf.DUMMYFUNCTION("""COMPUTED_VALUE"""),"")</f>
        <v/>
      </c>
      <c r="D1262" s="10" t="str">
        <f>IFERROR(__xludf.DUMMYFUNCTION("""COMPUTED_VALUE"""),"")</f>
        <v/>
      </c>
      <c r="E1262" s="10" t="str">
        <f>IFERROR(__xludf.DUMMYFUNCTION("""COMPUTED_VALUE"""),"")</f>
        <v/>
      </c>
      <c r="F1262" s="10" t="str">
        <f>IFERROR(__xludf.DUMMYFUNCTION("""COMPUTED_VALUE"""),"")</f>
        <v/>
      </c>
      <c r="G1262" s="10" t="str">
        <f>IFERROR(__xludf.DUMMYFUNCTION("""COMPUTED_VALUE"""),"")</f>
        <v/>
      </c>
      <c r="H1262" s="10" t="str">
        <f>IFERROR(__xludf.DUMMYFUNCTION("""COMPUTED_VALUE"""),"")</f>
        <v/>
      </c>
      <c r="I1262" s="10" t="str">
        <f>IFERROR(__xludf.DUMMYFUNCTION("""COMPUTED_VALUE"""),"")</f>
        <v/>
      </c>
    </row>
    <row r="1263">
      <c r="A1263" s="10" t="str">
        <f>IFERROR(__xludf.DUMMYFUNCTION("""COMPUTED_VALUE"""),"")</f>
        <v/>
      </c>
      <c r="B1263" s="10" t="str">
        <f>IFERROR(__xludf.DUMMYFUNCTION("""COMPUTED_VALUE"""),"")</f>
        <v/>
      </c>
      <c r="C1263" s="10" t="str">
        <f>IFERROR(__xludf.DUMMYFUNCTION("""COMPUTED_VALUE"""),"")</f>
        <v/>
      </c>
      <c r="D1263" s="10" t="str">
        <f>IFERROR(__xludf.DUMMYFUNCTION("""COMPUTED_VALUE"""),"")</f>
        <v/>
      </c>
      <c r="E1263" s="10" t="str">
        <f>IFERROR(__xludf.DUMMYFUNCTION("""COMPUTED_VALUE"""),"")</f>
        <v/>
      </c>
      <c r="F1263" s="10" t="str">
        <f>IFERROR(__xludf.DUMMYFUNCTION("""COMPUTED_VALUE"""),"")</f>
        <v/>
      </c>
      <c r="G1263" s="10" t="str">
        <f>IFERROR(__xludf.DUMMYFUNCTION("""COMPUTED_VALUE"""),"")</f>
        <v/>
      </c>
      <c r="H1263" s="10" t="str">
        <f>IFERROR(__xludf.DUMMYFUNCTION("""COMPUTED_VALUE"""),"")</f>
        <v/>
      </c>
      <c r="I1263" s="10" t="str">
        <f>IFERROR(__xludf.DUMMYFUNCTION("""COMPUTED_VALUE"""),"")</f>
        <v/>
      </c>
    </row>
    <row r="1264">
      <c r="A1264" s="10" t="str">
        <f>IFERROR(__xludf.DUMMYFUNCTION("""COMPUTED_VALUE"""),"")</f>
        <v/>
      </c>
      <c r="B1264" s="10" t="str">
        <f>IFERROR(__xludf.DUMMYFUNCTION("""COMPUTED_VALUE"""),"")</f>
        <v/>
      </c>
      <c r="C1264" s="10" t="str">
        <f>IFERROR(__xludf.DUMMYFUNCTION("""COMPUTED_VALUE"""),"")</f>
        <v/>
      </c>
      <c r="D1264" s="10" t="str">
        <f>IFERROR(__xludf.DUMMYFUNCTION("""COMPUTED_VALUE"""),"")</f>
        <v/>
      </c>
      <c r="E1264" s="10" t="str">
        <f>IFERROR(__xludf.DUMMYFUNCTION("""COMPUTED_VALUE"""),"")</f>
        <v/>
      </c>
      <c r="F1264" s="10" t="str">
        <f>IFERROR(__xludf.DUMMYFUNCTION("""COMPUTED_VALUE"""),"")</f>
        <v/>
      </c>
      <c r="G1264" s="10" t="str">
        <f>IFERROR(__xludf.DUMMYFUNCTION("""COMPUTED_VALUE"""),"")</f>
        <v/>
      </c>
      <c r="H1264" s="10" t="str">
        <f>IFERROR(__xludf.DUMMYFUNCTION("""COMPUTED_VALUE"""),"")</f>
        <v/>
      </c>
      <c r="I1264" s="10" t="str">
        <f>IFERROR(__xludf.DUMMYFUNCTION("""COMPUTED_VALUE"""),"")</f>
        <v/>
      </c>
    </row>
    <row r="1265">
      <c r="A1265" s="10" t="str">
        <f>IFERROR(__xludf.DUMMYFUNCTION("""COMPUTED_VALUE"""),"")</f>
        <v/>
      </c>
      <c r="B1265" s="10" t="str">
        <f>IFERROR(__xludf.DUMMYFUNCTION("""COMPUTED_VALUE"""),"")</f>
        <v/>
      </c>
      <c r="C1265" s="10" t="str">
        <f>IFERROR(__xludf.DUMMYFUNCTION("""COMPUTED_VALUE"""),"")</f>
        <v/>
      </c>
      <c r="D1265" s="10" t="str">
        <f>IFERROR(__xludf.DUMMYFUNCTION("""COMPUTED_VALUE"""),"")</f>
        <v/>
      </c>
      <c r="E1265" s="10" t="str">
        <f>IFERROR(__xludf.DUMMYFUNCTION("""COMPUTED_VALUE"""),"")</f>
        <v/>
      </c>
      <c r="F1265" s="10" t="str">
        <f>IFERROR(__xludf.DUMMYFUNCTION("""COMPUTED_VALUE"""),"")</f>
        <v/>
      </c>
      <c r="G1265" s="10" t="str">
        <f>IFERROR(__xludf.DUMMYFUNCTION("""COMPUTED_VALUE"""),"")</f>
        <v/>
      </c>
      <c r="H1265" s="10" t="str">
        <f>IFERROR(__xludf.DUMMYFUNCTION("""COMPUTED_VALUE"""),"")</f>
        <v/>
      </c>
      <c r="I1265" s="10" t="str">
        <f>IFERROR(__xludf.DUMMYFUNCTION("""COMPUTED_VALUE"""),"")</f>
        <v/>
      </c>
    </row>
    <row r="1266">
      <c r="A1266" s="10" t="str">
        <f>IFERROR(__xludf.DUMMYFUNCTION("""COMPUTED_VALUE"""),"")</f>
        <v/>
      </c>
      <c r="B1266" s="10" t="str">
        <f>IFERROR(__xludf.DUMMYFUNCTION("""COMPUTED_VALUE"""),"")</f>
        <v/>
      </c>
      <c r="C1266" s="10" t="str">
        <f>IFERROR(__xludf.DUMMYFUNCTION("""COMPUTED_VALUE"""),"")</f>
        <v/>
      </c>
      <c r="D1266" s="10" t="str">
        <f>IFERROR(__xludf.DUMMYFUNCTION("""COMPUTED_VALUE"""),"")</f>
        <v/>
      </c>
      <c r="E1266" s="10" t="str">
        <f>IFERROR(__xludf.DUMMYFUNCTION("""COMPUTED_VALUE"""),"")</f>
        <v/>
      </c>
      <c r="F1266" s="10" t="str">
        <f>IFERROR(__xludf.DUMMYFUNCTION("""COMPUTED_VALUE"""),"")</f>
        <v/>
      </c>
      <c r="G1266" s="10" t="str">
        <f>IFERROR(__xludf.DUMMYFUNCTION("""COMPUTED_VALUE"""),"")</f>
        <v/>
      </c>
      <c r="H1266" s="10" t="str">
        <f>IFERROR(__xludf.DUMMYFUNCTION("""COMPUTED_VALUE"""),"")</f>
        <v/>
      </c>
      <c r="I1266" s="10" t="str">
        <f>IFERROR(__xludf.DUMMYFUNCTION("""COMPUTED_VALUE"""),"")</f>
        <v/>
      </c>
    </row>
    <row r="1267">
      <c r="A1267" s="10" t="str">
        <f>IFERROR(__xludf.DUMMYFUNCTION("""COMPUTED_VALUE"""),"")</f>
        <v/>
      </c>
      <c r="B1267" s="10" t="str">
        <f>IFERROR(__xludf.DUMMYFUNCTION("""COMPUTED_VALUE"""),"")</f>
        <v/>
      </c>
      <c r="C1267" s="10" t="str">
        <f>IFERROR(__xludf.DUMMYFUNCTION("""COMPUTED_VALUE"""),"")</f>
        <v/>
      </c>
      <c r="D1267" s="10" t="str">
        <f>IFERROR(__xludf.DUMMYFUNCTION("""COMPUTED_VALUE"""),"")</f>
        <v/>
      </c>
      <c r="E1267" s="10" t="str">
        <f>IFERROR(__xludf.DUMMYFUNCTION("""COMPUTED_VALUE"""),"")</f>
        <v/>
      </c>
      <c r="F1267" s="10" t="str">
        <f>IFERROR(__xludf.DUMMYFUNCTION("""COMPUTED_VALUE"""),"")</f>
        <v/>
      </c>
      <c r="G1267" s="10" t="str">
        <f>IFERROR(__xludf.DUMMYFUNCTION("""COMPUTED_VALUE"""),"")</f>
        <v/>
      </c>
      <c r="H1267" s="10" t="str">
        <f>IFERROR(__xludf.DUMMYFUNCTION("""COMPUTED_VALUE"""),"")</f>
        <v/>
      </c>
      <c r="I1267" s="10" t="str">
        <f>IFERROR(__xludf.DUMMYFUNCTION("""COMPUTED_VALUE"""),"")</f>
        <v/>
      </c>
    </row>
    <row r="1268">
      <c r="A1268" s="10" t="str">
        <f>IFERROR(__xludf.DUMMYFUNCTION("""COMPUTED_VALUE"""),"")</f>
        <v/>
      </c>
      <c r="B1268" s="10" t="str">
        <f>IFERROR(__xludf.DUMMYFUNCTION("""COMPUTED_VALUE"""),"")</f>
        <v/>
      </c>
      <c r="C1268" s="10" t="str">
        <f>IFERROR(__xludf.DUMMYFUNCTION("""COMPUTED_VALUE"""),"")</f>
        <v/>
      </c>
      <c r="D1268" s="10" t="str">
        <f>IFERROR(__xludf.DUMMYFUNCTION("""COMPUTED_VALUE"""),"")</f>
        <v/>
      </c>
      <c r="E1268" s="10" t="str">
        <f>IFERROR(__xludf.DUMMYFUNCTION("""COMPUTED_VALUE"""),"")</f>
        <v/>
      </c>
      <c r="F1268" s="10" t="str">
        <f>IFERROR(__xludf.DUMMYFUNCTION("""COMPUTED_VALUE"""),"")</f>
        <v/>
      </c>
      <c r="G1268" s="10" t="str">
        <f>IFERROR(__xludf.DUMMYFUNCTION("""COMPUTED_VALUE"""),"")</f>
        <v/>
      </c>
      <c r="H1268" s="10" t="str">
        <f>IFERROR(__xludf.DUMMYFUNCTION("""COMPUTED_VALUE"""),"")</f>
        <v/>
      </c>
      <c r="I1268" s="10" t="str">
        <f>IFERROR(__xludf.DUMMYFUNCTION("""COMPUTED_VALUE"""),"")</f>
        <v/>
      </c>
    </row>
    <row r="1269">
      <c r="A1269" s="10" t="str">
        <f>IFERROR(__xludf.DUMMYFUNCTION("""COMPUTED_VALUE"""),"")</f>
        <v/>
      </c>
      <c r="B1269" s="10" t="str">
        <f>IFERROR(__xludf.DUMMYFUNCTION("""COMPUTED_VALUE"""),"")</f>
        <v/>
      </c>
      <c r="C1269" s="10" t="str">
        <f>IFERROR(__xludf.DUMMYFUNCTION("""COMPUTED_VALUE"""),"")</f>
        <v/>
      </c>
      <c r="D1269" s="10" t="str">
        <f>IFERROR(__xludf.DUMMYFUNCTION("""COMPUTED_VALUE"""),"")</f>
        <v/>
      </c>
      <c r="E1269" s="10" t="str">
        <f>IFERROR(__xludf.DUMMYFUNCTION("""COMPUTED_VALUE"""),"")</f>
        <v/>
      </c>
      <c r="F1269" s="10" t="str">
        <f>IFERROR(__xludf.DUMMYFUNCTION("""COMPUTED_VALUE"""),"")</f>
        <v/>
      </c>
      <c r="G1269" s="10" t="str">
        <f>IFERROR(__xludf.DUMMYFUNCTION("""COMPUTED_VALUE"""),"")</f>
        <v/>
      </c>
      <c r="H1269" s="10" t="str">
        <f>IFERROR(__xludf.DUMMYFUNCTION("""COMPUTED_VALUE"""),"")</f>
        <v/>
      </c>
      <c r="I1269" s="10" t="str">
        <f>IFERROR(__xludf.DUMMYFUNCTION("""COMPUTED_VALUE"""),"")</f>
        <v/>
      </c>
    </row>
    <row r="1270">
      <c r="A1270" s="10" t="str">
        <f>IFERROR(__xludf.DUMMYFUNCTION("""COMPUTED_VALUE"""),"")</f>
        <v/>
      </c>
      <c r="B1270" s="10" t="str">
        <f>IFERROR(__xludf.DUMMYFUNCTION("""COMPUTED_VALUE"""),"")</f>
        <v/>
      </c>
      <c r="C1270" s="10" t="str">
        <f>IFERROR(__xludf.DUMMYFUNCTION("""COMPUTED_VALUE"""),"")</f>
        <v/>
      </c>
      <c r="D1270" s="10" t="str">
        <f>IFERROR(__xludf.DUMMYFUNCTION("""COMPUTED_VALUE"""),"")</f>
        <v/>
      </c>
      <c r="E1270" s="10" t="str">
        <f>IFERROR(__xludf.DUMMYFUNCTION("""COMPUTED_VALUE"""),"")</f>
        <v/>
      </c>
      <c r="F1270" s="10" t="str">
        <f>IFERROR(__xludf.DUMMYFUNCTION("""COMPUTED_VALUE"""),"")</f>
        <v/>
      </c>
      <c r="G1270" s="10" t="str">
        <f>IFERROR(__xludf.DUMMYFUNCTION("""COMPUTED_VALUE"""),"")</f>
        <v/>
      </c>
      <c r="H1270" s="10" t="str">
        <f>IFERROR(__xludf.DUMMYFUNCTION("""COMPUTED_VALUE"""),"")</f>
        <v/>
      </c>
      <c r="I1270" s="10" t="str">
        <f>IFERROR(__xludf.DUMMYFUNCTION("""COMPUTED_VALUE"""),"")</f>
        <v/>
      </c>
    </row>
    <row r="1271">
      <c r="A1271" s="10" t="str">
        <f>IFERROR(__xludf.DUMMYFUNCTION("""COMPUTED_VALUE"""),"")</f>
        <v/>
      </c>
      <c r="B1271" s="10" t="str">
        <f>IFERROR(__xludf.DUMMYFUNCTION("""COMPUTED_VALUE"""),"")</f>
        <v/>
      </c>
      <c r="C1271" s="10" t="str">
        <f>IFERROR(__xludf.DUMMYFUNCTION("""COMPUTED_VALUE"""),"")</f>
        <v/>
      </c>
      <c r="D1271" s="10" t="str">
        <f>IFERROR(__xludf.DUMMYFUNCTION("""COMPUTED_VALUE"""),"")</f>
        <v/>
      </c>
      <c r="E1271" s="10" t="str">
        <f>IFERROR(__xludf.DUMMYFUNCTION("""COMPUTED_VALUE"""),"")</f>
        <v/>
      </c>
      <c r="F1271" s="10" t="str">
        <f>IFERROR(__xludf.DUMMYFUNCTION("""COMPUTED_VALUE"""),"")</f>
        <v/>
      </c>
      <c r="G1271" s="10" t="str">
        <f>IFERROR(__xludf.DUMMYFUNCTION("""COMPUTED_VALUE"""),"")</f>
        <v/>
      </c>
      <c r="H1271" s="10" t="str">
        <f>IFERROR(__xludf.DUMMYFUNCTION("""COMPUTED_VALUE"""),"")</f>
        <v/>
      </c>
      <c r="I1271" s="10" t="str">
        <f>IFERROR(__xludf.DUMMYFUNCTION("""COMPUTED_VALUE"""),"")</f>
        <v/>
      </c>
    </row>
    <row r="1272">
      <c r="A1272" s="10" t="str">
        <f>IFERROR(__xludf.DUMMYFUNCTION("""COMPUTED_VALUE"""),"")</f>
        <v/>
      </c>
      <c r="B1272" s="10" t="str">
        <f>IFERROR(__xludf.DUMMYFUNCTION("""COMPUTED_VALUE"""),"")</f>
        <v/>
      </c>
      <c r="C1272" s="10" t="str">
        <f>IFERROR(__xludf.DUMMYFUNCTION("""COMPUTED_VALUE"""),"")</f>
        <v/>
      </c>
      <c r="D1272" s="10" t="str">
        <f>IFERROR(__xludf.DUMMYFUNCTION("""COMPUTED_VALUE"""),"")</f>
        <v/>
      </c>
      <c r="E1272" s="10" t="str">
        <f>IFERROR(__xludf.DUMMYFUNCTION("""COMPUTED_VALUE"""),"")</f>
        <v/>
      </c>
      <c r="F1272" s="10" t="str">
        <f>IFERROR(__xludf.DUMMYFUNCTION("""COMPUTED_VALUE"""),"")</f>
        <v/>
      </c>
      <c r="G1272" s="10" t="str">
        <f>IFERROR(__xludf.DUMMYFUNCTION("""COMPUTED_VALUE"""),"")</f>
        <v/>
      </c>
      <c r="H1272" s="10" t="str">
        <f>IFERROR(__xludf.DUMMYFUNCTION("""COMPUTED_VALUE"""),"")</f>
        <v/>
      </c>
      <c r="I1272" s="10" t="str">
        <f>IFERROR(__xludf.DUMMYFUNCTION("""COMPUTED_VALUE"""),"")</f>
        <v/>
      </c>
    </row>
    <row r="1273">
      <c r="A1273" s="10" t="str">
        <f>IFERROR(__xludf.DUMMYFUNCTION("""COMPUTED_VALUE"""),"")</f>
        <v/>
      </c>
      <c r="B1273" s="10" t="str">
        <f>IFERROR(__xludf.DUMMYFUNCTION("""COMPUTED_VALUE"""),"")</f>
        <v/>
      </c>
      <c r="C1273" s="10" t="str">
        <f>IFERROR(__xludf.DUMMYFUNCTION("""COMPUTED_VALUE"""),"")</f>
        <v/>
      </c>
      <c r="D1273" s="10" t="str">
        <f>IFERROR(__xludf.DUMMYFUNCTION("""COMPUTED_VALUE"""),"")</f>
        <v/>
      </c>
      <c r="E1273" s="10" t="str">
        <f>IFERROR(__xludf.DUMMYFUNCTION("""COMPUTED_VALUE"""),"")</f>
        <v/>
      </c>
      <c r="F1273" s="10" t="str">
        <f>IFERROR(__xludf.DUMMYFUNCTION("""COMPUTED_VALUE"""),"")</f>
        <v/>
      </c>
      <c r="G1273" s="10" t="str">
        <f>IFERROR(__xludf.DUMMYFUNCTION("""COMPUTED_VALUE"""),"")</f>
        <v/>
      </c>
      <c r="H1273" s="10" t="str">
        <f>IFERROR(__xludf.DUMMYFUNCTION("""COMPUTED_VALUE"""),"")</f>
        <v/>
      </c>
      <c r="I1273" s="10" t="str">
        <f>IFERROR(__xludf.DUMMYFUNCTION("""COMPUTED_VALUE"""),"")</f>
        <v/>
      </c>
    </row>
    <row r="1274">
      <c r="A1274" s="10" t="str">
        <f>IFERROR(__xludf.DUMMYFUNCTION("""COMPUTED_VALUE"""),"")</f>
        <v/>
      </c>
      <c r="B1274" s="10" t="str">
        <f>IFERROR(__xludf.DUMMYFUNCTION("""COMPUTED_VALUE"""),"")</f>
        <v/>
      </c>
      <c r="C1274" s="10" t="str">
        <f>IFERROR(__xludf.DUMMYFUNCTION("""COMPUTED_VALUE"""),"")</f>
        <v/>
      </c>
      <c r="D1274" s="10" t="str">
        <f>IFERROR(__xludf.DUMMYFUNCTION("""COMPUTED_VALUE"""),"")</f>
        <v/>
      </c>
      <c r="E1274" s="10" t="str">
        <f>IFERROR(__xludf.DUMMYFUNCTION("""COMPUTED_VALUE"""),"")</f>
        <v/>
      </c>
      <c r="F1274" s="10" t="str">
        <f>IFERROR(__xludf.DUMMYFUNCTION("""COMPUTED_VALUE"""),"")</f>
        <v/>
      </c>
      <c r="G1274" s="10" t="str">
        <f>IFERROR(__xludf.DUMMYFUNCTION("""COMPUTED_VALUE"""),"")</f>
        <v/>
      </c>
      <c r="H1274" s="10" t="str">
        <f>IFERROR(__xludf.DUMMYFUNCTION("""COMPUTED_VALUE"""),"")</f>
        <v/>
      </c>
      <c r="I1274" s="10" t="str">
        <f>IFERROR(__xludf.DUMMYFUNCTION("""COMPUTED_VALUE"""),"")</f>
        <v/>
      </c>
    </row>
    <row r="1275">
      <c r="A1275" s="10" t="str">
        <f>IFERROR(__xludf.DUMMYFUNCTION("""COMPUTED_VALUE"""),"")</f>
        <v/>
      </c>
      <c r="B1275" s="10" t="str">
        <f>IFERROR(__xludf.DUMMYFUNCTION("""COMPUTED_VALUE"""),"")</f>
        <v/>
      </c>
      <c r="C1275" s="10" t="str">
        <f>IFERROR(__xludf.DUMMYFUNCTION("""COMPUTED_VALUE"""),"")</f>
        <v/>
      </c>
      <c r="D1275" s="10" t="str">
        <f>IFERROR(__xludf.DUMMYFUNCTION("""COMPUTED_VALUE"""),"")</f>
        <v/>
      </c>
      <c r="E1275" s="10" t="str">
        <f>IFERROR(__xludf.DUMMYFUNCTION("""COMPUTED_VALUE"""),"")</f>
        <v/>
      </c>
      <c r="F1275" s="10" t="str">
        <f>IFERROR(__xludf.DUMMYFUNCTION("""COMPUTED_VALUE"""),"")</f>
        <v/>
      </c>
      <c r="G1275" s="10" t="str">
        <f>IFERROR(__xludf.DUMMYFUNCTION("""COMPUTED_VALUE"""),"")</f>
        <v/>
      </c>
      <c r="H1275" s="10" t="str">
        <f>IFERROR(__xludf.DUMMYFUNCTION("""COMPUTED_VALUE"""),"")</f>
        <v/>
      </c>
      <c r="I1275" s="10" t="str">
        <f>IFERROR(__xludf.DUMMYFUNCTION("""COMPUTED_VALUE"""),"")</f>
        <v/>
      </c>
    </row>
    <row r="1276">
      <c r="A1276" s="10" t="str">
        <f>IFERROR(__xludf.DUMMYFUNCTION("""COMPUTED_VALUE"""),"")</f>
        <v/>
      </c>
      <c r="B1276" s="10" t="str">
        <f>IFERROR(__xludf.DUMMYFUNCTION("""COMPUTED_VALUE"""),"")</f>
        <v/>
      </c>
      <c r="C1276" s="10" t="str">
        <f>IFERROR(__xludf.DUMMYFUNCTION("""COMPUTED_VALUE"""),"")</f>
        <v/>
      </c>
      <c r="D1276" s="10" t="str">
        <f>IFERROR(__xludf.DUMMYFUNCTION("""COMPUTED_VALUE"""),"")</f>
        <v/>
      </c>
      <c r="E1276" s="10" t="str">
        <f>IFERROR(__xludf.DUMMYFUNCTION("""COMPUTED_VALUE"""),"")</f>
        <v/>
      </c>
      <c r="F1276" s="10" t="str">
        <f>IFERROR(__xludf.DUMMYFUNCTION("""COMPUTED_VALUE"""),"")</f>
        <v/>
      </c>
      <c r="G1276" s="10" t="str">
        <f>IFERROR(__xludf.DUMMYFUNCTION("""COMPUTED_VALUE"""),"")</f>
        <v/>
      </c>
      <c r="H1276" s="10" t="str">
        <f>IFERROR(__xludf.DUMMYFUNCTION("""COMPUTED_VALUE"""),"")</f>
        <v/>
      </c>
      <c r="I1276" s="10" t="str">
        <f>IFERROR(__xludf.DUMMYFUNCTION("""COMPUTED_VALUE"""),"")</f>
        <v/>
      </c>
    </row>
    <row r="1277">
      <c r="A1277" s="10" t="str">
        <f>IFERROR(__xludf.DUMMYFUNCTION("""COMPUTED_VALUE"""),"")</f>
        <v/>
      </c>
      <c r="B1277" s="10" t="str">
        <f>IFERROR(__xludf.DUMMYFUNCTION("""COMPUTED_VALUE"""),"")</f>
        <v/>
      </c>
      <c r="C1277" s="10" t="str">
        <f>IFERROR(__xludf.DUMMYFUNCTION("""COMPUTED_VALUE"""),"")</f>
        <v/>
      </c>
      <c r="D1277" s="10" t="str">
        <f>IFERROR(__xludf.DUMMYFUNCTION("""COMPUTED_VALUE"""),"")</f>
        <v/>
      </c>
      <c r="E1277" s="10" t="str">
        <f>IFERROR(__xludf.DUMMYFUNCTION("""COMPUTED_VALUE"""),"")</f>
        <v/>
      </c>
      <c r="F1277" s="10" t="str">
        <f>IFERROR(__xludf.DUMMYFUNCTION("""COMPUTED_VALUE"""),"")</f>
        <v/>
      </c>
      <c r="G1277" s="10" t="str">
        <f>IFERROR(__xludf.DUMMYFUNCTION("""COMPUTED_VALUE"""),"")</f>
        <v/>
      </c>
      <c r="H1277" s="10" t="str">
        <f>IFERROR(__xludf.DUMMYFUNCTION("""COMPUTED_VALUE"""),"")</f>
        <v/>
      </c>
      <c r="I1277" s="10" t="str">
        <f>IFERROR(__xludf.DUMMYFUNCTION("""COMPUTED_VALUE"""),"")</f>
        <v/>
      </c>
    </row>
    <row r="1278">
      <c r="A1278" s="10" t="str">
        <f>IFERROR(__xludf.DUMMYFUNCTION("""COMPUTED_VALUE"""),"")</f>
        <v/>
      </c>
      <c r="B1278" s="10" t="str">
        <f>IFERROR(__xludf.DUMMYFUNCTION("""COMPUTED_VALUE"""),"")</f>
        <v/>
      </c>
      <c r="C1278" s="10" t="str">
        <f>IFERROR(__xludf.DUMMYFUNCTION("""COMPUTED_VALUE"""),"")</f>
        <v/>
      </c>
      <c r="D1278" s="10" t="str">
        <f>IFERROR(__xludf.DUMMYFUNCTION("""COMPUTED_VALUE"""),"")</f>
        <v/>
      </c>
      <c r="E1278" s="10" t="str">
        <f>IFERROR(__xludf.DUMMYFUNCTION("""COMPUTED_VALUE"""),"")</f>
        <v/>
      </c>
      <c r="F1278" s="10" t="str">
        <f>IFERROR(__xludf.DUMMYFUNCTION("""COMPUTED_VALUE"""),"")</f>
        <v/>
      </c>
      <c r="G1278" s="10" t="str">
        <f>IFERROR(__xludf.DUMMYFUNCTION("""COMPUTED_VALUE"""),"")</f>
        <v/>
      </c>
      <c r="H1278" s="10" t="str">
        <f>IFERROR(__xludf.DUMMYFUNCTION("""COMPUTED_VALUE"""),"")</f>
        <v/>
      </c>
      <c r="I1278" s="10" t="str">
        <f>IFERROR(__xludf.DUMMYFUNCTION("""COMPUTED_VALUE"""),"")</f>
        <v/>
      </c>
    </row>
    <row r="1279">
      <c r="A1279" s="10" t="str">
        <f>IFERROR(__xludf.DUMMYFUNCTION("""COMPUTED_VALUE"""),"")</f>
        <v/>
      </c>
      <c r="B1279" s="10" t="str">
        <f>IFERROR(__xludf.DUMMYFUNCTION("""COMPUTED_VALUE"""),"")</f>
        <v/>
      </c>
      <c r="C1279" s="10" t="str">
        <f>IFERROR(__xludf.DUMMYFUNCTION("""COMPUTED_VALUE"""),"")</f>
        <v/>
      </c>
      <c r="D1279" s="10" t="str">
        <f>IFERROR(__xludf.DUMMYFUNCTION("""COMPUTED_VALUE"""),"")</f>
        <v/>
      </c>
      <c r="E1279" s="10" t="str">
        <f>IFERROR(__xludf.DUMMYFUNCTION("""COMPUTED_VALUE"""),"")</f>
        <v/>
      </c>
      <c r="F1279" s="10" t="str">
        <f>IFERROR(__xludf.DUMMYFUNCTION("""COMPUTED_VALUE"""),"")</f>
        <v/>
      </c>
      <c r="G1279" s="10" t="str">
        <f>IFERROR(__xludf.DUMMYFUNCTION("""COMPUTED_VALUE"""),"")</f>
        <v/>
      </c>
      <c r="H1279" s="10" t="str">
        <f>IFERROR(__xludf.DUMMYFUNCTION("""COMPUTED_VALUE"""),"")</f>
        <v/>
      </c>
      <c r="I1279" s="10" t="str">
        <f>IFERROR(__xludf.DUMMYFUNCTION("""COMPUTED_VALUE"""),"")</f>
        <v/>
      </c>
    </row>
    <row r="1280">
      <c r="A1280" s="10" t="str">
        <f>IFERROR(__xludf.DUMMYFUNCTION("""COMPUTED_VALUE"""),"")</f>
        <v/>
      </c>
      <c r="B1280" s="10" t="str">
        <f>IFERROR(__xludf.DUMMYFUNCTION("""COMPUTED_VALUE"""),"")</f>
        <v/>
      </c>
      <c r="C1280" s="10" t="str">
        <f>IFERROR(__xludf.DUMMYFUNCTION("""COMPUTED_VALUE"""),"")</f>
        <v/>
      </c>
      <c r="D1280" s="10" t="str">
        <f>IFERROR(__xludf.DUMMYFUNCTION("""COMPUTED_VALUE"""),"")</f>
        <v/>
      </c>
      <c r="E1280" s="10" t="str">
        <f>IFERROR(__xludf.DUMMYFUNCTION("""COMPUTED_VALUE"""),"")</f>
        <v/>
      </c>
      <c r="F1280" s="10" t="str">
        <f>IFERROR(__xludf.DUMMYFUNCTION("""COMPUTED_VALUE"""),"")</f>
        <v/>
      </c>
      <c r="G1280" s="10" t="str">
        <f>IFERROR(__xludf.DUMMYFUNCTION("""COMPUTED_VALUE"""),"")</f>
        <v/>
      </c>
      <c r="H1280" s="10" t="str">
        <f>IFERROR(__xludf.DUMMYFUNCTION("""COMPUTED_VALUE"""),"")</f>
        <v/>
      </c>
      <c r="I1280" s="10" t="str">
        <f>IFERROR(__xludf.DUMMYFUNCTION("""COMPUTED_VALUE"""),"")</f>
        <v/>
      </c>
    </row>
    <row r="1281">
      <c r="A1281" s="10" t="str">
        <f>IFERROR(__xludf.DUMMYFUNCTION("""COMPUTED_VALUE"""),"")</f>
        <v/>
      </c>
      <c r="B1281" s="10" t="str">
        <f>IFERROR(__xludf.DUMMYFUNCTION("""COMPUTED_VALUE"""),"")</f>
        <v/>
      </c>
      <c r="C1281" s="10" t="str">
        <f>IFERROR(__xludf.DUMMYFUNCTION("""COMPUTED_VALUE"""),"")</f>
        <v/>
      </c>
      <c r="D1281" s="10" t="str">
        <f>IFERROR(__xludf.DUMMYFUNCTION("""COMPUTED_VALUE"""),"")</f>
        <v/>
      </c>
      <c r="E1281" s="10" t="str">
        <f>IFERROR(__xludf.DUMMYFUNCTION("""COMPUTED_VALUE"""),"")</f>
        <v/>
      </c>
      <c r="F1281" s="10" t="str">
        <f>IFERROR(__xludf.DUMMYFUNCTION("""COMPUTED_VALUE"""),"")</f>
        <v/>
      </c>
      <c r="G1281" s="10" t="str">
        <f>IFERROR(__xludf.DUMMYFUNCTION("""COMPUTED_VALUE"""),"")</f>
        <v/>
      </c>
      <c r="H1281" s="10" t="str">
        <f>IFERROR(__xludf.DUMMYFUNCTION("""COMPUTED_VALUE"""),"")</f>
        <v/>
      </c>
      <c r="I1281" s="10" t="str">
        <f>IFERROR(__xludf.DUMMYFUNCTION("""COMPUTED_VALUE"""),"")</f>
        <v/>
      </c>
    </row>
    <row r="1282">
      <c r="A1282" s="10" t="str">
        <f>IFERROR(__xludf.DUMMYFUNCTION("""COMPUTED_VALUE"""),"")</f>
        <v/>
      </c>
      <c r="B1282" s="10" t="str">
        <f>IFERROR(__xludf.DUMMYFUNCTION("""COMPUTED_VALUE"""),"")</f>
        <v/>
      </c>
      <c r="C1282" s="10" t="str">
        <f>IFERROR(__xludf.DUMMYFUNCTION("""COMPUTED_VALUE"""),"")</f>
        <v/>
      </c>
      <c r="D1282" s="10" t="str">
        <f>IFERROR(__xludf.DUMMYFUNCTION("""COMPUTED_VALUE"""),"")</f>
        <v/>
      </c>
      <c r="E1282" s="10" t="str">
        <f>IFERROR(__xludf.DUMMYFUNCTION("""COMPUTED_VALUE"""),"")</f>
        <v/>
      </c>
      <c r="F1282" s="10" t="str">
        <f>IFERROR(__xludf.DUMMYFUNCTION("""COMPUTED_VALUE"""),"")</f>
        <v/>
      </c>
      <c r="G1282" s="10" t="str">
        <f>IFERROR(__xludf.DUMMYFUNCTION("""COMPUTED_VALUE"""),"")</f>
        <v/>
      </c>
      <c r="H1282" s="10" t="str">
        <f>IFERROR(__xludf.DUMMYFUNCTION("""COMPUTED_VALUE"""),"")</f>
        <v/>
      </c>
      <c r="I1282" s="10" t="str">
        <f>IFERROR(__xludf.DUMMYFUNCTION("""COMPUTED_VALUE"""),"")</f>
        <v/>
      </c>
    </row>
    <row r="1283">
      <c r="A1283" s="10" t="str">
        <f>IFERROR(__xludf.DUMMYFUNCTION("""COMPUTED_VALUE"""),"")</f>
        <v/>
      </c>
      <c r="B1283" s="10" t="str">
        <f>IFERROR(__xludf.DUMMYFUNCTION("""COMPUTED_VALUE"""),"")</f>
        <v/>
      </c>
      <c r="C1283" s="10" t="str">
        <f>IFERROR(__xludf.DUMMYFUNCTION("""COMPUTED_VALUE"""),"")</f>
        <v/>
      </c>
      <c r="D1283" s="10" t="str">
        <f>IFERROR(__xludf.DUMMYFUNCTION("""COMPUTED_VALUE"""),"")</f>
        <v/>
      </c>
      <c r="E1283" s="10" t="str">
        <f>IFERROR(__xludf.DUMMYFUNCTION("""COMPUTED_VALUE"""),"")</f>
        <v/>
      </c>
      <c r="F1283" s="10" t="str">
        <f>IFERROR(__xludf.DUMMYFUNCTION("""COMPUTED_VALUE"""),"")</f>
        <v/>
      </c>
      <c r="G1283" s="10" t="str">
        <f>IFERROR(__xludf.DUMMYFUNCTION("""COMPUTED_VALUE"""),"")</f>
        <v/>
      </c>
      <c r="H1283" s="10" t="str">
        <f>IFERROR(__xludf.DUMMYFUNCTION("""COMPUTED_VALUE"""),"")</f>
        <v/>
      </c>
      <c r="I1283" s="10" t="str">
        <f>IFERROR(__xludf.DUMMYFUNCTION("""COMPUTED_VALUE"""),"")</f>
        <v/>
      </c>
    </row>
    <row r="1284">
      <c r="A1284" s="10" t="str">
        <f>IFERROR(__xludf.DUMMYFUNCTION("""COMPUTED_VALUE"""),"")</f>
        <v/>
      </c>
      <c r="B1284" s="10" t="str">
        <f>IFERROR(__xludf.DUMMYFUNCTION("""COMPUTED_VALUE"""),"")</f>
        <v/>
      </c>
      <c r="C1284" s="10" t="str">
        <f>IFERROR(__xludf.DUMMYFUNCTION("""COMPUTED_VALUE"""),"")</f>
        <v/>
      </c>
      <c r="D1284" s="10" t="str">
        <f>IFERROR(__xludf.DUMMYFUNCTION("""COMPUTED_VALUE"""),"")</f>
        <v/>
      </c>
      <c r="E1284" s="10" t="str">
        <f>IFERROR(__xludf.DUMMYFUNCTION("""COMPUTED_VALUE"""),"")</f>
        <v/>
      </c>
      <c r="F1284" s="10" t="str">
        <f>IFERROR(__xludf.DUMMYFUNCTION("""COMPUTED_VALUE"""),"")</f>
        <v/>
      </c>
      <c r="G1284" s="10" t="str">
        <f>IFERROR(__xludf.DUMMYFUNCTION("""COMPUTED_VALUE"""),"")</f>
        <v/>
      </c>
      <c r="H1284" s="10" t="str">
        <f>IFERROR(__xludf.DUMMYFUNCTION("""COMPUTED_VALUE"""),"")</f>
        <v/>
      </c>
      <c r="I1284" s="10" t="str">
        <f>IFERROR(__xludf.DUMMYFUNCTION("""COMPUTED_VALUE"""),"")</f>
        <v/>
      </c>
    </row>
    <row r="1285">
      <c r="A1285" s="10" t="str">
        <f>IFERROR(__xludf.DUMMYFUNCTION("""COMPUTED_VALUE"""),"")</f>
        <v/>
      </c>
      <c r="B1285" s="10" t="str">
        <f>IFERROR(__xludf.DUMMYFUNCTION("""COMPUTED_VALUE"""),"")</f>
        <v/>
      </c>
      <c r="C1285" s="10" t="str">
        <f>IFERROR(__xludf.DUMMYFUNCTION("""COMPUTED_VALUE"""),"")</f>
        <v/>
      </c>
      <c r="D1285" s="10" t="str">
        <f>IFERROR(__xludf.DUMMYFUNCTION("""COMPUTED_VALUE"""),"")</f>
        <v/>
      </c>
      <c r="E1285" s="10" t="str">
        <f>IFERROR(__xludf.DUMMYFUNCTION("""COMPUTED_VALUE"""),"")</f>
        <v/>
      </c>
      <c r="F1285" s="10" t="str">
        <f>IFERROR(__xludf.DUMMYFUNCTION("""COMPUTED_VALUE"""),"")</f>
        <v/>
      </c>
      <c r="G1285" s="10" t="str">
        <f>IFERROR(__xludf.DUMMYFUNCTION("""COMPUTED_VALUE"""),"")</f>
        <v/>
      </c>
      <c r="H1285" s="10" t="str">
        <f>IFERROR(__xludf.DUMMYFUNCTION("""COMPUTED_VALUE"""),"")</f>
        <v/>
      </c>
      <c r="I1285" s="10" t="str">
        <f>IFERROR(__xludf.DUMMYFUNCTION("""COMPUTED_VALUE"""),"")</f>
        <v/>
      </c>
    </row>
    <row r="1286">
      <c r="A1286" s="10" t="str">
        <f>IFERROR(__xludf.DUMMYFUNCTION("""COMPUTED_VALUE"""),"")</f>
        <v/>
      </c>
      <c r="B1286" s="10" t="str">
        <f>IFERROR(__xludf.DUMMYFUNCTION("""COMPUTED_VALUE"""),"")</f>
        <v/>
      </c>
      <c r="C1286" s="10" t="str">
        <f>IFERROR(__xludf.DUMMYFUNCTION("""COMPUTED_VALUE"""),"")</f>
        <v/>
      </c>
      <c r="D1286" s="10" t="str">
        <f>IFERROR(__xludf.DUMMYFUNCTION("""COMPUTED_VALUE"""),"")</f>
        <v/>
      </c>
      <c r="E1286" s="10" t="str">
        <f>IFERROR(__xludf.DUMMYFUNCTION("""COMPUTED_VALUE"""),"")</f>
        <v/>
      </c>
      <c r="F1286" s="10" t="str">
        <f>IFERROR(__xludf.DUMMYFUNCTION("""COMPUTED_VALUE"""),"")</f>
        <v/>
      </c>
      <c r="G1286" s="10" t="str">
        <f>IFERROR(__xludf.DUMMYFUNCTION("""COMPUTED_VALUE"""),"")</f>
        <v/>
      </c>
      <c r="H1286" s="10" t="str">
        <f>IFERROR(__xludf.DUMMYFUNCTION("""COMPUTED_VALUE"""),"")</f>
        <v/>
      </c>
      <c r="I1286" s="10" t="str">
        <f>IFERROR(__xludf.DUMMYFUNCTION("""COMPUTED_VALUE"""),"")</f>
        <v/>
      </c>
    </row>
    <row r="1287">
      <c r="A1287" s="10" t="str">
        <f>IFERROR(__xludf.DUMMYFUNCTION("""COMPUTED_VALUE"""),"")</f>
        <v/>
      </c>
      <c r="B1287" s="10" t="str">
        <f>IFERROR(__xludf.DUMMYFUNCTION("""COMPUTED_VALUE"""),"")</f>
        <v/>
      </c>
      <c r="C1287" s="10" t="str">
        <f>IFERROR(__xludf.DUMMYFUNCTION("""COMPUTED_VALUE"""),"")</f>
        <v/>
      </c>
      <c r="D1287" s="10" t="str">
        <f>IFERROR(__xludf.DUMMYFUNCTION("""COMPUTED_VALUE"""),"")</f>
        <v/>
      </c>
      <c r="E1287" s="10" t="str">
        <f>IFERROR(__xludf.DUMMYFUNCTION("""COMPUTED_VALUE"""),"")</f>
        <v/>
      </c>
      <c r="F1287" s="10" t="str">
        <f>IFERROR(__xludf.DUMMYFUNCTION("""COMPUTED_VALUE"""),"")</f>
        <v/>
      </c>
      <c r="G1287" s="10" t="str">
        <f>IFERROR(__xludf.DUMMYFUNCTION("""COMPUTED_VALUE"""),"")</f>
        <v/>
      </c>
      <c r="H1287" s="10" t="str">
        <f>IFERROR(__xludf.DUMMYFUNCTION("""COMPUTED_VALUE"""),"")</f>
        <v/>
      </c>
      <c r="I1287" s="10" t="str">
        <f>IFERROR(__xludf.DUMMYFUNCTION("""COMPUTED_VALUE"""),"")</f>
        <v/>
      </c>
    </row>
    <row r="1288">
      <c r="A1288" s="10" t="str">
        <f>IFERROR(__xludf.DUMMYFUNCTION("""COMPUTED_VALUE"""),"")</f>
        <v/>
      </c>
      <c r="B1288" s="10" t="str">
        <f>IFERROR(__xludf.DUMMYFUNCTION("""COMPUTED_VALUE"""),"")</f>
        <v/>
      </c>
      <c r="C1288" s="10" t="str">
        <f>IFERROR(__xludf.DUMMYFUNCTION("""COMPUTED_VALUE"""),"")</f>
        <v/>
      </c>
      <c r="D1288" s="10" t="str">
        <f>IFERROR(__xludf.DUMMYFUNCTION("""COMPUTED_VALUE"""),"")</f>
        <v/>
      </c>
      <c r="E1288" s="10" t="str">
        <f>IFERROR(__xludf.DUMMYFUNCTION("""COMPUTED_VALUE"""),"")</f>
        <v/>
      </c>
      <c r="F1288" s="10" t="str">
        <f>IFERROR(__xludf.DUMMYFUNCTION("""COMPUTED_VALUE"""),"")</f>
        <v/>
      </c>
      <c r="G1288" s="10" t="str">
        <f>IFERROR(__xludf.DUMMYFUNCTION("""COMPUTED_VALUE"""),"")</f>
        <v/>
      </c>
      <c r="H1288" s="10" t="str">
        <f>IFERROR(__xludf.DUMMYFUNCTION("""COMPUTED_VALUE"""),"")</f>
        <v/>
      </c>
      <c r="I1288" s="10" t="str">
        <f>IFERROR(__xludf.DUMMYFUNCTION("""COMPUTED_VALUE"""),"")</f>
        <v/>
      </c>
    </row>
    <row r="1289">
      <c r="A1289" s="10" t="str">
        <f>IFERROR(__xludf.DUMMYFUNCTION("""COMPUTED_VALUE"""),"")</f>
        <v/>
      </c>
      <c r="B1289" s="10" t="str">
        <f>IFERROR(__xludf.DUMMYFUNCTION("""COMPUTED_VALUE"""),"")</f>
        <v/>
      </c>
      <c r="C1289" s="10" t="str">
        <f>IFERROR(__xludf.DUMMYFUNCTION("""COMPUTED_VALUE"""),"")</f>
        <v/>
      </c>
      <c r="D1289" s="10" t="str">
        <f>IFERROR(__xludf.DUMMYFUNCTION("""COMPUTED_VALUE"""),"")</f>
        <v/>
      </c>
      <c r="E1289" s="10" t="str">
        <f>IFERROR(__xludf.DUMMYFUNCTION("""COMPUTED_VALUE"""),"")</f>
        <v/>
      </c>
      <c r="F1289" s="10" t="str">
        <f>IFERROR(__xludf.DUMMYFUNCTION("""COMPUTED_VALUE"""),"")</f>
        <v/>
      </c>
      <c r="G1289" s="10" t="str">
        <f>IFERROR(__xludf.DUMMYFUNCTION("""COMPUTED_VALUE"""),"")</f>
        <v/>
      </c>
      <c r="H1289" s="10" t="str">
        <f>IFERROR(__xludf.DUMMYFUNCTION("""COMPUTED_VALUE"""),"")</f>
        <v/>
      </c>
      <c r="I1289" s="10" t="str">
        <f>IFERROR(__xludf.DUMMYFUNCTION("""COMPUTED_VALUE"""),"")</f>
        <v/>
      </c>
    </row>
    <row r="1290">
      <c r="A1290" s="10" t="str">
        <f>IFERROR(__xludf.DUMMYFUNCTION("""COMPUTED_VALUE"""),"")</f>
        <v/>
      </c>
      <c r="B1290" s="10" t="str">
        <f>IFERROR(__xludf.DUMMYFUNCTION("""COMPUTED_VALUE"""),"")</f>
        <v/>
      </c>
      <c r="C1290" s="10" t="str">
        <f>IFERROR(__xludf.DUMMYFUNCTION("""COMPUTED_VALUE"""),"")</f>
        <v/>
      </c>
      <c r="D1290" s="10" t="str">
        <f>IFERROR(__xludf.DUMMYFUNCTION("""COMPUTED_VALUE"""),"")</f>
        <v/>
      </c>
      <c r="E1290" s="10" t="str">
        <f>IFERROR(__xludf.DUMMYFUNCTION("""COMPUTED_VALUE"""),"")</f>
        <v/>
      </c>
      <c r="F1290" s="10" t="str">
        <f>IFERROR(__xludf.DUMMYFUNCTION("""COMPUTED_VALUE"""),"")</f>
        <v/>
      </c>
      <c r="G1290" s="10" t="str">
        <f>IFERROR(__xludf.DUMMYFUNCTION("""COMPUTED_VALUE"""),"")</f>
        <v/>
      </c>
      <c r="H1290" s="10" t="str">
        <f>IFERROR(__xludf.DUMMYFUNCTION("""COMPUTED_VALUE"""),"")</f>
        <v/>
      </c>
      <c r="I1290" s="10" t="str">
        <f>IFERROR(__xludf.DUMMYFUNCTION("""COMPUTED_VALUE"""),"")</f>
        <v/>
      </c>
    </row>
    <row r="1291">
      <c r="A1291" s="10" t="str">
        <f>IFERROR(__xludf.DUMMYFUNCTION("""COMPUTED_VALUE"""),"")</f>
        <v/>
      </c>
      <c r="B1291" s="10" t="str">
        <f>IFERROR(__xludf.DUMMYFUNCTION("""COMPUTED_VALUE"""),"")</f>
        <v/>
      </c>
      <c r="C1291" s="10" t="str">
        <f>IFERROR(__xludf.DUMMYFUNCTION("""COMPUTED_VALUE"""),"")</f>
        <v/>
      </c>
      <c r="D1291" s="10" t="str">
        <f>IFERROR(__xludf.DUMMYFUNCTION("""COMPUTED_VALUE"""),"")</f>
        <v/>
      </c>
      <c r="E1291" s="10" t="str">
        <f>IFERROR(__xludf.DUMMYFUNCTION("""COMPUTED_VALUE"""),"")</f>
        <v/>
      </c>
      <c r="F1291" s="10" t="str">
        <f>IFERROR(__xludf.DUMMYFUNCTION("""COMPUTED_VALUE"""),"")</f>
        <v/>
      </c>
      <c r="G1291" s="10" t="str">
        <f>IFERROR(__xludf.DUMMYFUNCTION("""COMPUTED_VALUE"""),"")</f>
        <v/>
      </c>
      <c r="H1291" s="10" t="str">
        <f>IFERROR(__xludf.DUMMYFUNCTION("""COMPUTED_VALUE"""),"")</f>
        <v/>
      </c>
      <c r="I1291" s="10" t="str">
        <f>IFERROR(__xludf.DUMMYFUNCTION("""COMPUTED_VALUE"""),"")</f>
        <v/>
      </c>
    </row>
    <row r="1292">
      <c r="A1292" s="10" t="str">
        <f>IFERROR(__xludf.DUMMYFUNCTION("""COMPUTED_VALUE"""),"")</f>
        <v/>
      </c>
      <c r="B1292" s="10" t="str">
        <f>IFERROR(__xludf.DUMMYFUNCTION("""COMPUTED_VALUE"""),"")</f>
        <v/>
      </c>
      <c r="C1292" s="10" t="str">
        <f>IFERROR(__xludf.DUMMYFUNCTION("""COMPUTED_VALUE"""),"")</f>
        <v/>
      </c>
      <c r="D1292" s="10" t="str">
        <f>IFERROR(__xludf.DUMMYFUNCTION("""COMPUTED_VALUE"""),"")</f>
        <v/>
      </c>
      <c r="E1292" s="10" t="str">
        <f>IFERROR(__xludf.DUMMYFUNCTION("""COMPUTED_VALUE"""),"")</f>
        <v/>
      </c>
      <c r="F1292" s="10" t="str">
        <f>IFERROR(__xludf.DUMMYFUNCTION("""COMPUTED_VALUE"""),"")</f>
        <v/>
      </c>
      <c r="G1292" s="10" t="str">
        <f>IFERROR(__xludf.DUMMYFUNCTION("""COMPUTED_VALUE"""),"")</f>
        <v/>
      </c>
      <c r="H1292" s="10" t="str">
        <f>IFERROR(__xludf.DUMMYFUNCTION("""COMPUTED_VALUE"""),"")</f>
        <v/>
      </c>
      <c r="I1292" s="10" t="str">
        <f>IFERROR(__xludf.DUMMYFUNCTION("""COMPUTED_VALUE"""),"")</f>
        <v/>
      </c>
    </row>
    <row r="1293">
      <c r="A1293" s="10" t="str">
        <f>IFERROR(__xludf.DUMMYFUNCTION("""COMPUTED_VALUE"""),"")</f>
        <v/>
      </c>
      <c r="B1293" s="10" t="str">
        <f>IFERROR(__xludf.DUMMYFUNCTION("""COMPUTED_VALUE"""),"")</f>
        <v/>
      </c>
      <c r="C1293" s="10" t="str">
        <f>IFERROR(__xludf.DUMMYFUNCTION("""COMPUTED_VALUE"""),"")</f>
        <v/>
      </c>
      <c r="D1293" s="10" t="str">
        <f>IFERROR(__xludf.DUMMYFUNCTION("""COMPUTED_VALUE"""),"")</f>
        <v/>
      </c>
      <c r="E1293" s="10" t="str">
        <f>IFERROR(__xludf.DUMMYFUNCTION("""COMPUTED_VALUE"""),"")</f>
        <v/>
      </c>
      <c r="F1293" s="10" t="str">
        <f>IFERROR(__xludf.DUMMYFUNCTION("""COMPUTED_VALUE"""),"")</f>
        <v/>
      </c>
      <c r="G1293" s="10" t="str">
        <f>IFERROR(__xludf.DUMMYFUNCTION("""COMPUTED_VALUE"""),"")</f>
        <v/>
      </c>
      <c r="H1293" s="10" t="str">
        <f>IFERROR(__xludf.DUMMYFUNCTION("""COMPUTED_VALUE"""),"")</f>
        <v/>
      </c>
      <c r="I1293" s="10" t="str">
        <f>IFERROR(__xludf.DUMMYFUNCTION("""COMPUTED_VALUE"""),"")</f>
        <v/>
      </c>
    </row>
    <row r="1294">
      <c r="A1294" s="10" t="str">
        <f>IFERROR(__xludf.DUMMYFUNCTION("""COMPUTED_VALUE"""),"")</f>
        <v/>
      </c>
      <c r="B1294" s="10" t="str">
        <f>IFERROR(__xludf.DUMMYFUNCTION("""COMPUTED_VALUE"""),"")</f>
        <v/>
      </c>
      <c r="C1294" s="10" t="str">
        <f>IFERROR(__xludf.DUMMYFUNCTION("""COMPUTED_VALUE"""),"")</f>
        <v/>
      </c>
      <c r="D1294" s="10" t="str">
        <f>IFERROR(__xludf.DUMMYFUNCTION("""COMPUTED_VALUE"""),"")</f>
        <v/>
      </c>
      <c r="E1294" s="10" t="str">
        <f>IFERROR(__xludf.DUMMYFUNCTION("""COMPUTED_VALUE"""),"")</f>
        <v/>
      </c>
      <c r="F1294" s="10" t="str">
        <f>IFERROR(__xludf.DUMMYFUNCTION("""COMPUTED_VALUE"""),"")</f>
        <v/>
      </c>
      <c r="G1294" s="10" t="str">
        <f>IFERROR(__xludf.DUMMYFUNCTION("""COMPUTED_VALUE"""),"")</f>
        <v/>
      </c>
      <c r="H1294" s="10" t="str">
        <f>IFERROR(__xludf.DUMMYFUNCTION("""COMPUTED_VALUE"""),"")</f>
        <v/>
      </c>
      <c r="I1294" s="10" t="str">
        <f>IFERROR(__xludf.DUMMYFUNCTION("""COMPUTED_VALUE"""),"")</f>
        <v/>
      </c>
    </row>
    <row r="1295">
      <c r="A1295" s="10" t="str">
        <f>IFERROR(__xludf.DUMMYFUNCTION("""COMPUTED_VALUE"""),"")</f>
        <v/>
      </c>
      <c r="B1295" s="10" t="str">
        <f>IFERROR(__xludf.DUMMYFUNCTION("""COMPUTED_VALUE"""),"")</f>
        <v/>
      </c>
      <c r="C1295" s="10" t="str">
        <f>IFERROR(__xludf.DUMMYFUNCTION("""COMPUTED_VALUE"""),"")</f>
        <v/>
      </c>
      <c r="D1295" s="10" t="str">
        <f>IFERROR(__xludf.DUMMYFUNCTION("""COMPUTED_VALUE"""),"")</f>
        <v/>
      </c>
      <c r="E1295" s="10" t="str">
        <f>IFERROR(__xludf.DUMMYFUNCTION("""COMPUTED_VALUE"""),"")</f>
        <v/>
      </c>
      <c r="F1295" s="10" t="str">
        <f>IFERROR(__xludf.DUMMYFUNCTION("""COMPUTED_VALUE"""),"")</f>
        <v/>
      </c>
      <c r="G1295" s="10" t="str">
        <f>IFERROR(__xludf.DUMMYFUNCTION("""COMPUTED_VALUE"""),"")</f>
        <v/>
      </c>
      <c r="H1295" s="10" t="str">
        <f>IFERROR(__xludf.DUMMYFUNCTION("""COMPUTED_VALUE"""),"")</f>
        <v/>
      </c>
      <c r="I1295" s="10" t="str">
        <f>IFERROR(__xludf.DUMMYFUNCTION("""COMPUTED_VALUE"""),"")</f>
        <v/>
      </c>
    </row>
    <row r="1296">
      <c r="A1296" s="10" t="str">
        <f>IFERROR(__xludf.DUMMYFUNCTION("""COMPUTED_VALUE"""),"")</f>
        <v/>
      </c>
      <c r="B1296" s="10" t="str">
        <f>IFERROR(__xludf.DUMMYFUNCTION("""COMPUTED_VALUE"""),"")</f>
        <v/>
      </c>
      <c r="C1296" s="10" t="str">
        <f>IFERROR(__xludf.DUMMYFUNCTION("""COMPUTED_VALUE"""),"")</f>
        <v/>
      </c>
      <c r="D1296" s="10" t="str">
        <f>IFERROR(__xludf.DUMMYFUNCTION("""COMPUTED_VALUE"""),"")</f>
        <v/>
      </c>
      <c r="E1296" s="10" t="str">
        <f>IFERROR(__xludf.DUMMYFUNCTION("""COMPUTED_VALUE"""),"")</f>
        <v/>
      </c>
      <c r="F1296" s="10" t="str">
        <f>IFERROR(__xludf.DUMMYFUNCTION("""COMPUTED_VALUE"""),"")</f>
        <v/>
      </c>
      <c r="G1296" s="10" t="str">
        <f>IFERROR(__xludf.DUMMYFUNCTION("""COMPUTED_VALUE"""),"")</f>
        <v/>
      </c>
      <c r="H1296" s="10" t="str">
        <f>IFERROR(__xludf.DUMMYFUNCTION("""COMPUTED_VALUE"""),"")</f>
        <v/>
      </c>
      <c r="I1296" s="10" t="str">
        <f>IFERROR(__xludf.DUMMYFUNCTION("""COMPUTED_VALUE"""),"")</f>
        <v/>
      </c>
    </row>
    <row r="1297">
      <c r="A1297" s="10" t="str">
        <f>IFERROR(__xludf.DUMMYFUNCTION("""COMPUTED_VALUE"""),"")</f>
        <v/>
      </c>
      <c r="B1297" s="10" t="str">
        <f>IFERROR(__xludf.DUMMYFUNCTION("""COMPUTED_VALUE"""),"")</f>
        <v/>
      </c>
      <c r="C1297" s="10" t="str">
        <f>IFERROR(__xludf.DUMMYFUNCTION("""COMPUTED_VALUE"""),"")</f>
        <v/>
      </c>
      <c r="D1297" s="10" t="str">
        <f>IFERROR(__xludf.DUMMYFUNCTION("""COMPUTED_VALUE"""),"")</f>
        <v/>
      </c>
      <c r="E1297" s="10" t="str">
        <f>IFERROR(__xludf.DUMMYFUNCTION("""COMPUTED_VALUE"""),"")</f>
        <v/>
      </c>
      <c r="F1297" s="10" t="str">
        <f>IFERROR(__xludf.DUMMYFUNCTION("""COMPUTED_VALUE"""),"")</f>
        <v/>
      </c>
      <c r="G1297" s="10" t="str">
        <f>IFERROR(__xludf.DUMMYFUNCTION("""COMPUTED_VALUE"""),"")</f>
        <v/>
      </c>
      <c r="H1297" s="10" t="str">
        <f>IFERROR(__xludf.DUMMYFUNCTION("""COMPUTED_VALUE"""),"")</f>
        <v/>
      </c>
      <c r="I1297" s="10" t="str">
        <f>IFERROR(__xludf.DUMMYFUNCTION("""COMPUTED_VALUE"""),"")</f>
        <v/>
      </c>
    </row>
    <row r="1298">
      <c r="A1298" s="10" t="str">
        <f>IFERROR(__xludf.DUMMYFUNCTION("""COMPUTED_VALUE"""),"")</f>
        <v/>
      </c>
      <c r="B1298" s="10" t="str">
        <f>IFERROR(__xludf.DUMMYFUNCTION("""COMPUTED_VALUE"""),"")</f>
        <v/>
      </c>
      <c r="C1298" s="10" t="str">
        <f>IFERROR(__xludf.DUMMYFUNCTION("""COMPUTED_VALUE"""),"")</f>
        <v/>
      </c>
      <c r="D1298" s="10" t="str">
        <f>IFERROR(__xludf.DUMMYFUNCTION("""COMPUTED_VALUE"""),"")</f>
        <v/>
      </c>
      <c r="E1298" s="10" t="str">
        <f>IFERROR(__xludf.DUMMYFUNCTION("""COMPUTED_VALUE"""),"")</f>
        <v/>
      </c>
      <c r="F1298" s="10" t="str">
        <f>IFERROR(__xludf.DUMMYFUNCTION("""COMPUTED_VALUE"""),"")</f>
        <v/>
      </c>
      <c r="G1298" s="10" t="str">
        <f>IFERROR(__xludf.DUMMYFUNCTION("""COMPUTED_VALUE"""),"")</f>
        <v/>
      </c>
      <c r="H1298" s="10" t="str">
        <f>IFERROR(__xludf.DUMMYFUNCTION("""COMPUTED_VALUE"""),"")</f>
        <v/>
      </c>
      <c r="I1298" s="10" t="str">
        <f>IFERROR(__xludf.DUMMYFUNCTION("""COMPUTED_VALUE"""),"")</f>
        <v/>
      </c>
    </row>
    <row r="1299">
      <c r="A1299" s="10" t="str">
        <f>IFERROR(__xludf.DUMMYFUNCTION("""COMPUTED_VALUE"""),"")</f>
        <v/>
      </c>
      <c r="B1299" s="10" t="str">
        <f>IFERROR(__xludf.DUMMYFUNCTION("""COMPUTED_VALUE"""),"")</f>
        <v/>
      </c>
      <c r="C1299" s="10" t="str">
        <f>IFERROR(__xludf.DUMMYFUNCTION("""COMPUTED_VALUE"""),"")</f>
        <v/>
      </c>
      <c r="D1299" s="10" t="str">
        <f>IFERROR(__xludf.DUMMYFUNCTION("""COMPUTED_VALUE"""),"")</f>
        <v/>
      </c>
      <c r="E1299" s="10" t="str">
        <f>IFERROR(__xludf.DUMMYFUNCTION("""COMPUTED_VALUE"""),"")</f>
        <v/>
      </c>
      <c r="F1299" s="10" t="str">
        <f>IFERROR(__xludf.DUMMYFUNCTION("""COMPUTED_VALUE"""),"")</f>
        <v/>
      </c>
      <c r="G1299" s="10" t="str">
        <f>IFERROR(__xludf.DUMMYFUNCTION("""COMPUTED_VALUE"""),"")</f>
        <v/>
      </c>
      <c r="H1299" s="10" t="str">
        <f>IFERROR(__xludf.DUMMYFUNCTION("""COMPUTED_VALUE"""),"")</f>
        <v/>
      </c>
      <c r="I1299" s="10" t="str">
        <f>IFERROR(__xludf.DUMMYFUNCTION("""COMPUTED_VALUE"""),"")</f>
        <v/>
      </c>
    </row>
    <row r="1300">
      <c r="A1300" s="10" t="str">
        <f>IFERROR(__xludf.DUMMYFUNCTION("""COMPUTED_VALUE"""),"")</f>
        <v/>
      </c>
      <c r="B1300" s="10" t="str">
        <f>IFERROR(__xludf.DUMMYFUNCTION("""COMPUTED_VALUE"""),"")</f>
        <v/>
      </c>
      <c r="C1300" s="10" t="str">
        <f>IFERROR(__xludf.DUMMYFUNCTION("""COMPUTED_VALUE"""),"")</f>
        <v/>
      </c>
      <c r="D1300" s="10" t="str">
        <f>IFERROR(__xludf.DUMMYFUNCTION("""COMPUTED_VALUE"""),"")</f>
        <v/>
      </c>
      <c r="E1300" s="10" t="str">
        <f>IFERROR(__xludf.DUMMYFUNCTION("""COMPUTED_VALUE"""),"")</f>
        <v/>
      </c>
      <c r="F1300" s="10" t="str">
        <f>IFERROR(__xludf.DUMMYFUNCTION("""COMPUTED_VALUE"""),"")</f>
        <v/>
      </c>
      <c r="G1300" s="10" t="str">
        <f>IFERROR(__xludf.DUMMYFUNCTION("""COMPUTED_VALUE"""),"")</f>
        <v/>
      </c>
      <c r="H1300" s="10" t="str">
        <f>IFERROR(__xludf.DUMMYFUNCTION("""COMPUTED_VALUE"""),"")</f>
        <v/>
      </c>
      <c r="I1300" s="10" t="str">
        <f>IFERROR(__xludf.DUMMYFUNCTION("""COMPUTED_VALUE"""),"")</f>
        <v/>
      </c>
    </row>
    <row r="1301">
      <c r="A1301" s="10" t="str">
        <f>IFERROR(__xludf.DUMMYFUNCTION("""COMPUTED_VALUE"""),"")</f>
        <v/>
      </c>
      <c r="B1301" s="10" t="str">
        <f>IFERROR(__xludf.DUMMYFUNCTION("""COMPUTED_VALUE"""),"")</f>
        <v/>
      </c>
      <c r="C1301" s="10" t="str">
        <f>IFERROR(__xludf.DUMMYFUNCTION("""COMPUTED_VALUE"""),"")</f>
        <v/>
      </c>
      <c r="D1301" s="10" t="str">
        <f>IFERROR(__xludf.DUMMYFUNCTION("""COMPUTED_VALUE"""),"")</f>
        <v/>
      </c>
      <c r="E1301" s="10" t="str">
        <f>IFERROR(__xludf.DUMMYFUNCTION("""COMPUTED_VALUE"""),"")</f>
        <v/>
      </c>
      <c r="F1301" s="10" t="str">
        <f>IFERROR(__xludf.DUMMYFUNCTION("""COMPUTED_VALUE"""),"")</f>
        <v/>
      </c>
      <c r="G1301" s="10" t="str">
        <f>IFERROR(__xludf.DUMMYFUNCTION("""COMPUTED_VALUE"""),"")</f>
        <v/>
      </c>
      <c r="H1301" s="10" t="str">
        <f>IFERROR(__xludf.DUMMYFUNCTION("""COMPUTED_VALUE"""),"")</f>
        <v/>
      </c>
      <c r="I1301" s="10" t="str">
        <f>IFERROR(__xludf.DUMMYFUNCTION("""COMPUTED_VALUE"""),"")</f>
        <v/>
      </c>
    </row>
    <row r="1302">
      <c r="A1302" s="10" t="str">
        <f>IFERROR(__xludf.DUMMYFUNCTION("""COMPUTED_VALUE"""),"")</f>
        <v/>
      </c>
      <c r="B1302" s="10" t="str">
        <f>IFERROR(__xludf.DUMMYFUNCTION("""COMPUTED_VALUE"""),"")</f>
        <v/>
      </c>
      <c r="C1302" s="10" t="str">
        <f>IFERROR(__xludf.DUMMYFUNCTION("""COMPUTED_VALUE"""),"")</f>
        <v/>
      </c>
      <c r="D1302" s="10" t="str">
        <f>IFERROR(__xludf.DUMMYFUNCTION("""COMPUTED_VALUE"""),"")</f>
        <v/>
      </c>
      <c r="E1302" s="10" t="str">
        <f>IFERROR(__xludf.DUMMYFUNCTION("""COMPUTED_VALUE"""),"")</f>
        <v/>
      </c>
      <c r="F1302" s="10" t="str">
        <f>IFERROR(__xludf.DUMMYFUNCTION("""COMPUTED_VALUE"""),"")</f>
        <v/>
      </c>
      <c r="G1302" s="10" t="str">
        <f>IFERROR(__xludf.DUMMYFUNCTION("""COMPUTED_VALUE"""),"")</f>
        <v/>
      </c>
      <c r="H1302" s="10" t="str">
        <f>IFERROR(__xludf.DUMMYFUNCTION("""COMPUTED_VALUE"""),"")</f>
        <v/>
      </c>
      <c r="I1302" s="10" t="str">
        <f>IFERROR(__xludf.DUMMYFUNCTION("""COMPUTED_VALUE"""),"")</f>
        <v/>
      </c>
    </row>
    <row r="1303">
      <c r="A1303" s="10" t="str">
        <f>IFERROR(__xludf.DUMMYFUNCTION("""COMPUTED_VALUE"""),"")</f>
        <v/>
      </c>
      <c r="B1303" s="10" t="str">
        <f>IFERROR(__xludf.DUMMYFUNCTION("""COMPUTED_VALUE"""),"")</f>
        <v/>
      </c>
      <c r="C1303" s="10" t="str">
        <f>IFERROR(__xludf.DUMMYFUNCTION("""COMPUTED_VALUE"""),"")</f>
        <v/>
      </c>
      <c r="D1303" s="10" t="str">
        <f>IFERROR(__xludf.DUMMYFUNCTION("""COMPUTED_VALUE"""),"")</f>
        <v/>
      </c>
      <c r="E1303" s="10" t="str">
        <f>IFERROR(__xludf.DUMMYFUNCTION("""COMPUTED_VALUE"""),"")</f>
        <v/>
      </c>
      <c r="F1303" s="10" t="str">
        <f>IFERROR(__xludf.DUMMYFUNCTION("""COMPUTED_VALUE"""),"")</f>
        <v/>
      </c>
      <c r="G1303" s="10" t="str">
        <f>IFERROR(__xludf.DUMMYFUNCTION("""COMPUTED_VALUE"""),"")</f>
        <v/>
      </c>
      <c r="H1303" s="10" t="str">
        <f>IFERROR(__xludf.DUMMYFUNCTION("""COMPUTED_VALUE"""),"")</f>
        <v/>
      </c>
      <c r="I1303" s="10" t="str">
        <f>IFERROR(__xludf.DUMMYFUNCTION("""COMPUTED_VALUE"""),"")</f>
        <v/>
      </c>
    </row>
    <row r="1304">
      <c r="A1304" s="10" t="str">
        <f>IFERROR(__xludf.DUMMYFUNCTION("""COMPUTED_VALUE"""),"")</f>
        <v/>
      </c>
      <c r="B1304" s="10" t="str">
        <f>IFERROR(__xludf.DUMMYFUNCTION("""COMPUTED_VALUE"""),"")</f>
        <v/>
      </c>
      <c r="C1304" s="10" t="str">
        <f>IFERROR(__xludf.DUMMYFUNCTION("""COMPUTED_VALUE"""),"")</f>
        <v/>
      </c>
      <c r="D1304" s="10" t="str">
        <f>IFERROR(__xludf.DUMMYFUNCTION("""COMPUTED_VALUE"""),"")</f>
        <v/>
      </c>
      <c r="E1304" s="10" t="str">
        <f>IFERROR(__xludf.DUMMYFUNCTION("""COMPUTED_VALUE"""),"")</f>
        <v/>
      </c>
      <c r="F1304" s="10" t="str">
        <f>IFERROR(__xludf.DUMMYFUNCTION("""COMPUTED_VALUE"""),"")</f>
        <v/>
      </c>
      <c r="G1304" s="10" t="str">
        <f>IFERROR(__xludf.DUMMYFUNCTION("""COMPUTED_VALUE"""),"")</f>
        <v/>
      </c>
      <c r="H1304" s="10" t="str">
        <f>IFERROR(__xludf.DUMMYFUNCTION("""COMPUTED_VALUE"""),"")</f>
        <v/>
      </c>
      <c r="I1304" s="10" t="str">
        <f>IFERROR(__xludf.DUMMYFUNCTION("""COMPUTED_VALUE"""),"")</f>
        <v/>
      </c>
    </row>
    <row r="1305">
      <c r="A1305" s="10" t="str">
        <f>IFERROR(__xludf.DUMMYFUNCTION("""COMPUTED_VALUE"""),"")</f>
        <v/>
      </c>
      <c r="B1305" s="10" t="str">
        <f>IFERROR(__xludf.DUMMYFUNCTION("""COMPUTED_VALUE"""),"")</f>
        <v/>
      </c>
      <c r="C1305" s="10" t="str">
        <f>IFERROR(__xludf.DUMMYFUNCTION("""COMPUTED_VALUE"""),"")</f>
        <v/>
      </c>
      <c r="D1305" s="10" t="str">
        <f>IFERROR(__xludf.DUMMYFUNCTION("""COMPUTED_VALUE"""),"")</f>
        <v/>
      </c>
      <c r="E1305" s="10" t="str">
        <f>IFERROR(__xludf.DUMMYFUNCTION("""COMPUTED_VALUE"""),"")</f>
        <v/>
      </c>
      <c r="F1305" s="10" t="str">
        <f>IFERROR(__xludf.DUMMYFUNCTION("""COMPUTED_VALUE"""),"")</f>
        <v/>
      </c>
      <c r="G1305" s="10" t="str">
        <f>IFERROR(__xludf.DUMMYFUNCTION("""COMPUTED_VALUE"""),"")</f>
        <v/>
      </c>
      <c r="H1305" s="10" t="str">
        <f>IFERROR(__xludf.DUMMYFUNCTION("""COMPUTED_VALUE"""),"")</f>
        <v/>
      </c>
      <c r="I1305" s="10" t="str">
        <f>IFERROR(__xludf.DUMMYFUNCTION("""COMPUTED_VALUE"""),"")</f>
        <v/>
      </c>
    </row>
    <row r="1306">
      <c r="A1306" s="10" t="str">
        <f>IFERROR(__xludf.DUMMYFUNCTION("""COMPUTED_VALUE"""),"")</f>
        <v/>
      </c>
      <c r="B1306" s="10" t="str">
        <f>IFERROR(__xludf.DUMMYFUNCTION("""COMPUTED_VALUE"""),"")</f>
        <v/>
      </c>
      <c r="C1306" s="10" t="str">
        <f>IFERROR(__xludf.DUMMYFUNCTION("""COMPUTED_VALUE"""),"")</f>
        <v/>
      </c>
      <c r="D1306" s="10" t="str">
        <f>IFERROR(__xludf.DUMMYFUNCTION("""COMPUTED_VALUE"""),"")</f>
        <v/>
      </c>
      <c r="E1306" s="10" t="str">
        <f>IFERROR(__xludf.DUMMYFUNCTION("""COMPUTED_VALUE"""),"")</f>
        <v/>
      </c>
      <c r="F1306" s="10" t="str">
        <f>IFERROR(__xludf.DUMMYFUNCTION("""COMPUTED_VALUE"""),"")</f>
        <v/>
      </c>
      <c r="G1306" s="10" t="str">
        <f>IFERROR(__xludf.DUMMYFUNCTION("""COMPUTED_VALUE"""),"")</f>
        <v/>
      </c>
      <c r="H1306" s="10" t="str">
        <f>IFERROR(__xludf.DUMMYFUNCTION("""COMPUTED_VALUE"""),"")</f>
        <v/>
      </c>
      <c r="I1306" s="10" t="str">
        <f>IFERROR(__xludf.DUMMYFUNCTION("""COMPUTED_VALUE"""),"")</f>
        <v/>
      </c>
    </row>
    <row r="1307">
      <c r="A1307" s="10" t="str">
        <f>IFERROR(__xludf.DUMMYFUNCTION("""COMPUTED_VALUE"""),"")</f>
        <v/>
      </c>
      <c r="B1307" s="10" t="str">
        <f>IFERROR(__xludf.DUMMYFUNCTION("""COMPUTED_VALUE"""),"")</f>
        <v/>
      </c>
      <c r="C1307" s="10" t="str">
        <f>IFERROR(__xludf.DUMMYFUNCTION("""COMPUTED_VALUE"""),"")</f>
        <v/>
      </c>
      <c r="D1307" s="10" t="str">
        <f>IFERROR(__xludf.DUMMYFUNCTION("""COMPUTED_VALUE"""),"")</f>
        <v/>
      </c>
      <c r="E1307" s="10" t="str">
        <f>IFERROR(__xludf.DUMMYFUNCTION("""COMPUTED_VALUE"""),"")</f>
        <v/>
      </c>
      <c r="F1307" s="10" t="str">
        <f>IFERROR(__xludf.DUMMYFUNCTION("""COMPUTED_VALUE"""),"")</f>
        <v/>
      </c>
      <c r="G1307" s="10" t="str">
        <f>IFERROR(__xludf.DUMMYFUNCTION("""COMPUTED_VALUE"""),"")</f>
        <v/>
      </c>
      <c r="H1307" s="10" t="str">
        <f>IFERROR(__xludf.DUMMYFUNCTION("""COMPUTED_VALUE"""),"")</f>
        <v/>
      </c>
      <c r="I1307" s="10" t="str">
        <f>IFERROR(__xludf.DUMMYFUNCTION("""COMPUTED_VALUE"""),"")</f>
        <v/>
      </c>
    </row>
    <row r="1308">
      <c r="A1308" s="10" t="str">
        <f>IFERROR(__xludf.DUMMYFUNCTION("""COMPUTED_VALUE"""),"")</f>
        <v/>
      </c>
      <c r="B1308" s="10" t="str">
        <f>IFERROR(__xludf.DUMMYFUNCTION("""COMPUTED_VALUE"""),"")</f>
        <v/>
      </c>
      <c r="C1308" s="10" t="str">
        <f>IFERROR(__xludf.DUMMYFUNCTION("""COMPUTED_VALUE"""),"")</f>
        <v/>
      </c>
      <c r="D1308" s="10" t="str">
        <f>IFERROR(__xludf.DUMMYFUNCTION("""COMPUTED_VALUE"""),"")</f>
        <v/>
      </c>
      <c r="E1308" s="10" t="str">
        <f>IFERROR(__xludf.DUMMYFUNCTION("""COMPUTED_VALUE"""),"")</f>
        <v/>
      </c>
      <c r="F1308" s="10" t="str">
        <f>IFERROR(__xludf.DUMMYFUNCTION("""COMPUTED_VALUE"""),"")</f>
        <v/>
      </c>
      <c r="G1308" s="10" t="str">
        <f>IFERROR(__xludf.DUMMYFUNCTION("""COMPUTED_VALUE"""),"")</f>
        <v/>
      </c>
      <c r="H1308" s="10" t="str">
        <f>IFERROR(__xludf.DUMMYFUNCTION("""COMPUTED_VALUE"""),"")</f>
        <v/>
      </c>
      <c r="I1308" s="10" t="str">
        <f>IFERROR(__xludf.DUMMYFUNCTION("""COMPUTED_VALUE"""),"")</f>
        <v/>
      </c>
    </row>
    <row r="1309">
      <c r="A1309" s="10" t="str">
        <f>IFERROR(__xludf.DUMMYFUNCTION("""COMPUTED_VALUE"""),"")</f>
        <v/>
      </c>
      <c r="B1309" s="10" t="str">
        <f>IFERROR(__xludf.DUMMYFUNCTION("""COMPUTED_VALUE"""),"")</f>
        <v/>
      </c>
      <c r="C1309" s="10" t="str">
        <f>IFERROR(__xludf.DUMMYFUNCTION("""COMPUTED_VALUE"""),"")</f>
        <v/>
      </c>
      <c r="D1309" s="10" t="str">
        <f>IFERROR(__xludf.DUMMYFUNCTION("""COMPUTED_VALUE"""),"")</f>
        <v/>
      </c>
      <c r="E1309" s="10" t="str">
        <f>IFERROR(__xludf.DUMMYFUNCTION("""COMPUTED_VALUE"""),"")</f>
        <v/>
      </c>
      <c r="F1309" s="10" t="str">
        <f>IFERROR(__xludf.DUMMYFUNCTION("""COMPUTED_VALUE"""),"")</f>
        <v/>
      </c>
      <c r="G1309" s="10" t="str">
        <f>IFERROR(__xludf.DUMMYFUNCTION("""COMPUTED_VALUE"""),"")</f>
        <v/>
      </c>
      <c r="H1309" s="10" t="str">
        <f>IFERROR(__xludf.DUMMYFUNCTION("""COMPUTED_VALUE"""),"")</f>
        <v/>
      </c>
      <c r="I1309" s="10" t="str">
        <f>IFERROR(__xludf.DUMMYFUNCTION("""COMPUTED_VALUE"""),"")</f>
        <v/>
      </c>
    </row>
    <row r="1310">
      <c r="A1310" s="10" t="str">
        <f>IFERROR(__xludf.DUMMYFUNCTION("""COMPUTED_VALUE"""),"")</f>
        <v/>
      </c>
      <c r="B1310" s="10" t="str">
        <f>IFERROR(__xludf.DUMMYFUNCTION("""COMPUTED_VALUE"""),"")</f>
        <v/>
      </c>
      <c r="C1310" s="10" t="str">
        <f>IFERROR(__xludf.DUMMYFUNCTION("""COMPUTED_VALUE"""),"")</f>
        <v/>
      </c>
      <c r="D1310" s="10" t="str">
        <f>IFERROR(__xludf.DUMMYFUNCTION("""COMPUTED_VALUE"""),"")</f>
        <v/>
      </c>
      <c r="E1310" s="10" t="str">
        <f>IFERROR(__xludf.DUMMYFUNCTION("""COMPUTED_VALUE"""),"")</f>
        <v/>
      </c>
      <c r="F1310" s="10" t="str">
        <f>IFERROR(__xludf.DUMMYFUNCTION("""COMPUTED_VALUE"""),"")</f>
        <v/>
      </c>
      <c r="G1310" s="10" t="str">
        <f>IFERROR(__xludf.DUMMYFUNCTION("""COMPUTED_VALUE"""),"")</f>
        <v/>
      </c>
      <c r="H1310" s="10" t="str">
        <f>IFERROR(__xludf.DUMMYFUNCTION("""COMPUTED_VALUE"""),"")</f>
        <v/>
      </c>
      <c r="I1310" s="10" t="str">
        <f>IFERROR(__xludf.DUMMYFUNCTION("""COMPUTED_VALUE"""),"")</f>
        <v/>
      </c>
    </row>
    <row r="1311">
      <c r="A1311" s="10" t="str">
        <f>IFERROR(__xludf.DUMMYFUNCTION("""COMPUTED_VALUE"""),"")</f>
        <v/>
      </c>
      <c r="B1311" s="10" t="str">
        <f>IFERROR(__xludf.DUMMYFUNCTION("""COMPUTED_VALUE"""),"")</f>
        <v/>
      </c>
      <c r="C1311" s="10" t="str">
        <f>IFERROR(__xludf.DUMMYFUNCTION("""COMPUTED_VALUE"""),"")</f>
        <v/>
      </c>
      <c r="D1311" s="10" t="str">
        <f>IFERROR(__xludf.DUMMYFUNCTION("""COMPUTED_VALUE"""),"")</f>
        <v/>
      </c>
      <c r="E1311" s="10" t="str">
        <f>IFERROR(__xludf.DUMMYFUNCTION("""COMPUTED_VALUE"""),"")</f>
        <v/>
      </c>
      <c r="F1311" s="10" t="str">
        <f>IFERROR(__xludf.DUMMYFUNCTION("""COMPUTED_VALUE"""),"")</f>
        <v/>
      </c>
      <c r="G1311" s="10" t="str">
        <f>IFERROR(__xludf.DUMMYFUNCTION("""COMPUTED_VALUE"""),"")</f>
        <v/>
      </c>
      <c r="H1311" s="10" t="str">
        <f>IFERROR(__xludf.DUMMYFUNCTION("""COMPUTED_VALUE"""),"")</f>
        <v/>
      </c>
      <c r="I1311" s="10" t="str">
        <f>IFERROR(__xludf.DUMMYFUNCTION("""COMPUTED_VALUE"""),"")</f>
        <v/>
      </c>
    </row>
    <row r="1312">
      <c r="A1312" s="10" t="str">
        <f>IFERROR(__xludf.DUMMYFUNCTION("""COMPUTED_VALUE"""),"")</f>
        <v/>
      </c>
      <c r="B1312" s="10" t="str">
        <f>IFERROR(__xludf.DUMMYFUNCTION("""COMPUTED_VALUE"""),"")</f>
        <v/>
      </c>
      <c r="C1312" s="10" t="str">
        <f>IFERROR(__xludf.DUMMYFUNCTION("""COMPUTED_VALUE"""),"")</f>
        <v/>
      </c>
      <c r="D1312" s="10" t="str">
        <f>IFERROR(__xludf.DUMMYFUNCTION("""COMPUTED_VALUE"""),"")</f>
        <v/>
      </c>
      <c r="E1312" s="10" t="str">
        <f>IFERROR(__xludf.DUMMYFUNCTION("""COMPUTED_VALUE"""),"")</f>
        <v/>
      </c>
      <c r="F1312" s="10" t="str">
        <f>IFERROR(__xludf.DUMMYFUNCTION("""COMPUTED_VALUE"""),"")</f>
        <v/>
      </c>
      <c r="G1312" s="10" t="str">
        <f>IFERROR(__xludf.DUMMYFUNCTION("""COMPUTED_VALUE"""),"")</f>
        <v/>
      </c>
      <c r="H1312" s="10" t="str">
        <f>IFERROR(__xludf.DUMMYFUNCTION("""COMPUTED_VALUE"""),"")</f>
        <v/>
      </c>
      <c r="I1312" s="10" t="str">
        <f>IFERROR(__xludf.DUMMYFUNCTION("""COMPUTED_VALUE"""),"")</f>
        <v/>
      </c>
    </row>
    <row r="1313">
      <c r="A1313" s="10" t="str">
        <f>IFERROR(__xludf.DUMMYFUNCTION("""COMPUTED_VALUE"""),"")</f>
        <v/>
      </c>
      <c r="B1313" s="10" t="str">
        <f>IFERROR(__xludf.DUMMYFUNCTION("""COMPUTED_VALUE"""),"")</f>
        <v/>
      </c>
      <c r="C1313" s="10" t="str">
        <f>IFERROR(__xludf.DUMMYFUNCTION("""COMPUTED_VALUE"""),"")</f>
        <v/>
      </c>
      <c r="D1313" s="10" t="str">
        <f>IFERROR(__xludf.DUMMYFUNCTION("""COMPUTED_VALUE"""),"")</f>
        <v/>
      </c>
      <c r="E1313" s="10" t="str">
        <f>IFERROR(__xludf.DUMMYFUNCTION("""COMPUTED_VALUE"""),"")</f>
        <v/>
      </c>
      <c r="F1313" s="10" t="str">
        <f>IFERROR(__xludf.DUMMYFUNCTION("""COMPUTED_VALUE"""),"")</f>
        <v/>
      </c>
      <c r="G1313" s="10" t="str">
        <f>IFERROR(__xludf.DUMMYFUNCTION("""COMPUTED_VALUE"""),"")</f>
        <v/>
      </c>
      <c r="H1313" s="10" t="str">
        <f>IFERROR(__xludf.DUMMYFUNCTION("""COMPUTED_VALUE"""),"")</f>
        <v/>
      </c>
      <c r="I1313" s="10" t="str">
        <f>IFERROR(__xludf.DUMMYFUNCTION("""COMPUTED_VALUE"""),"")</f>
        <v/>
      </c>
    </row>
    <row r="1314">
      <c r="A1314" s="10" t="str">
        <f>IFERROR(__xludf.DUMMYFUNCTION("""COMPUTED_VALUE"""),"")</f>
        <v/>
      </c>
      <c r="B1314" s="10" t="str">
        <f>IFERROR(__xludf.DUMMYFUNCTION("""COMPUTED_VALUE"""),"")</f>
        <v/>
      </c>
      <c r="C1314" s="10" t="str">
        <f>IFERROR(__xludf.DUMMYFUNCTION("""COMPUTED_VALUE"""),"")</f>
        <v/>
      </c>
      <c r="D1314" s="10" t="str">
        <f>IFERROR(__xludf.DUMMYFUNCTION("""COMPUTED_VALUE"""),"")</f>
        <v/>
      </c>
      <c r="E1314" s="10" t="str">
        <f>IFERROR(__xludf.DUMMYFUNCTION("""COMPUTED_VALUE"""),"")</f>
        <v/>
      </c>
      <c r="F1314" s="10" t="str">
        <f>IFERROR(__xludf.DUMMYFUNCTION("""COMPUTED_VALUE"""),"")</f>
        <v/>
      </c>
      <c r="G1314" s="10" t="str">
        <f>IFERROR(__xludf.DUMMYFUNCTION("""COMPUTED_VALUE"""),"")</f>
        <v/>
      </c>
      <c r="H1314" s="10" t="str">
        <f>IFERROR(__xludf.DUMMYFUNCTION("""COMPUTED_VALUE"""),"")</f>
        <v/>
      </c>
      <c r="I1314" s="10" t="str">
        <f>IFERROR(__xludf.DUMMYFUNCTION("""COMPUTED_VALUE"""),"")</f>
        <v/>
      </c>
    </row>
    <row r="1315">
      <c r="A1315" s="10" t="str">
        <f>IFERROR(__xludf.DUMMYFUNCTION("""COMPUTED_VALUE"""),"")</f>
        <v/>
      </c>
      <c r="B1315" s="10" t="str">
        <f>IFERROR(__xludf.DUMMYFUNCTION("""COMPUTED_VALUE"""),"")</f>
        <v/>
      </c>
      <c r="C1315" s="10" t="str">
        <f>IFERROR(__xludf.DUMMYFUNCTION("""COMPUTED_VALUE"""),"")</f>
        <v/>
      </c>
      <c r="D1315" s="10" t="str">
        <f>IFERROR(__xludf.DUMMYFUNCTION("""COMPUTED_VALUE"""),"")</f>
        <v/>
      </c>
      <c r="E1315" s="10" t="str">
        <f>IFERROR(__xludf.DUMMYFUNCTION("""COMPUTED_VALUE"""),"")</f>
        <v/>
      </c>
      <c r="F1315" s="10" t="str">
        <f>IFERROR(__xludf.DUMMYFUNCTION("""COMPUTED_VALUE"""),"")</f>
        <v/>
      </c>
      <c r="G1315" s="10" t="str">
        <f>IFERROR(__xludf.DUMMYFUNCTION("""COMPUTED_VALUE"""),"")</f>
        <v/>
      </c>
      <c r="H1315" s="10" t="str">
        <f>IFERROR(__xludf.DUMMYFUNCTION("""COMPUTED_VALUE"""),"")</f>
        <v/>
      </c>
      <c r="I1315" s="10" t="str">
        <f>IFERROR(__xludf.DUMMYFUNCTION("""COMPUTED_VALUE"""),"")</f>
        <v/>
      </c>
    </row>
    <row r="1316">
      <c r="A1316" s="10" t="str">
        <f>IFERROR(__xludf.DUMMYFUNCTION("""COMPUTED_VALUE"""),"")</f>
        <v/>
      </c>
      <c r="B1316" s="10" t="str">
        <f>IFERROR(__xludf.DUMMYFUNCTION("""COMPUTED_VALUE"""),"")</f>
        <v/>
      </c>
      <c r="C1316" s="10" t="str">
        <f>IFERROR(__xludf.DUMMYFUNCTION("""COMPUTED_VALUE"""),"")</f>
        <v/>
      </c>
      <c r="D1316" s="10" t="str">
        <f>IFERROR(__xludf.DUMMYFUNCTION("""COMPUTED_VALUE"""),"")</f>
        <v/>
      </c>
      <c r="E1316" s="10" t="str">
        <f>IFERROR(__xludf.DUMMYFUNCTION("""COMPUTED_VALUE"""),"")</f>
        <v/>
      </c>
      <c r="F1316" s="10" t="str">
        <f>IFERROR(__xludf.DUMMYFUNCTION("""COMPUTED_VALUE"""),"")</f>
        <v/>
      </c>
      <c r="G1316" s="10" t="str">
        <f>IFERROR(__xludf.DUMMYFUNCTION("""COMPUTED_VALUE"""),"")</f>
        <v/>
      </c>
      <c r="H1316" s="10" t="str">
        <f>IFERROR(__xludf.DUMMYFUNCTION("""COMPUTED_VALUE"""),"")</f>
        <v/>
      </c>
      <c r="I1316" s="10" t="str">
        <f>IFERROR(__xludf.DUMMYFUNCTION("""COMPUTED_VALUE"""),"")</f>
        <v/>
      </c>
    </row>
    <row r="1317">
      <c r="A1317" s="10" t="str">
        <f>IFERROR(__xludf.DUMMYFUNCTION("""COMPUTED_VALUE"""),"")</f>
        <v/>
      </c>
      <c r="B1317" s="10" t="str">
        <f>IFERROR(__xludf.DUMMYFUNCTION("""COMPUTED_VALUE"""),"")</f>
        <v/>
      </c>
      <c r="C1317" s="10" t="str">
        <f>IFERROR(__xludf.DUMMYFUNCTION("""COMPUTED_VALUE"""),"")</f>
        <v/>
      </c>
      <c r="D1317" s="10" t="str">
        <f>IFERROR(__xludf.DUMMYFUNCTION("""COMPUTED_VALUE"""),"")</f>
        <v/>
      </c>
      <c r="E1317" s="10" t="str">
        <f>IFERROR(__xludf.DUMMYFUNCTION("""COMPUTED_VALUE"""),"")</f>
        <v/>
      </c>
      <c r="F1317" s="10" t="str">
        <f>IFERROR(__xludf.DUMMYFUNCTION("""COMPUTED_VALUE"""),"")</f>
        <v/>
      </c>
      <c r="G1317" s="10" t="str">
        <f>IFERROR(__xludf.DUMMYFUNCTION("""COMPUTED_VALUE"""),"")</f>
        <v/>
      </c>
      <c r="H1317" s="10" t="str">
        <f>IFERROR(__xludf.DUMMYFUNCTION("""COMPUTED_VALUE"""),"")</f>
        <v/>
      </c>
      <c r="I1317" s="10" t="str">
        <f>IFERROR(__xludf.DUMMYFUNCTION("""COMPUTED_VALUE"""),"")</f>
        <v/>
      </c>
    </row>
    <row r="1318">
      <c r="A1318" s="10" t="str">
        <f>IFERROR(__xludf.DUMMYFUNCTION("""COMPUTED_VALUE"""),"")</f>
        <v/>
      </c>
      <c r="B1318" s="10" t="str">
        <f>IFERROR(__xludf.DUMMYFUNCTION("""COMPUTED_VALUE"""),"")</f>
        <v/>
      </c>
      <c r="C1318" s="10" t="str">
        <f>IFERROR(__xludf.DUMMYFUNCTION("""COMPUTED_VALUE"""),"")</f>
        <v/>
      </c>
      <c r="D1318" s="10" t="str">
        <f>IFERROR(__xludf.DUMMYFUNCTION("""COMPUTED_VALUE"""),"")</f>
        <v/>
      </c>
      <c r="E1318" s="10" t="str">
        <f>IFERROR(__xludf.DUMMYFUNCTION("""COMPUTED_VALUE"""),"")</f>
        <v/>
      </c>
      <c r="F1318" s="10" t="str">
        <f>IFERROR(__xludf.DUMMYFUNCTION("""COMPUTED_VALUE"""),"")</f>
        <v/>
      </c>
      <c r="G1318" s="10" t="str">
        <f>IFERROR(__xludf.DUMMYFUNCTION("""COMPUTED_VALUE"""),"")</f>
        <v/>
      </c>
      <c r="H1318" s="10" t="str">
        <f>IFERROR(__xludf.DUMMYFUNCTION("""COMPUTED_VALUE"""),"")</f>
        <v/>
      </c>
      <c r="I1318" s="10" t="str">
        <f>IFERROR(__xludf.DUMMYFUNCTION("""COMPUTED_VALUE"""),"")</f>
        <v/>
      </c>
    </row>
    <row r="1319">
      <c r="A1319" s="10" t="str">
        <f>IFERROR(__xludf.DUMMYFUNCTION("""COMPUTED_VALUE"""),"")</f>
        <v/>
      </c>
      <c r="B1319" s="10" t="str">
        <f>IFERROR(__xludf.DUMMYFUNCTION("""COMPUTED_VALUE"""),"")</f>
        <v/>
      </c>
      <c r="C1319" s="10" t="str">
        <f>IFERROR(__xludf.DUMMYFUNCTION("""COMPUTED_VALUE"""),"")</f>
        <v/>
      </c>
      <c r="D1319" s="10" t="str">
        <f>IFERROR(__xludf.DUMMYFUNCTION("""COMPUTED_VALUE"""),"")</f>
        <v/>
      </c>
      <c r="E1319" s="10" t="str">
        <f>IFERROR(__xludf.DUMMYFUNCTION("""COMPUTED_VALUE"""),"")</f>
        <v/>
      </c>
      <c r="F1319" s="10" t="str">
        <f>IFERROR(__xludf.DUMMYFUNCTION("""COMPUTED_VALUE"""),"")</f>
        <v/>
      </c>
      <c r="G1319" s="10" t="str">
        <f>IFERROR(__xludf.DUMMYFUNCTION("""COMPUTED_VALUE"""),"")</f>
        <v/>
      </c>
      <c r="H1319" s="10" t="str">
        <f>IFERROR(__xludf.DUMMYFUNCTION("""COMPUTED_VALUE"""),"")</f>
        <v/>
      </c>
      <c r="I1319" s="10" t="str">
        <f>IFERROR(__xludf.DUMMYFUNCTION("""COMPUTED_VALUE"""),"")</f>
        <v/>
      </c>
    </row>
    <row r="1320">
      <c r="A1320" s="10" t="str">
        <f>IFERROR(__xludf.DUMMYFUNCTION("""COMPUTED_VALUE"""),"")</f>
        <v/>
      </c>
      <c r="B1320" s="10" t="str">
        <f>IFERROR(__xludf.DUMMYFUNCTION("""COMPUTED_VALUE"""),"")</f>
        <v/>
      </c>
      <c r="C1320" s="10" t="str">
        <f>IFERROR(__xludf.DUMMYFUNCTION("""COMPUTED_VALUE"""),"")</f>
        <v/>
      </c>
      <c r="D1320" s="10" t="str">
        <f>IFERROR(__xludf.DUMMYFUNCTION("""COMPUTED_VALUE"""),"")</f>
        <v/>
      </c>
      <c r="E1320" s="10" t="str">
        <f>IFERROR(__xludf.DUMMYFUNCTION("""COMPUTED_VALUE"""),"")</f>
        <v/>
      </c>
      <c r="F1320" s="10" t="str">
        <f>IFERROR(__xludf.DUMMYFUNCTION("""COMPUTED_VALUE"""),"")</f>
        <v/>
      </c>
      <c r="G1320" s="10" t="str">
        <f>IFERROR(__xludf.DUMMYFUNCTION("""COMPUTED_VALUE"""),"")</f>
        <v/>
      </c>
      <c r="H1320" s="10" t="str">
        <f>IFERROR(__xludf.DUMMYFUNCTION("""COMPUTED_VALUE"""),"")</f>
        <v/>
      </c>
      <c r="I1320" s="10" t="str">
        <f>IFERROR(__xludf.DUMMYFUNCTION("""COMPUTED_VALUE"""),"")</f>
        <v/>
      </c>
    </row>
    <row r="1321">
      <c r="A1321" s="10" t="str">
        <f>IFERROR(__xludf.DUMMYFUNCTION("""COMPUTED_VALUE"""),"")</f>
        <v/>
      </c>
      <c r="B1321" s="10" t="str">
        <f>IFERROR(__xludf.DUMMYFUNCTION("""COMPUTED_VALUE"""),"")</f>
        <v/>
      </c>
      <c r="C1321" s="10" t="str">
        <f>IFERROR(__xludf.DUMMYFUNCTION("""COMPUTED_VALUE"""),"")</f>
        <v/>
      </c>
      <c r="D1321" s="10" t="str">
        <f>IFERROR(__xludf.DUMMYFUNCTION("""COMPUTED_VALUE"""),"")</f>
        <v/>
      </c>
      <c r="E1321" s="10" t="str">
        <f>IFERROR(__xludf.DUMMYFUNCTION("""COMPUTED_VALUE"""),"")</f>
        <v/>
      </c>
      <c r="F1321" s="10" t="str">
        <f>IFERROR(__xludf.DUMMYFUNCTION("""COMPUTED_VALUE"""),"")</f>
        <v/>
      </c>
      <c r="G1321" s="10" t="str">
        <f>IFERROR(__xludf.DUMMYFUNCTION("""COMPUTED_VALUE"""),"")</f>
        <v/>
      </c>
      <c r="H1321" s="10" t="str">
        <f>IFERROR(__xludf.DUMMYFUNCTION("""COMPUTED_VALUE"""),"")</f>
        <v/>
      </c>
      <c r="I1321" s="10" t="str">
        <f>IFERROR(__xludf.DUMMYFUNCTION("""COMPUTED_VALUE"""),"")</f>
        <v/>
      </c>
    </row>
    <row r="1322">
      <c r="A1322" s="10" t="str">
        <f>IFERROR(__xludf.DUMMYFUNCTION("""COMPUTED_VALUE"""),"")</f>
        <v/>
      </c>
      <c r="B1322" s="10" t="str">
        <f>IFERROR(__xludf.DUMMYFUNCTION("""COMPUTED_VALUE"""),"")</f>
        <v/>
      </c>
      <c r="C1322" s="10" t="str">
        <f>IFERROR(__xludf.DUMMYFUNCTION("""COMPUTED_VALUE"""),"")</f>
        <v/>
      </c>
      <c r="D1322" s="10" t="str">
        <f>IFERROR(__xludf.DUMMYFUNCTION("""COMPUTED_VALUE"""),"")</f>
        <v/>
      </c>
      <c r="E1322" s="10" t="str">
        <f>IFERROR(__xludf.DUMMYFUNCTION("""COMPUTED_VALUE"""),"")</f>
        <v/>
      </c>
      <c r="F1322" s="10" t="str">
        <f>IFERROR(__xludf.DUMMYFUNCTION("""COMPUTED_VALUE"""),"")</f>
        <v/>
      </c>
      <c r="G1322" s="10" t="str">
        <f>IFERROR(__xludf.DUMMYFUNCTION("""COMPUTED_VALUE"""),"")</f>
        <v/>
      </c>
      <c r="H1322" s="10" t="str">
        <f>IFERROR(__xludf.DUMMYFUNCTION("""COMPUTED_VALUE"""),"")</f>
        <v/>
      </c>
      <c r="I1322" s="10" t="str">
        <f>IFERROR(__xludf.DUMMYFUNCTION("""COMPUTED_VALUE"""),"")</f>
        <v/>
      </c>
    </row>
    <row r="1323">
      <c r="A1323" s="10" t="str">
        <f>IFERROR(__xludf.DUMMYFUNCTION("""COMPUTED_VALUE"""),"")</f>
        <v/>
      </c>
      <c r="B1323" s="10" t="str">
        <f>IFERROR(__xludf.DUMMYFUNCTION("""COMPUTED_VALUE"""),"")</f>
        <v/>
      </c>
      <c r="C1323" s="10" t="str">
        <f>IFERROR(__xludf.DUMMYFUNCTION("""COMPUTED_VALUE"""),"")</f>
        <v/>
      </c>
      <c r="D1323" s="10" t="str">
        <f>IFERROR(__xludf.DUMMYFUNCTION("""COMPUTED_VALUE"""),"")</f>
        <v/>
      </c>
      <c r="E1323" s="10" t="str">
        <f>IFERROR(__xludf.DUMMYFUNCTION("""COMPUTED_VALUE"""),"")</f>
        <v/>
      </c>
      <c r="F1323" s="10" t="str">
        <f>IFERROR(__xludf.DUMMYFUNCTION("""COMPUTED_VALUE"""),"")</f>
        <v/>
      </c>
      <c r="G1323" s="10" t="str">
        <f>IFERROR(__xludf.DUMMYFUNCTION("""COMPUTED_VALUE"""),"")</f>
        <v/>
      </c>
      <c r="H1323" s="10" t="str">
        <f>IFERROR(__xludf.DUMMYFUNCTION("""COMPUTED_VALUE"""),"")</f>
        <v/>
      </c>
      <c r="I1323" s="10" t="str">
        <f>IFERROR(__xludf.DUMMYFUNCTION("""COMPUTED_VALUE"""),"")</f>
        <v/>
      </c>
    </row>
    <row r="1324">
      <c r="A1324" s="10" t="str">
        <f>IFERROR(__xludf.DUMMYFUNCTION("""COMPUTED_VALUE"""),"")</f>
        <v/>
      </c>
      <c r="B1324" s="10" t="str">
        <f>IFERROR(__xludf.DUMMYFUNCTION("""COMPUTED_VALUE"""),"")</f>
        <v/>
      </c>
      <c r="C1324" s="10" t="str">
        <f>IFERROR(__xludf.DUMMYFUNCTION("""COMPUTED_VALUE"""),"")</f>
        <v/>
      </c>
      <c r="D1324" s="10" t="str">
        <f>IFERROR(__xludf.DUMMYFUNCTION("""COMPUTED_VALUE"""),"")</f>
        <v/>
      </c>
      <c r="E1324" s="10" t="str">
        <f>IFERROR(__xludf.DUMMYFUNCTION("""COMPUTED_VALUE"""),"")</f>
        <v/>
      </c>
      <c r="F1324" s="10" t="str">
        <f>IFERROR(__xludf.DUMMYFUNCTION("""COMPUTED_VALUE"""),"")</f>
        <v/>
      </c>
      <c r="G1324" s="10" t="str">
        <f>IFERROR(__xludf.DUMMYFUNCTION("""COMPUTED_VALUE"""),"")</f>
        <v/>
      </c>
      <c r="H1324" s="10" t="str">
        <f>IFERROR(__xludf.DUMMYFUNCTION("""COMPUTED_VALUE"""),"")</f>
        <v/>
      </c>
      <c r="I1324" s="10" t="str">
        <f>IFERROR(__xludf.DUMMYFUNCTION("""COMPUTED_VALUE"""),"")</f>
        <v/>
      </c>
    </row>
    <row r="1325">
      <c r="A1325" s="10" t="str">
        <f>IFERROR(__xludf.DUMMYFUNCTION("""COMPUTED_VALUE"""),"")</f>
        <v/>
      </c>
      <c r="B1325" s="10" t="str">
        <f>IFERROR(__xludf.DUMMYFUNCTION("""COMPUTED_VALUE"""),"")</f>
        <v/>
      </c>
      <c r="C1325" s="10" t="str">
        <f>IFERROR(__xludf.DUMMYFUNCTION("""COMPUTED_VALUE"""),"")</f>
        <v/>
      </c>
      <c r="D1325" s="10" t="str">
        <f>IFERROR(__xludf.DUMMYFUNCTION("""COMPUTED_VALUE"""),"")</f>
        <v/>
      </c>
      <c r="E1325" s="10" t="str">
        <f>IFERROR(__xludf.DUMMYFUNCTION("""COMPUTED_VALUE"""),"")</f>
        <v/>
      </c>
      <c r="F1325" s="10" t="str">
        <f>IFERROR(__xludf.DUMMYFUNCTION("""COMPUTED_VALUE"""),"")</f>
        <v/>
      </c>
      <c r="G1325" s="10" t="str">
        <f>IFERROR(__xludf.DUMMYFUNCTION("""COMPUTED_VALUE"""),"")</f>
        <v/>
      </c>
      <c r="H1325" s="10" t="str">
        <f>IFERROR(__xludf.DUMMYFUNCTION("""COMPUTED_VALUE"""),"")</f>
        <v/>
      </c>
      <c r="I1325" s="10" t="str">
        <f>IFERROR(__xludf.DUMMYFUNCTION("""COMPUTED_VALUE"""),"")</f>
        <v/>
      </c>
    </row>
    <row r="1326">
      <c r="A1326" s="10" t="str">
        <f>IFERROR(__xludf.DUMMYFUNCTION("""COMPUTED_VALUE"""),"")</f>
        <v/>
      </c>
      <c r="B1326" s="10" t="str">
        <f>IFERROR(__xludf.DUMMYFUNCTION("""COMPUTED_VALUE"""),"")</f>
        <v/>
      </c>
      <c r="C1326" s="10" t="str">
        <f>IFERROR(__xludf.DUMMYFUNCTION("""COMPUTED_VALUE"""),"")</f>
        <v/>
      </c>
      <c r="D1326" s="10" t="str">
        <f>IFERROR(__xludf.DUMMYFUNCTION("""COMPUTED_VALUE"""),"")</f>
        <v/>
      </c>
      <c r="E1326" s="10" t="str">
        <f>IFERROR(__xludf.DUMMYFUNCTION("""COMPUTED_VALUE"""),"")</f>
        <v/>
      </c>
      <c r="F1326" s="10" t="str">
        <f>IFERROR(__xludf.DUMMYFUNCTION("""COMPUTED_VALUE"""),"")</f>
        <v/>
      </c>
      <c r="G1326" s="10" t="str">
        <f>IFERROR(__xludf.DUMMYFUNCTION("""COMPUTED_VALUE"""),"")</f>
        <v/>
      </c>
      <c r="H1326" s="10" t="str">
        <f>IFERROR(__xludf.DUMMYFUNCTION("""COMPUTED_VALUE"""),"")</f>
        <v/>
      </c>
      <c r="I1326" s="10" t="str">
        <f>IFERROR(__xludf.DUMMYFUNCTION("""COMPUTED_VALUE"""),"")</f>
        <v/>
      </c>
    </row>
    <row r="1327">
      <c r="A1327" s="10" t="str">
        <f>IFERROR(__xludf.DUMMYFUNCTION("""COMPUTED_VALUE"""),"")</f>
        <v/>
      </c>
      <c r="B1327" s="10" t="str">
        <f>IFERROR(__xludf.DUMMYFUNCTION("""COMPUTED_VALUE"""),"")</f>
        <v/>
      </c>
      <c r="C1327" s="10" t="str">
        <f>IFERROR(__xludf.DUMMYFUNCTION("""COMPUTED_VALUE"""),"")</f>
        <v/>
      </c>
      <c r="D1327" s="10" t="str">
        <f>IFERROR(__xludf.DUMMYFUNCTION("""COMPUTED_VALUE"""),"")</f>
        <v/>
      </c>
      <c r="E1327" s="10" t="str">
        <f>IFERROR(__xludf.DUMMYFUNCTION("""COMPUTED_VALUE"""),"")</f>
        <v/>
      </c>
      <c r="F1327" s="10" t="str">
        <f>IFERROR(__xludf.DUMMYFUNCTION("""COMPUTED_VALUE"""),"")</f>
        <v/>
      </c>
      <c r="G1327" s="10" t="str">
        <f>IFERROR(__xludf.DUMMYFUNCTION("""COMPUTED_VALUE"""),"")</f>
        <v/>
      </c>
      <c r="H1327" s="10" t="str">
        <f>IFERROR(__xludf.DUMMYFUNCTION("""COMPUTED_VALUE"""),"")</f>
        <v/>
      </c>
      <c r="I1327" s="10" t="str">
        <f>IFERROR(__xludf.DUMMYFUNCTION("""COMPUTED_VALUE"""),"")</f>
        <v/>
      </c>
    </row>
    <row r="1328">
      <c r="A1328" s="10" t="str">
        <f>IFERROR(__xludf.DUMMYFUNCTION("""COMPUTED_VALUE"""),"")</f>
        <v/>
      </c>
      <c r="B1328" s="10" t="str">
        <f>IFERROR(__xludf.DUMMYFUNCTION("""COMPUTED_VALUE"""),"")</f>
        <v/>
      </c>
      <c r="C1328" s="10" t="str">
        <f>IFERROR(__xludf.DUMMYFUNCTION("""COMPUTED_VALUE"""),"")</f>
        <v/>
      </c>
      <c r="D1328" s="10" t="str">
        <f>IFERROR(__xludf.DUMMYFUNCTION("""COMPUTED_VALUE"""),"")</f>
        <v/>
      </c>
      <c r="E1328" s="10" t="str">
        <f>IFERROR(__xludf.DUMMYFUNCTION("""COMPUTED_VALUE"""),"")</f>
        <v/>
      </c>
      <c r="F1328" s="10" t="str">
        <f>IFERROR(__xludf.DUMMYFUNCTION("""COMPUTED_VALUE"""),"")</f>
        <v/>
      </c>
      <c r="G1328" s="10" t="str">
        <f>IFERROR(__xludf.DUMMYFUNCTION("""COMPUTED_VALUE"""),"")</f>
        <v/>
      </c>
      <c r="H1328" s="10" t="str">
        <f>IFERROR(__xludf.DUMMYFUNCTION("""COMPUTED_VALUE"""),"")</f>
        <v/>
      </c>
      <c r="I1328" s="10" t="str">
        <f>IFERROR(__xludf.DUMMYFUNCTION("""COMPUTED_VALUE"""),"")</f>
        <v/>
      </c>
    </row>
    <row r="1329">
      <c r="A1329" s="10" t="str">
        <f>IFERROR(__xludf.DUMMYFUNCTION("""COMPUTED_VALUE"""),"")</f>
        <v/>
      </c>
      <c r="B1329" s="10" t="str">
        <f>IFERROR(__xludf.DUMMYFUNCTION("""COMPUTED_VALUE"""),"")</f>
        <v/>
      </c>
      <c r="C1329" s="10" t="str">
        <f>IFERROR(__xludf.DUMMYFUNCTION("""COMPUTED_VALUE"""),"")</f>
        <v/>
      </c>
      <c r="D1329" s="10" t="str">
        <f>IFERROR(__xludf.DUMMYFUNCTION("""COMPUTED_VALUE"""),"")</f>
        <v/>
      </c>
      <c r="E1329" s="10" t="str">
        <f>IFERROR(__xludf.DUMMYFUNCTION("""COMPUTED_VALUE"""),"")</f>
        <v/>
      </c>
      <c r="F1329" s="10" t="str">
        <f>IFERROR(__xludf.DUMMYFUNCTION("""COMPUTED_VALUE"""),"")</f>
        <v/>
      </c>
      <c r="G1329" s="10" t="str">
        <f>IFERROR(__xludf.DUMMYFUNCTION("""COMPUTED_VALUE"""),"")</f>
        <v/>
      </c>
      <c r="H1329" s="10" t="str">
        <f>IFERROR(__xludf.DUMMYFUNCTION("""COMPUTED_VALUE"""),"")</f>
        <v/>
      </c>
      <c r="I1329" s="10" t="str">
        <f>IFERROR(__xludf.DUMMYFUNCTION("""COMPUTED_VALUE"""),"")</f>
        <v/>
      </c>
    </row>
    <row r="1330">
      <c r="A1330" s="10" t="str">
        <f>IFERROR(__xludf.DUMMYFUNCTION("""COMPUTED_VALUE"""),"")</f>
        <v/>
      </c>
      <c r="B1330" s="10" t="str">
        <f>IFERROR(__xludf.DUMMYFUNCTION("""COMPUTED_VALUE"""),"")</f>
        <v/>
      </c>
      <c r="C1330" s="10" t="str">
        <f>IFERROR(__xludf.DUMMYFUNCTION("""COMPUTED_VALUE"""),"")</f>
        <v/>
      </c>
      <c r="D1330" s="10" t="str">
        <f>IFERROR(__xludf.DUMMYFUNCTION("""COMPUTED_VALUE"""),"")</f>
        <v/>
      </c>
      <c r="E1330" s="10" t="str">
        <f>IFERROR(__xludf.DUMMYFUNCTION("""COMPUTED_VALUE"""),"")</f>
        <v/>
      </c>
      <c r="F1330" s="10" t="str">
        <f>IFERROR(__xludf.DUMMYFUNCTION("""COMPUTED_VALUE"""),"")</f>
        <v/>
      </c>
      <c r="G1330" s="10" t="str">
        <f>IFERROR(__xludf.DUMMYFUNCTION("""COMPUTED_VALUE"""),"")</f>
        <v/>
      </c>
      <c r="H1330" s="10" t="str">
        <f>IFERROR(__xludf.DUMMYFUNCTION("""COMPUTED_VALUE"""),"")</f>
        <v/>
      </c>
      <c r="I1330" s="10" t="str">
        <f>IFERROR(__xludf.DUMMYFUNCTION("""COMPUTED_VALUE"""),"")</f>
        <v/>
      </c>
    </row>
    <row r="1331">
      <c r="A1331" s="10" t="str">
        <f>IFERROR(__xludf.DUMMYFUNCTION("""COMPUTED_VALUE"""),"")</f>
        <v/>
      </c>
      <c r="B1331" s="10" t="str">
        <f>IFERROR(__xludf.DUMMYFUNCTION("""COMPUTED_VALUE"""),"")</f>
        <v/>
      </c>
      <c r="C1331" s="10" t="str">
        <f>IFERROR(__xludf.DUMMYFUNCTION("""COMPUTED_VALUE"""),"")</f>
        <v/>
      </c>
      <c r="D1331" s="10" t="str">
        <f>IFERROR(__xludf.DUMMYFUNCTION("""COMPUTED_VALUE"""),"")</f>
        <v/>
      </c>
      <c r="E1331" s="10" t="str">
        <f>IFERROR(__xludf.DUMMYFUNCTION("""COMPUTED_VALUE"""),"")</f>
        <v/>
      </c>
      <c r="F1331" s="10" t="str">
        <f>IFERROR(__xludf.DUMMYFUNCTION("""COMPUTED_VALUE"""),"")</f>
        <v/>
      </c>
      <c r="G1331" s="10" t="str">
        <f>IFERROR(__xludf.DUMMYFUNCTION("""COMPUTED_VALUE"""),"")</f>
        <v/>
      </c>
      <c r="H1331" s="10" t="str">
        <f>IFERROR(__xludf.DUMMYFUNCTION("""COMPUTED_VALUE"""),"")</f>
        <v/>
      </c>
      <c r="I1331" s="10" t="str">
        <f>IFERROR(__xludf.DUMMYFUNCTION("""COMPUTED_VALUE"""),"")</f>
        <v/>
      </c>
    </row>
    <row r="1332">
      <c r="A1332" s="10" t="str">
        <f>IFERROR(__xludf.DUMMYFUNCTION("""COMPUTED_VALUE"""),"")</f>
        <v/>
      </c>
      <c r="B1332" s="10" t="str">
        <f>IFERROR(__xludf.DUMMYFUNCTION("""COMPUTED_VALUE"""),"")</f>
        <v/>
      </c>
      <c r="C1332" s="10" t="str">
        <f>IFERROR(__xludf.DUMMYFUNCTION("""COMPUTED_VALUE"""),"")</f>
        <v/>
      </c>
      <c r="D1332" s="10" t="str">
        <f>IFERROR(__xludf.DUMMYFUNCTION("""COMPUTED_VALUE"""),"")</f>
        <v/>
      </c>
      <c r="E1332" s="10" t="str">
        <f>IFERROR(__xludf.DUMMYFUNCTION("""COMPUTED_VALUE"""),"")</f>
        <v/>
      </c>
      <c r="F1332" s="10" t="str">
        <f>IFERROR(__xludf.DUMMYFUNCTION("""COMPUTED_VALUE"""),"")</f>
        <v/>
      </c>
      <c r="G1332" s="10" t="str">
        <f>IFERROR(__xludf.DUMMYFUNCTION("""COMPUTED_VALUE"""),"")</f>
        <v/>
      </c>
      <c r="H1332" s="10" t="str">
        <f>IFERROR(__xludf.DUMMYFUNCTION("""COMPUTED_VALUE"""),"")</f>
        <v/>
      </c>
      <c r="I1332" s="10" t="str">
        <f>IFERROR(__xludf.DUMMYFUNCTION("""COMPUTED_VALUE"""),"")</f>
        <v/>
      </c>
    </row>
    <row r="1333">
      <c r="A1333" s="10" t="str">
        <f>IFERROR(__xludf.DUMMYFUNCTION("""COMPUTED_VALUE"""),"")</f>
        <v/>
      </c>
      <c r="B1333" s="10" t="str">
        <f>IFERROR(__xludf.DUMMYFUNCTION("""COMPUTED_VALUE"""),"")</f>
        <v/>
      </c>
      <c r="C1333" s="10" t="str">
        <f>IFERROR(__xludf.DUMMYFUNCTION("""COMPUTED_VALUE"""),"")</f>
        <v/>
      </c>
      <c r="D1333" s="10" t="str">
        <f>IFERROR(__xludf.DUMMYFUNCTION("""COMPUTED_VALUE"""),"")</f>
        <v/>
      </c>
      <c r="E1333" s="10" t="str">
        <f>IFERROR(__xludf.DUMMYFUNCTION("""COMPUTED_VALUE"""),"")</f>
        <v/>
      </c>
      <c r="F1333" s="10" t="str">
        <f>IFERROR(__xludf.DUMMYFUNCTION("""COMPUTED_VALUE"""),"")</f>
        <v/>
      </c>
      <c r="G1333" s="10" t="str">
        <f>IFERROR(__xludf.DUMMYFUNCTION("""COMPUTED_VALUE"""),"")</f>
        <v/>
      </c>
      <c r="H1333" s="10" t="str">
        <f>IFERROR(__xludf.DUMMYFUNCTION("""COMPUTED_VALUE"""),"")</f>
        <v/>
      </c>
      <c r="I1333" s="10" t="str">
        <f>IFERROR(__xludf.DUMMYFUNCTION("""COMPUTED_VALUE"""),"")</f>
        <v/>
      </c>
    </row>
    <row r="1334">
      <c r="A1334" s="10" t="str">
        <f>IFERROR(__xludf.DUMMYFUNCTION("""COMPUTED_VALUE"""),"")</f>
        <v/>
      </c>
      <c r="B1334" s="10" t="str">
        <f>IFERROR(__xludf.DUMMYFUNCTION("""COMPUTED_VALUE"""),"")</f>
        <v/>
      </c>
      <c r="C1334" s="10" t="str">
        <f>IFERROR(__xludf.DUMMYFUNCTION("""COMPUTED_VALUE"""),"")</f>
        <v/>
      </c>
      <c r="D1334" s="10" t="str">
        <f>IFERROR(__xludf.DUMMYFUNCTION("""COMPUTED_VALUE"""),"")</f>
        <v/>
      </c>
      <c r="E1334" s="10" t="str">
        <f>IFERROR(__xludf.DUMMYFUNCTION("""COMPUTED_VALUE"""),"")</f>
        <v/>
      </c>
      <c r="F1334" s="10" t="str">
        <f>IFERROR(__xludf.DUMMYFUNCTION("""COMPUTED_VALUE"""),"")</f>
        <v/>
      </c>
      <c r="G1334" s="10" t="str">
        <f>IFERROR(__xludf.DUMMYFUNCTION("""COMPUTED_VALUE"""),"")</f>
        <v/>
      </c>
      <c r="H1334" s="10" t="str">
        <f>IFERROR(__xludf.DUMMYFUNCTION("""COMPUTED_VALUE"""),"")</f>
        <v/>
      </c>
      <c r="I1334" s="10" t="str">
        <f>IFERROR(__xludf.DUMMYFUNCTION("""COMPUTED_VALUE"""),"")</f>
        <v/>
      </c>
    </row>
    <row r="1335">
      <c r="A1335" s="10" t="str">
        <f>IFERROR(__xludf.DUMMYFUNCTION("""COMPUTED_VALUE"""),"")</f>
        <v/>
      </c>
      <c r="B1335" s="10" t="str">
        <f>IFERROR(__xludf.DUMMYFUNCTION("""COMPUTED_VALUE"""),"")</f>
        <v/>
      </c>
      <c r="C1335" s="10" t="str">
        <f>IFERROR(__xludf.DUMMYFUNCTION("""COMPUTED_VALUE"""),"")</f>
        <v/>
      </c>
      <c r="D1335" s="10" t="str">
        <f>IFERROR(__xludf.DUMMYFUNCTION("""COMPUTED_VALUE"""),"")</f>
        <v/>
      </c>
      <c r="E1335" s="10" t="str">
        <f>IFERROR(__xludf.DUMMYFUNCTION("""COMPUTED_VALUE"""),"")</f>
        <v/>
      </c>
      <c r="F1335" s="10" t="str">
        <f>IFERROR(__xludf.DUMMYFUNCTION("""COMPUTED_VALUE"""),"")</f>
        <v/>
      </c>
      <c r="G1335" s="10" t="str">
        <f>IFERROR(__xludf.DUMMYFUNCTION("""COMPUTED_VALUE"""),"")</f>
        <v/>
      </c>
      <c r="H1335" s="10" t="str">
        <f>IFERROR(__xludf.DUMMYFUNCTION("""COMPUTED_VALUE"""),"")</f>
        <v/>
      </c>
      <c r="I1335" s="10" t="str">
        <f>IFERROR(__xludf.DUMMYFUNCTION("""COMPUTED_VALUE"""),"")</f>
        <v/>
      </c>
    </row>
    <row r="1336">
      <c r="A1336" s="10" t="str">
        <f>IFERROR(__xludf.DUMMYFUNCTION("""COMPUTED_VALUE"""),"")</f>
        <v/>
      </c>
      <c r="B1336" s="10" t="str">
        <f>IFERROR(__xludf.DUMMYFUNCTION("""COMPUTED_VALUE"""),"")</f>
        <v/>
      </c>
      <c r="C1336" s="10" t="str">
        <f>IFERROR(__xludf.DUMMYFUNCTION("""COMPUTED_VALUE"""),"")</f>
        <v/>
      </c>
      <c r="D1336" s="10" t="str">
        <f>IFERROR(__xludf.DUMMYFUNCTION("""COMPUTED_VALUE"""),"")</f>
        <v/>
      </c>
      <c r="E1336" s="10" t="str">
        <f>IFERROR(__xludf.DUMMYFUNCTION("""COMPUTED_VALUE"""),"")</f>
        <v/>
      </c>
      <c r="F1336" s="10" t="str">
        <f>IFERROR(__xludf.DUMMYFUNCTION("""COMPUTED_VALUE"""),"")</f>
        <v/>
      </c>
      <c r="G1336" s="10" t="str">
        <f>IFERROR(__xludf.DUMMYFUNCTION("""COMPUTED_VALUE"""),"")</f>
        <v/>
      </c>
      <c r="H1336" s="10" t="str">
        <f>IFERROR(__xludf.DUMMYFUNCTION("""COMPUTED_VALUE"""),"")</f>
        <v/>
      </c>
      <c r="I1336" s="10" t="str">
        <f>IFERROR(__xludf.DUMMYFUNCTION("""COMPUTED_VALUE"""),"")</f>
        <v/>
      </c>
    </row>
    <row r="1337">
      <c r="A1337" s="10" t="str">
        <f>IFERROR(__xludf.DUMMYFUNCTION("""COMPUTED_VALUE"""),"")</f>
        <v/>
      </c>
      <c r="B1337" s="10" t="str">
        <f>IFERROR(__xludf.DUMMYFUNCTION("""COMPUTED_VALUE"""),"")</f>
        <v/>
      </c>
      <c r="C1337" s="10" t="str">
        <f>IFERROR(__xludf.DUMMYFUNCTION("""COMPUTED_VALUE"""),"")</f>
        <v/>
      </c>
      <c r="D1337" s="10" t="str">
        <f>IFERROR(__xludf.DUMMYFUNCTION("""COMPUTED_VALUE"""),"")</f>
        <v/>
      </c>
      <c r="E1337" s="10" t="str">
        <f>IFERROR(__xludf.DUMMYFUNCTION("""COMPUTED_VALUE"""),"")</f>
        <v/>
      </c>
      <c r="F1337" s="10" t="str">
        <f>IFERROR(__xludf.DUMMYFUNCTION("""COMPUTED_VALUE"""),"")</f>
        <v/>
      </c>
      <c r="G1337" s="10" t="str">
        <f>IFERROR(__xludf.DUMMYFUNCTION("""COMPUTED_VALUE"""),"")</f>
        <v/>
      </c>
      <c r="H1337" s="10" t="str">
        <f>IFERROR(__xludf.DUMMYFUNCTION("""COMPUTED_VALUE"""),"")</f>
        <v/>
      </c>
      <c r="I1337" s="10" t="str">
        <f>IFERROR(__xludf.DUMMYFUNCTION("""COMPUTED_VALUE"""),"")</f>
        <v/>
      </c>
    </row>
    <row r="1338">
      <c r="A1338" s="10" t="str">
        <f>IFERROR(__xludf.DUMMYFUNCTION("""COMPUTED_VALUE"""),"")</f>
        <v/>
      </c>
      <c r="B1338" s="10" t="str">
        <f>IFERROR(__xludf.DUMMYFUNCTION("""COMPUTED_VALUE"""),"")</f>
        <v/>
      </c>
      <c r="C1338" s="10" t="str">
        <f>IFERROR(__xludf.DUMMYFUNCTION("""COMPUTED_VALUE"""),"")</f>
        <v/>
      </c>
      <c r="D1338" s="10" t="str">
        <f>IFERROR(__xludf.DUMMYFUNCTION("""COMPUTED_VALUE"""),"")</f>
        <v/>
      </c>
      <c r="E1338" s="10" t="str">
        <f>IFERROR(__xludf.DUMMYFUNCTION("""COMPUTED_VALUE"""),"")</f>
        <v/>
      </c>
      <c r="F1338" s="10" t="str">
        <f>IFERROR(__xludf.DUMMYFUNCTION("""COMPUTED_VALUE"""),"")</f>
        <v/>
      </c>
      <c r="G1338" s="10" t="str">
        <f>IFERROR(__xludf.DUMMYFUNCTION("""COMPUTED_VALUE"""),"")</f>
        <v/>
      </c>
      <c r="H1338" s="10" t="str">
        <f>IFERROR(__xludf.DUMMYFUNCTION("""COMPUTED_VALUE"""),"")</f>
        <v/>
      </c>
      <c r="I1338" s="10" t="str">
        <f>IFERROR(__xludf.DUMMYFUNCTION("""COMPUTED_VALUE"""),"")</f>
        <v/>
      </c>
    </row>
    <row r="1339">
      <c r="A1339" s="10" t="str">
        <f>IFERROR(__xludf.DUMMYFUNCTION("""COMPUTED_VALUE"""),"")</f>
        <v/>
      </c>
      <c r="B1339" s="10" t="str">
        <f>IFERROR(__xludf.DUMMYFUNCTION("""COMPUTED_VALUE"""),"")</f>
        <v/>
      </c>
      <c r="C1339" s="10" t="str">
        <f>IFERROR(__xludf.DUMMYFUNCTION("""COMPUTED_VALUE"""),"")</f>
        <v/>
      </c>
      <c r="D1339" s="10" t="str">
        <f>IFERROR(__xludf.DUMMYFUNCTION("""COMPUTED_VALUE"""),"")</f>
        <v/>
      </c>
      <c r="E1339" s="10" t="str">
        <f>IFERROR(__xludf.DUMMYFUNCTION("""COMPUTED_VALUE"""),"")</f>
        <v/>
      </c>
      <c r="F1339" s="10" t="str">
        <f>IFERROR(__xludf.DUMMYFUNCTION("""COMPUTED_VALUE"""),"")</f>
        <v/>
      </c>
      <c r="G1339" s="10" t="str">
        <f>IFERROR(__xludf.DUMMYFUNCTION("""COMPUTED_VALUE"""),"")</f>
        <v/>
      </c>
      <c r="H1339" s="10" t="str">
        <f>IFERROR(__xludf.DUMMYFUNCTION("""COMPUTED_VALUE"""),"")</f>
        <v/>
      </c>
      <c r="I1339" s="10" t="str">
        <f>IFERROR(__xludf.DUMMYFUNCTION("""COMPUTED_VALUE"""),"")</f>
        <v/>
      </c>
    </row>
    <row r="1340">
      <c r="A1340" s="10" t="str">
        <f>IFERROR(__xludf.DUMMYFUNCTION("""COMPUTED_VALUE"""),"")</f>
        <v/>
      </c>
      <c r="B1340" s="10" t="str">
        <f>IFERROR(__xludf.DUMMYFUNCTION("""COMPUTED_VALUE"""),"")</f>
        <v/>
      </c>
      <c r="C1340" s="10" t="str">
        <f>IFERROR(__xludf.DUMMYFUNCTION("""COMPUTED_VALUE"""),"")</f>
        <v/>
      </c>
      <c r="D1340" s="10" t="str">
        <f>IFERROR(__xludf.DUMMYFUNCTION("""COMPUTED_VALUE"""),"")</f>
        <v/>
      </c>
      <c r="E1340" s="10" t="str">
        <f>IFERROR(__xludf.DUMMYFUNCTION("""COMPUTED_VALUE"""),"")</f>
        <v/>
      </c>
      <c r="F1340" s="10" t="str">
        <f>IFERROR(__xludf.DUMMYFUNCTION("""COMPUTED_VALUE"""),"")</f>
        <v/>
      </c>
      <c r="G1340" s="10" t="str">
        <f>IFERROR(__xludf.DUMMYFUNCTION("""COMPUTED_VALUE"""),"")</f>
        <v/>
      </c>
      <c r="H1340" s="10" t="str">
        <f>IFERROR(__xludf.DUMMYFUNCTION("""COMPUTED_VALUE"""),"")</f>
        <v/>
      </c>
      <c r="I1340" s="10" t="str">
        <f>IFERROR(__xludf.DUMMYFUNCTION("""COMPUTED_VALUE"""),"")</f>
        <v/>
      </c>
    </row>
    <row r="1341">
      <c r="A1341" s="10" t="str">
        <f>IFERROR(__xludf.DUMMYFUNCTION("""COMPUTED_VALUE"""),"")</f>
        <v/>
      </c>
      <c r="B1341" s="10" t="str">
        <f>IFERROR(__xludf.DUMMYFUNCTION("""COMPUTED_VALUE"""),"")</f>
        <v/>
      </c>
      <c r="C1341" s="10" t="str">
        <f>IFERROR(__xludf.DUMMYFUNCTION("""COMPUTED_VALUE"""),"")</f>
        <v/>
      </c>
      <c r="D1341" s="10" t="str">
        <f>IFERROR(__xludf.DUMMYFUNCTION("""COMPUTED_VALUE"""),"")</f>
        <v/>
      </c>
      <c r="E1341" s="10" t="str">
        <f>IFERROR(__xludf.DUMMYFUNCTION("""COMPUTED_VALUE"""),"")</f>
        <v/>
      </c>
      <c r="F1341" s="10" t="str">
        <f>IFERROR(__xludf.DUMMYFUNCTION("""COMPUTED_VALUE"""),"")</f>
        <v/>
      </c>
      <c r="G1341" s="10" t="str">
        <f>IFERROR(__xludf.DUMMYFUNCTION("""COMPUTED_VALUE"""),"")</f>
        <v/>
      </c>
      <c r="H1341" s="10" t="str">
        <f>IFERROR(__xludf.DUMMYFUNCTION("""COMPUTED_VALUE"""),"")</f>
        <v/>
      </c>
      <c r="I1341" s="10" t="str">
        <f>IFERROR(__xludf.DUMMYFUNCTION("""COMPUTED_VALUE"""),"")</f>
        <v/>
      </c>
    </row>
    <row r="1342">
      <c r="A1342" s="10" t="str">
        <f>IFERROR(__xludf.DUMMYFUNCTION("""COMPUTED_VALUE"""),"")</f>
        <v/>
      </c>
      <c r="B1342" s="10" t="str">
        <f>IFERROR(__xludf.DUMMYFUNCTION("""COMPUTED_VALUE"""),"")</f>
        <v/>
      </c>
      <c r="C1342" s="10" t="str">
        <f>IFERROR(__xludf.DUMMYFUNCTION("""COMPUTED_VALUE"""),"")</f>
        <v/>
      </c>
      <c r="D1342" s="10" t="str">
        <f>IFERROR(__xludf.DUMMYFUNCTION("""COMPUTED_VALUE"""),"")</f>
        <v/>
      </c>
      <c r="E1342" s="10" t="str">
        <f>IFERROR(__xludf.DUMMYFUNCTION("""COMPUTED_VALUE"""),"")</f>
        <v/>
      </c>
      <c r="F1342" s="10" t="str">
        <f>IFERROR(__xludf.DUMMYFUNCTION("""COMPUTED_VALUE"""),"")</f>
        <v/>
      </c>
      <c r="G1342" s="10" t="str">
        <f>IFERROR(__xludf.DUMMYFUNCTION("""COMPUTED_VALUE"""),"")</f>
        <v/>
      </c>
      <c r="H1342" s="10" t="str">
        <f>IFERROR(__xludf.DUMMYFUNCTION("""COMPUTED_VALUE"""),"")</f>
        <v/>
      </c>
      <c r="I1342" s="10" t="str">
        <f>IFERROR(__xludf.DUMMYFUNCTION("""COMPUTED_VALUE"""),"")</f>
        <v/>
      </c>
    </row>
    <row r="1343">
      <c r="A1343" s="10" t="str">
        <f>IFERROR(__xludf.DUMMYFUNCTION("""COMPUTED_VALUE"""),"")</f>
        <v/>
      </c>
      <c r="B1343" s="10" t="str">
        <f>IFERROR(__xludf.DUMMYFUNCTION("""COMPUTED_VALUE"""),"")</f>
        <v/>
      </c>
      <c r="C1343" s="10" t="str">
        <f>IFERROR(__xludf.DUMMYFUNCTION("""COMPUTED_VALUE"""),"")</f>
        <v/>
      </c>
      <c r="D1343" s="10" t="str">
        <f>IFERROR(__xludf.DUMMYFUNCTION("""COMPUTED_VALUE"""),"")</f>
        <v/>
      </c>
      <c r="E1343" s="10" t="str">
        <f>IFERROR(__xludf.DUMMYFUNCTION("""COMPUTED_VALUE"""),"")</f>
        <v/>
      </c>
      <c r="F1343" s="10" t="str">
        <f>IFERROR(__xludf.DUMMYFUNCTION("""COMPUTED_VALUE"""),"")</f>
        <v/>
      </c>
      <c r="G1343" s="10" t="str">
        <f>IFERROR(__xludf.DUMMYFUNCTION("""COMPUTED_VALUE"""),"")</f>
        <v/>
      </c>
      <c r="H1343" s="10" t="str">
        <f>IFERROR(__xludf.DUMMYFUNCTION("""COMPUTED_VALUE"""),"")</f>
        <v/>
      </c>
      <c r="I1343" s="10" t="str">
        <f>IFERROR(__xludf.DUMMYFUNCTION("""COMPUTED_VALUE"""),"")</f>
        <v/>
      </c>
    </row>
    <row r="1344">
      <c r="A1344" s="10" t="str">
        <f>IFERROR(__xludf.DUMMYFUNCTION("""COMPUTED_VALUE"""),"")</f>
        <v/>
      </c>
      <c r="B1344" s="10" t="str">
        <f>IFERROR(__xludf.DUMMYFUNCTION("""COMPUTED_VALUE"""),"")</f>
        <v/>
      </c>
      <c r="C1344" s="10" t="str">
        <f>IFERROR(__xludf.DUMMYFUNCTION("""COMPUTED_VALUE"""),"")</f>
        <v/>
      </c>
      <c r="D1344" s="10" t="str">
        <f>IFERROR(__xludf.DUMMYFUNCTION("""COMPUTED_VALUE"""),"")</f>
        <v/>
      </c>
      <c r="E1344" s="10" t="str">
        <f>IFERROR(__xludf.DUMMYFUNCTION("""COMPUTED_VALUE"""),"")</f>
        <v/>
      </c>
      <c r="F1344" s="10" t="str">
        <f>IFERROR(__xludf.DUMMYFUNCTION("""COMPUTED_VALUE"""),"")</f>
        <v/>
      </c>
      <c r="G1344" s="10" t="str">
        <f>IFERROR(__xludf.DUMMYFUNCTION("""COMPUTED_VALUE"""),"")</f>
        <v/>
      </c>
      <c r="H1344" s="10" t="str">
        <f>IFERROR(__xludf.DUMMYFUNCTION("""COMPUTED_VALUE"""),"")</f>
        <v/>
      </c>
      <c r="I1344" s="10" t="str">
        <f>IFERROR(__xludf.DUMMYFUNCTION("""COMPUTED_VALUE"""),"")</f>
        <v/>
      </c>
    </row>
    <row r="1345">
      <c r="A1345" s="10" t="str">
        <f>IFERROR(__xludf.DUMMYFUNCTION("""COMPUTED_VALUE"""),"")</f>
        <v/>
      </c>
      <c r="B1345" s="10" t="str">
        <f>IFERROR(__xludf.DUMMYFUNCTION("""COMPUTED_VALUE"""),"")</f>
        <v/>
      </c>
      <c r="C1345" s="10" t="str">
        <f>IFERROR(__xludf.DUMMYFUNCTION("""COMPUTED_VALUE"""),"")</f>
        <v/>
      </c>
      <c r="D1345" s="10" t="str">
        <f>IFERROR(__xludf.DUMMYFUNCTION("""COMPUTED_VALUE"""),"")</f>
        <v/>
      </c>
      <c r="E1345" s="10" t="str">
        <f>IFERROR(__xludf.DUMMYFUNCTION("""COMPUTED_VALUE"""),"")</f>
        <v/>
      </c>
      <c r="F1345" s="10" t="str">
        <f>IFERROR(__xludf.DUMMYFUNCTION("""COMPUTED_VALUE"""),"")</f>
        <v/>
      </c>
      <c r="G1345" s="10" t="str">
        <f>IFERROR(__xludf.DUMMYFUNCTION("""COMPUTED_VALUE"""),"")</f>
        <v/>
      </c>
      <c r="H1345" s="10" t="str">
        <f>IFERROR(__xludf.DUMMYFUNCTION("""COMPUTED_VALUE"""),"")</f>
        <v/>
      </c>
      <c r="I1345" s="10" t="str">
        <f>IFERROR(__xludf.DUMMYFUNCTION("""COMPUTED_VALUE"""),"")</f>
        <v/>
      </c>
    </row>
    <row r="1346">
      <c r="A1346" s="10" t="str">
        <f>IFERROR(__xludf.DUMMYFUNCTION("""COMPUTED_VALUE"""),"")</f>
        <v/>
      </c>
      <c r="B1346" s="10" t="str">
        <f>IFERROR(__xludf.DUMMYFUNCTION("""COMPUTED_VALUE"""),"")</f>
        <v/>
      </c>
      <c r="C1346" s="10" t="str">
        <f>IFERROR(__xludf.DUMMYFUNCTION("""COMPUTED_VALUE"""),"")</f>
        <v/>
      </c>
      <c r="D1346" s="10" t="str">
        <f>IFERROR(__xludf.DUMMYFUNCTION("""COMPUTED_VALUE"""),"")</f>
        <v/>
      </c>
      <c r="E1346" s="10" t="str">
        <f>IFERROR(__xludf.DUMMYFUNCTION("""COMPUTED_VALUE"""),"")</f>
        <v/>
      </c>
      <c r="F1346" s="10" t="str">
        <f>IFERROR(__xludf.DUMMYFUNCTION("""COMPUTED_VALUE"""),"")</f>
        <v/>
      </c>
      <c r="G1346" s="10" t="str">
        <f>IFERROR(__xludf.DUMMYFUNCTION("""COMPUTED_VALUE"""),"")</f>
        <v/>
      </c>
      <c r="H1346" s="10" t="str">
        <f>IFERROR(__xludf.DUMMYFUNCTION("""COMPUTED_VALUE"""),"")</f>
        <v/>
      </c>
      <c r="I1346" s="10" t="str">
        <f>IFERROR(__xludf.DUMMYFUNCTION("""COMPUTED_VALUE"""),"")</f>
        <v/>
      </c>
    </row>
    <row r="1347">
      <c r="A1347" s="10" t="str">
        <f>IFERROR(__xludf.DUMMYFUNCTION("""COMPUTED_VALUE"""),"")</f>
        <v/>
      </c>
      <c r="B1347" s="10" t="str">
        <f>IFERROR(__xludf.DUMMYFUNCTION("""COMPUTED_VALUE"""),"")</f>
        <v/>
      </c>
      <c r="C1347" s="10" t="str">
        <f>IFERROR(__xludf.DUMMYFUNCTION("""COMPUTED_VALUE"""),"")</f>
        <v/>
      </c>
      <c r="D1347" s="10" t="str">
        <f>IFERROR(__xludf.DUMMYFUNCTION("""COMPUTED_VALUE"""),"")</f>
        <v/>
      </c>
      <c r="E1347" s="10" t="str">
        <f>IFERROR(__xludf.DUMMYFUNCTION("""COMPUTED_VALUE"""),"")</f>
        <v/>
      </c>
      <c r="F1347" s="10" t="str">
        <f>IFERROR(__xludf.DUMMYFUNCTION("""COMPUTED_VALUE"""),"")</f>
        <v/>
      </c>
      <c r="G1347" s="10" t="str">
        <f>IFERROR(__xludf.DUMMYFUNCTION("""COMPUTED_VALUE"""),"")</f>
        <v/>
      </c>
      <c r="H1347" s="10" t="str">
        <f>IFERROR(__xludf.DUMMYFUNCTION("""COMPUTED_VALUE"""),"")</f>
        <v/>
      </c>
      <c r="I1347" s="10" t="str">
        <f>IFERROR(__xludf.DUMMYFUNCTION("""COMPUTED_VALUE"""),"")</f>
        <v/>
      </c>
    </row>
    <row r="1348">
      <c r="A1348" s="10" t="str">
        <f>IFERROR(__xludf.DUMMYFUNCTION("""COMPUTED_VALUE"""),"")</f>
        <v/>
      </c>
      <c r="B1348" s="10" t="str">
        <f>IFERROR(__xludf.DUMMYFUNCTION("""COMPUTED_VALUE"""),"")</f>
        <v/>
      </c>
      <c r="C1348" s="10" t="str">
        <f>IFERROR(__xludf.DUMMYFUNCTION("""COMPUTED_VALUE"""),"")</f>
        <v/>
      </c>
      <c r="D1348" s="10" t="str">
        <f>IFERROR(__xludf.DUMMYFUNCTION("""COMPUTED_VALUE"""),"")</f>
        <v/>
      </c>
      <c r="E1348" s="10" t="str">
        <f>IFERROR(__xludf.DUMMYFUNCTION("""COMPUTED_VALUE"""),"")</f>
        <v/>
      </c>
      <c r="F1348" s="10" t="str">
        <f>IFERROR(__xludf.DUMMYFUNCTION("""COMPUTED_VALUE"""),"")</f>
        <v/>
      </c>
      <c r="G1348" s="10" t="str">
        <f>IFERROR(__xludf.DUMMYFUNCTION("""COMPUTED_VALUE"""),"")</f>
        <v/>
      </c>
      <c r="H1348" s="10" t="str">
        <f>IFERROR(__xludf.DUMMYFUNCTION("""COMPUTED_VALUE"""),"")</f>
        <v/>
      </c>
      <c r="I1348" s="10" t="str">
        <f>IFERROR(__xludf.DUMMYFUNCTION("""COMPUTED_VALUE"""),"")</f>
        <v/>
      </c>
    </row>
    <row r="1349">
      <c r="A1349" s="10" t="str">
        <f>IFERROR(__xludf.DUMMYFUNCTION("""COMPUTED_VALUE"""),"")</f>
        <v/>
      </c>
      <c r="B1349" s="10" t="str">
        <f>IFERROR(__xludf.DUMMYFUNCTION("""COMPUTED_VALUE"""),"")</f>
        <v/>
      </c>
      <c r="C1349" s="10" t="str">
        <f>IFERROR(__xludf.DUMMYFUNCTION("""COMPUTED_VALUE"""),"")</f>
        <v/>
      </c>
      <c r="D1349" s="10" t="str">
        <f>IFERROR(__xludf.DUMMYFUNCTION("""COMPUTED_VALUE"""),"")</f>
        <v/>
      </c>
      <c r="E1349" s="10" t="str">
        <f>IFERROR(__xludf.DUMMYFUNCTION("""COMPUTED_VALUE"""),"")</f>
        <v/>
      </c>
      <c r="F1349" s="10" t="str">
        <f>IFERROR(__xludf.DUMMYFUNCTION("""COMPUTED_VALUE"""),"")</f>
        <v/>
      </c>
      <c r="G1349" s="10" t="str">
        <f>IFERROR(__xludf.DUMMYFUNCTION("""COMPUTED_VALUE"""),"")</f>
        <v/>
      </c>
      <c r="H1349" s="10" t="str">
        <f>IFERROR(__xludf.DUMMYFUNCTION("""COMPUTED_VALUE"""),"")</f>
        <v/>
      </c>
      <c r="I1349" s="10" t="str">
        <f>IFERROR(__xludf.DUMMYFUNCTION("""COMPUTED_VALUE"""),"")</f>
        <v/>
      </c>
    </row>
    <row r="1350">
      <c r="A1350" s="10" t="str">
        <f>IFERROR(__xludf.DUMMYFUNCTION("""COMPUTED_VALUE"""),"")</f>
        <v/>
      </c>
      <c r="B1350" s="10" t="str">
        <f>IFERROR(__xludf.DUMMYFUNCTION("""COMPUTED_VALUE"""),"")</f>
        <v/>
      </c>
      <c r="C1350" s="10" t="str">
        <f>IFERROR(__xludf.DUMMYFUNCTION("""COMPUTED_VALUE"""),"")</f>
        <v/>
      </c>
      <c r="D1350" s="10" t="str">
        <f>IFERROR(__xludf.DUMMYFUNCTION("""COMPUTED_VALUE"""),"")</f>
        <v/>
      </c>
      <c r="E1350" s="10" t="str">
        <f>IFERROR(__xludf.DUMMYFUNCTION("""COMPUTED_VALUE"""),"")</f>
        <v/>
      </c>
      <c r="F1350" s="10" t="str">
        <f>IFERROR(__xludf.DUMMYFUNCTION("""COMPUTED_VALUE"""),"")</f>
        <v/>
      </c>
      <c r="G1350" s="10" t="str">
        <f>IFERROR(__xludf.DUMMYFUNCTION("""COMPUTED_VALUE"""),"")</f>
        <v/>
      </c>
      <c r="H1350" s="10" t="str">
        <f>IFERROR(__xludf.DUMMYFUNCTION("""COMPUTED_VALUE"""),"")</f>
        <v/>
      </c>
      <c r="I1350" s="10" t="str">
        <f>IFERROR(__xludf.DUMMYFUNCTION("""COMPUTED_VALUE"""),"")</f>
        <v/>
      </c>
    </row>
    <row r="1351">
      <c r="A1351" s="10" t="str">
        <f>IFERROR(__xludf.DUMMYFUNCTION("""COMPUTED_VALUE"""),"")</f>
        <v/>
      </c>
      <c r="B1351" s="10" t="str">
        <f>IFERROR(__xludf.DUMMYFUNCTION("""COMPUTED_VALUE"""),"")</f>
        <v/>
      </c>
      <c r="C1351" s="10" t="str">
        <f>IFERROR(__xludf.DUMMYFUNCTION("""COMPUTED_VALUE"""),"")</f>
        <v/>
      </c>
      <c r="D1351" s="10" t="str">
        <f>IFERROR(__xludf.DUMMYFUNCTION("""COMPUTED_VALUE"""),"")</f>
        <v/>
      </c>
      <c r="E1351" s="10" t="str">
        <f>IFERROR(__xludf.DUMMYFUNCTION("""COMPUTED_VALUE"""),"")</f>
        <v/>
      </c>
      <c r="F1351" s="10" t="str">
        <f>IFERROR(__xludf.DUMMYFUNCTION("""COMPUTED_VALUE"""),"")</f>
        <v/>
      </c>
      <c r="G1351" s="10" t="str">
        <f>IFERROR(__xludf.DUMMYFUNCTION("""COMPUTED_VALUE"""),"")</f>
        <v/>
      </c>
      <c r="H1351" s="10" t="str">
        <f>IFERROR(__xludf.DUMMYFUNCTION("""COMPUTED_VALUE"""),"")</f>
        <v/>
      </c>
      <c r="I1351" s="10" t="str">
        <f>IFERROR(__xludf.DUMMYFUNCTION("""COMPUTED_VALUE"""),"")</f>
        <v/>
      </c>
    </row>
    <row r="1352">
      <c r="A1352" s="10" t="str">
        <f>IFERROR(__xludf.DUMMYFUNCTION("""COMPUTED_VALUE"""),"")</f>
        <v/>
      </c>
      <c r="B1352" s="10" t="str">
        <f>IFERROR(__xludf.DUMMYFUNCTION("""COMPUTED_VALUE"""),"")</f>
        <v/>
      </c>
      <c r="C1352" s="10" t="str">
        <f>IFERROR(__xludf.DUMMYFUNCTION("""COMPUTED_VALUE"""),"")</f>
        <v/>
      </c>
      <c r="D1352" s="10" t="str">
        <f>IFERROR(__xludf.DUMMYFUNCTION("""COMPUTED_VALUE"""),"")</f>
        <v/>
      </c>
      <c r="E1352" s="10" t="str">
        <f>IFERROR(__xludf.DUMMYFUNCTION("""COMPUTED_VALUE"""),"")</f>
        <v/>
      </c>
      <c r="F1352" s="10" t="str">
        <f>IFERROR(__xludf.DUMMYFUNCTION("""COMPUTED_VALUE"""),"")</f>
        <v/>
      </c>
      <c r="G1352" s="10" t="str">
        <f>IFERROR(__xludf.DUMMYFUNCTION("""COMPUTED_VALUE"""),"")</f>
        <v/>
      </c>
      <c r="H1352" s="10" t="str">
        <f>IFERROR(__xludf.DUMMYFUNCTION("""COMPUTED_VALUE"""),"")</f>
        <v/>
      </c>
      <c r="I1352" s="10" t="str">
        <f>IFERROR(__xludf.DUMMYFUNCTION("""COMPUTED_VALUE"""),"")</f>
        <v/>
      </c>
    </row>
    <row r="1353">
      <c r="A1353" s="10" t="str">
        <f>IFERROR(__xludf.DUMMYFUNCTION("""COMPUTED_VALUE"""),"")</f>
        <v/>
      </c>
      <c r="B1353" s="10" t="str">
        <f>IFERROR(__xludf.DUMMYFUNCTION("""COMPUTED_VALUE"""),"")</f>
        <v/>
      </c>
      <c r="C1353" s="10" t="str">
        <f>IFERROR(__xludf.DUMMYFUNCTION("""COMPUTED_VALUE"""),"")</f>
        <v/>
      </c>
      <c r="D1353" s="10" t="str">
        <f>IFERROR(__xludf.DUMMYFUNCTION("""COMPUTED_VALUE"""),"")</f>
        <v/>
      </c>
      <c r="E1353" s="10" t="str">
        <f>IFERROR(__xludf.DUMMYFUNCTION("""COMPUTED_VALUE"""),"")</f>
        <v/>
      </c>
      <c r="F1353" s="10" t="str">
        <f>IFERROR(__xludf.DUMMYFUNCTION("""COMPUTED_VALUE"""),"")</f>
        <v/>
      </c>
      <c r="G1353" s="10" t="str">
        <f>IFERROR(__xludf.DUMMYFUNCTION("""COMPUTED_VALUE"""),"")</f>
        <v/>
      </c>
      <c r="H1353" s="10" t="str">
        <f>IFERROR(__xludf.DUMMYFUNCTION("""COMPUTED_VALUE"""),"")</f>
        <v/>
      </c>
      <c r="I1353" s="10" t="str">
        <f>IFERROR(__xludf.DUMMYFUNCTION("""COMPUTED_VALUE"""),"")</f>
        <v/>
      </c>
    </row>
    <row r="1354">
      <c r="A1354" s="10" t="str">
        <f>IFERROR(__xludf.DUMMYFUNCTION("""COMPUTED_VALUE"""),"")</f>
        <v/>
      </c>
      <c r="B1354" s="10" t="str">
        <f>IFERROR(__xludf.DUMMYFUNCTION("""COMPUTED_VALUE"""),"")</f>
        <v/>
      </c>
      <c r="C1354" s="10" t="str">
        <f>IFERROR(__xludf.DUMMYFUNCTION("""COMPUTED_VALUE"""),"")</f>
        <v/>
      </c>
      <c r="D1354" s="10" t="str">
        <f>IFERROR(__xludf.DUMMYFUNCTION("""COMPUTED_VALUE"""),"")</f>
        <v/>
      </c>
      <c r="E1354" s="10" t="str">
        <f>IFERROR(__xludf.DUMMYFUNCTION("""COMPUTED_VALUE"""),"")</f>
        <v/>
      </c>
      <c r="F1354" s="10" t="str">
        <f>IFERROR(__xludf.DUMMYFUNCTION("""COMPUTED_VALUE"""),"")</f>
        <v/>
      </c>
      <c r="G1354" s="10" t="str">
        <f>IFERROR(__xludf.DUMMYFUNCTION("""COMPUTED_VALUE"""),"")</f>
        <v/>
      </c>
      <c r="H1354" s="10" t="str">
        <f>IFERROR(__xludf.DUMMYFUNCTION("""COMPUTED_VALUE"""),"")</f>
        <v/>
      </c>
      <c r="I1354" s="10" t="str">
        <f>IFERROR(__xludf.DUMMYFUNCTION("""COMPUTED_VALUE"""),"")</f>
        <v/>
      </c>
    </row>
    <row r="1355">
      <c r="A1355" s="10" t="str">
        <f>IFERROR(__xludf.DUMMYFUNCTION("""COMPUTED_VALUE"""),"")</f>
        <v/>
      </c>
      <c r="B1355" s="10" t="str">
        <f>IFERROR(__xludf.DUMMYFUNCTION("""COMPUTED_VALUE"""),"")</f>
        <v/>
      </c>
      <c r="C1355" s="10" t="str">
        <f>IFERROR(__xludf.DUMMYFUNCTION("""COMPUTED_VALUE"""),"")</f>
        <v/>
      </c>
      <c r="D1355" s="10" t="str">
        <f>IFERROR(__xludf.DUMMYFUNCTION("""COMPUTED_VALUE"""),"")</f>
        <v/>
      </c>
      <c r="E1355" s="10" t="str">
        <f>IFERROR(__xludf.DUMMYFUNCTION("""COMPUTED_VALUE"""),"")</f>
        <v/>
      </c>
      <c r="F1355" s="10" t="str">
        <f>IFERROR(__xludf.DUMMYFUNCTION("""COMPUTED_VALUE"""),"")</f>
        <v/>
      </c>
      <c r="G1355" s="10" t="str">
        <f>IFERROR(__xludf.DUMMYFUNCTION("""COMPUTED_VALUE"""),"")</f>
        <v/>
      </c>
      <c r="H1355" s="10" t="str">
        <f>IFERROR(__xludf.DUMMYFUNCTION("""COMPUTED_VALUE"""),"")</f>
        <v/>
      </c>
      <c r="I1355" s="10" t="str">
        <f>IFERROR(__xludf.DUMMYFUNCTION("""COMPUTED_VALUE"""),"")</f>
        <v/>
      </c>
    </row>
    <row r="1356">
      <c r="A1356" s="10" t="str">
        <f>IFERROR(__xludf.DUMMYFUNCTION("""COMPUTED_VALUE"""),"")</f>
        <v/>
      </c>
      <c r="B1356" s="10" t="str">
        <f>IFERROR(__xludf.DUMMYFUNCTION("""COMPUTED_VALUE"""),"")</f>
        <v/>
      </c>
      <c r="C1356" s="10" t="str">
        <f>IFERROR(__xludf.DUMMYFUNCTION("""COMPUTED_VALUE"""),"")</f>
        <v/>
      </c>
      <c r="D1356" s="10" t="str">
        <f>IFERROR(__xludf.DUMMYFUNCTION("""COMPUTED_VALUE"""),"")</f>
        <v/>
      </c>
      <c r="E1356" s="10" t="str">
        <f>IFERROR(__xludf.DUMMYFUNCTION("""COMPUTED_VALUE"""),"")</f>
        <v/>
      </c>
      <c r="F1356" s="10" t="str">
        <f>IFERROR(__xludf.DUMMYFUNCTION("""COMPUTED_VALUE"""),"")</f>
        <v/>
      </c>
      <c r="G1356" s="10" t="str">
        <f>IFERROR(__xludf.DUMMYFUNCTION("""COMPUTED_VALUE"""),"")</f>
        <v/>
      </c>
      <c r="H1356" s="10" t="str">
        <f>IFERROR(__xludf.DUMMYFUNCTION("""COMPUTED_VALUE"""),"")</f>
        <v/>
      </c>
      <c r="I1356" s="10" t="str">
        <f>IFERROR(__xludf.DUMMYFUNCTION("""COMPUTED_VALUE"""),"")</f>
        <v/>
      </c>
    </row>
  </sheetData>
  <hyperlinks>
    <hyperlink r:id="rId1" ref="C2"/>
    <hyperlink r:id="rId2" ref="C22"/>
    <hyperlink r:id="rId3" ref="C187"/>
    <hyperlink r:id="rId4" ref="C199"/>
    <hyperlink r:id="rId5" ref="C313"/>
    <hyperlink r:id="rId6" ref="A468"/>
    <hyperlink r:id="rId7" ref="C527"/>
    <hyperlink r:id="rId8" ref="C578"/>
    <hyperlink r:id="rId9" ref="C588"/>
    <hyperlink r:id="rId10" ref="C608"/>
    <hyperlink r:id="rId11" ref="C755"/>
    <hyperlink r:id="rId12" ref="C769"/>
    <hyperlink r:id="rId13" ref="C811"/>
    <hyperlink r:id="rId14" ref="C881"/>
  </hyperlinks>
  <drawing r:id="rId1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57"/>
    <col customWidth="1" min="2" max="2" width="45.43"/>
    <col customWidth="1" min="3" max="3" width="39.29"/>
  </cols>
  <sheetData>
    <row r="1">
      <c r="A1" s="1" t="s">
        <v>0</v>
      </c>
      <c r="B1" s="2"/>
      <c r="C1" s="3"/>
    </row>
    <row r="2">
      <c r="A2" s="4" t="s">
        <v>1</v>
      </c>
      <c r="B2" s="5" t="s">
        <v>2</v>
      </c>
      <c r="C2" s="6"/>
    </row>
    <row r="3">
      <c r="A3" s="7"/>
      <c r="B3" s="9"/>
      <c r="C3" s="6"/>
    </row>
    <row r="4">
      <c r="A4" s="4" t="s">
        <v>4</v>
      </c>
      <c r="B4" s="12" t="s">
        <v>5</v>
      </c>
      <c r="C4" s="14" t="s">
        <v>7</v>
      </c>
    </row>
    <row r="5">
      <c r="A5" s="4" t="s">
        <v>9</v>
      </c>
      <c r="B5" s="16" t="s">
        <v>10</v>
      </c>
      <c r="C5" s="18"/>
    </row>
    <row r="6">
      <c r="A6" s="4" t="s">
        <v>13</v>
      </c>
      <c r="B6" s="16" t="s">
        <v>14</v>
      </c>
      <c r="C6" s="18"/>
    </row>
    <row r="7">
      <c r="A7" s="7"/>
      <c r="B7" s="20"/>
      <c r="C7" s="22"/>
    </row>
    <row r="8">
      <c r="A8" s="26" t="s">
        <v>18</v>
      </c>
      <c r="B8" s="28" t="s">
        <v>20</v>
      </c>
      <c r="C8" s="30"/>
    </row>
    <row r="9">
      <c r="A9" s="31"/>
      <c r="B9" s="32"/>
      <c r="C9" s="32"/>
    </row>
    <row r="10">
      <c r="A10" s="34" t="s">
        <v>26</v>
      </c>
      <c r="B10" s="32"/>
      <c r="C10" s="30"/>
    </row>
    <row r="11">
      <c r="A11" s="26" t="s">
        <v>29</v>
      </c>
      <c r="B11" s="36" t="s">
        <v>30</v>
      </c>
      <c r="C11" s="30"/>
    </row>
    <row r="13">
      <c r="A13" s="37" t="s">
        <v>35</v>
      </c>
      <c r="B13" s="32"/>
      <c r="C13" s="30"/>
    </row>
    <row r="14">
      <c r="A14" s="38" t="s">
        <v>39</v>
      </c>
      <c r="B14" s="39" t="s">
        <v>40</v>
      </c>
      <c r="C14" s="40"/>
    </row>
    <row r="15">
      <c r="A15" s="38" t="s">
        <v>41</v>
      </c>
      <c r="B15" s="39" t="s">
        <v>42</v>
      </c>
      <c r="C15" s="40"/>
    </row>
    <row r="16">
      <c r="A16" s="38" t="s">
        <v>43</v>
      </c>
      <c r="B16" s="39" t="s">
        <v>44</v>
      </c>
      <c r="C16" s="40"/>
    </row>
    <row r="17">
      <c r="A17" s="38" t="s">
        <v>45</v>
      </c>
      <c r="B17" s="39" t="s">
        <v>46</v>
      </c>
      <c r="C17" s="40"/>
    </row>
    <row r="18">
      <c r="A18" s="42" t="s">
        <v>47</v>
      </c>
      <c r="B18" s="43" t="s">
        <v>50</v>
      </c>
      <c r="C18" s="30"/>
    </row>
  </sheetData>
  <mergeCells count="12">
    <mergeCell ref="A10:C10"/>
    <mergeCell ref="B8:C8"/>
    <mergeCell ref="A1:C1"/>
    <mergeCell ref="A9:C9"/>
    <mergeCell ref="B17:C17"/>
    <mergeCell ref="B18:C18"/>
    <mergeCell ref="B11:C11"/>
    <mergeCell ref="A12:C12"/>
    <mergeCell ref="B16:C16"/>
    <mergeCell ref="B14:C14"/>
    <mergeCell ref="B15:C15"/>
    <mergeCell ref="A13:C1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4.71"/>
    <col customWidth="1" min="3" max="3" width="34.43"/>
    <col customWidth="1" min="4" max="4" width="29.14"/>
  </cols>
  <sheetData>
    <row r="1">
      <c r="A1" s="11" t="s">
        <v>3</v>
      </c>
    </row>
    <row r="2">
      <c r="A2" s="13" t="s">
        <v>6</v>
      </c>
      <c r="B2" s="15" t="s">
        <v>8</v>
      </c>
      <c r="C2" s="15" t="s">
        <v>11</v>
      </c>
      <c r="D2" s="17" t="s">
        <v>12</v>
      </c>
    </row>
    <row r="3">
      <c r="A3" s="19">
        <v>1.0</v>
      </c>
      <c r="B3" s="21" t="s">
        <v>15</v>
      </c>
      <c r="C3" s="21" t="s">
        <v>16</v>
      </c>
      <c r="D3" s="21" t="s">
        <v>17</v>
      </c>
    </row>
    <row r="4">
      <c r="A4" s="23">
        <v>2.0</v>
      </c>
      <c r="B4" s="25" t="s">
        <v>19</v>
      </c>
      <c r="C4" s="27" t="s">
        <v>16</v>
      </c>
      <c r="D4" s="21" t="s">
        <v>17</v>
      </c>
    </row>
    <row r="5">
      <c r="A5" s="19">
        <v>3.0</v>
      </c>
      <c r="B5" s="29" t="s">
        <v>21</v>
      </c>
      <c r="C5" s="21" t="s">
        <v>16</v>
      </c>
      <c r="D5" s="29" t="s">
        <v>22</v>
      </c>
    </row>
    <row r="6">
      <c r="A6" s="23">
        <v>4.0</v>
      </c>
      <c r="B6" s="25" t="s">
        <v>23</v>
      </c>
      <c r="C6" s="25" t="s">
        <v>24</v>
      </c>
      <c r="D6" s="21" t="s">
        <v>25</v>
      </c>
    </row>
    <row r="7">
      <c r="A7" s="33">
        <v>4.0</v>
      </c>
      <c r="B7" s="29" t="s">
        <v>27</v>
      </c>
      <c r="C7" s="27" t="s">
        <v>28</v>
      </c>
      <c r="D7" s="21" t="s">
        <v>25</v>
      </c>
    </row>
    <row r="8">
      <c r="A8" s="35">
        <v>5.0</v>
      </c>
      <c r="B8" s="25" t="s">
        <v>31</v>
      </c>
      <c r="C8" s="29" t="s">
        <v>24</v>
      </c>
      <c r="D8" s="27" t="s">
        <v>25</v>
      </c>
    </row>
    <row r="9">
      <c r="A9" s="35">
        <v>5.0</v>
      </c>
      <c r="B9" s="25" t="s">
        <v>32</v>
      </c>
      <c r="C9" s="29" t="s">
        <v>33</v>
      </c>
      <c r="D9" s="25" t="s">
        <v>25</v>
      </c>
    </row>
    <row r="10">
      <c r="A10" s="33">
        <v>5.0</v>
      </c>
      <c r="B10" s="29" t="s">
        <v>34</v>
      </c>
      <c r="C10" s="29" t="s">
        <v>36</v>
      </c>
      <c r="D10" s="21" t="s">
        <v>25</v>
      </c>
    </row>
    <row r="11">
      <c r="A11" s="35">
        <v>6.0</v>
      </c>
      <c r="B11" s="25" t="s">
        <v>37</v>
      </c>
      <c r="C11" s="27" t="s">
        <v>24</v>
      </c>
      <c r="D11" s="27" t="s">
        <v>25</v>
      </c>
    </row>
    <row r="12">
      <c r="A12" s="33">
        <v>6.0</v>
      </c>
      <c r="B12" s="41" t="s">
        <v>38</v>
      </c>
      <c r="C12" s="21" t="s">
        <v>48</v>
      </c>
      <c r="D12" s="21" t="s">
        <v>25</v>
      </c>
    </row>
    <row r="13">
      <c r="A13" s="35">
        <v>6.0</v>
      </c>
      <c r="B13" s="27" t="s">
        <v>49</v>
      </c>
      <c r="C13" s="27" t="s">
        <v>36</v>
      </c>
      <c r="D13" s="27" t="s">
        <v>25</v>
      </c>
    </row>
    <row r="14">
      <c r="A14" s="33">
        <v>7.0</v>
      </c>
      <c r="B14" s="29" t="s">
        <v>51</v>
      </c>
      <c r="C14" s="21" t="s">
        <v>16</v>
      </c>
      <c r="D14" s="21" t="s">
        <v>52</v>
      </c>
    </row>
    <row r="15">
      <c r="A15" s="35">
        <v>8.0</v>
      </c>
      <c r="B15" s="27" t="s">
        <v>53</v>
      </c>
      <c r="C15" s="25" t="s">
        <v>24</v>
      </c>
      <c r="D15" s="27" t="s">
        <v>52</v>
      </c>
    </row>
    <row r="16">
      <c r="A16" s="33">
        <v>8.0</v>
      </c>
      <c r="B16" s="29" t="s">
        <v>54</v>
      </c>
      <c r="C16" s="29" t="s">
        <v>55</v>
      </c>
      <c r="D16" s="21" t="s">
        <v>52</v>
      </c>
    </row>
    <row r="17">
      <c r="A17" s="35">
        <v>9.0</v>
      </c>
      <c r="B17" s="25" t="s">
        <v>56</v>
      </c>
      <c r="C17" s="25" t="s">
        <v>24</v>
      </c>
      <c r="D17" s="27" t="s">
        <v>52</v>
      </c>
    </row>
    <row r="18">
      <c r="A18" s="33">
        <v>9.0</v>
      </c>
      <c r="B18" s="29" t="s">
        <v>57</v>
      </c>
      <c r="C18" s="29" t="s">
        <v>55</v>
      </c>
      <c r="D18" s="21" t="s">
        <v>52</v>
      </c>
    </row>
    <row r="19">
      <c r="A19" s="35">
        <v>10.0</v>
      </c>
      <c r="B19" s="27" t="s">
        <v>58</v>
      </c>
      <c r="C19" s="27" t="s">
        <v>24</v>
      </c>
      <c r="D19" s="44" t="s">
        <v>59</v>
      </c>
    </row>
    <row r="20">
      <c r="A20" s="33">
        <v>10.0</v>
      </c>
      <c r="B20" s="21" t="s">
        <v>60</v>
      </c>
      <c r="C20" s="21" t="s">
        <v>48</v>
      </c>
      <c r="D20" s="45" t="s">
        <v>59</v>
      </c>
    </row>
    <row r="21">
      <c r="A21" s="35">
        <v>10.0</v>
      </c>
      <c r="B21" s="25" t="s">
        <v>61</v>
      </c>
      <c r="C21" s="27" t="s">
        <v>36</v>
      </c>
      <c r="D21" s="44" t="s">
        <v>62</v>
      </c>
    </row>
    <row r="22">
      <c r="A22" s="33">
        <v>11.0</v>
      </c>
      <c r="B22" s="21" t="s">
        <v>63</v>
      </c>
      <c r="C22" s="21" t="s">
        <v>64</v>
      </c>
      <c r="D22" s="21" t="s">
        <v>65</v>
      </c>
    </row>
    <row r="23">
      <c r="A23" s="35">
        <v>11.0</v>
      </c>
      <c r="B23" s="27" t="s">
        <v>66</v>
      </c>
      <c r="C23" s="27" t="s">
        <v>36</v>
      </c>
      <c r="D23" s="27" t="s">
        <v>65</v>
      </c>
    </row>
    <row r="24">
      <c r="A24" s="33">
        <v>12.0</v>
      </c>
      <c r="B24" s="21" t="s">
        <v>67</v>
      </c>
      <c r="C24" s="21" t="s">
        <v>16</v>
      </c>
      <c r="D24" s="21" t="s">
        <v>65</v>
      </c>
    </row>
    <row r="25">
      <c r="A25" s="35">
        <v>13.0</v>
      </c>
      <c r="B25" s="27" t="s">
        <v>68</v>
      </c>
      <c r="C25" s="25" t="s">
        <v>24</v>
      </c>
      <c r="D25" s="25" t="s">
        <v>69</v>
      </c>
    </row>
    <row r="26">
      <c r="A26" s="33">
        <v>13.0</v>
      </c>
      <c r="B26" s="29" t="s">
        <v>70</v>
      </c>
      <c r="C26" s="29" t="s">
        <v>28</v>
      </c>
      <c r="D26" s="25" t="s">
        <v>69</v>
      </c>
    </row>
    <row r="27">
      <c r="A27" s="35">
        <v>14.0</v>
      </c>
      <c r="B27" s="25" t="s">
        <v>71</v>
      </c>
      <c r="C27" s="25" t="s">
        <v>16</v>
      </c>
      <c r="D27" s="25" t="s">
        <v>65</v>
      </c>
    </row>
    <row r="28">
      <c r="A28" s="33">
        <v>15.0</v>
      </c>
      <c r="B28" s="29" t="s">
        <v>72</v>
      </c>
      <c r="C28" s="29" t="s">
        <v>73</v>
      </c>
      <c r="D28" s="21" t="s">
        <v>69</v>
      </c>
    </row>
    <row r="29">
      <c r="A29" s="35">
        <v>15.0</v>
      </c>
      <c r="B29" s="25" t="s">
        <v>74</v>
      </c>
      <c r="C29" s="25" t="s">
        <v>36</v>
      </c>
      <c r="D29" s="27" t="s">
        <v>69</v>
      </c>
    </row>
    <row r="30">
      <c r="A30" s="35">
        <v>16.0</v>
      </c>
      <c r="B30" s="27" t="s">
        <v>75</v>
      </c>
      <c r="C30" s="27" t="s">
        <v>16</v>
      </c>
      <c r="D30" s="25" t="s">
        <v>76</v>
      </c>
    </row>
    <row r="31">
      <c r="A31" s="33">
        <v>17.0</v>
      </c>
      <c r="B31" s="29" t="s">
        <v>77</v>
      </c>
      <c r="C31" s="29" t="s">
        <v>16</v>
      </c>
      <c r="D31" s="29" t="s">
        <v>69</v>
      </c>
    </row>
    <row r="32">
      <c r="A32" s="35">
        <v>18.0</v>
      </c>
      <c r="B32" s="25" t="s">
        <v>78</v>
      </c>
      <c r="C32" s="25" t="s">
        <v>16</v>
      </c>
      <c r="D32" s="25" t="s">
        <v>76</v>
      </c>
    </row>
  </sheetData>
  <mergeCells count="1">
    <mergeCell ref="A1:D1"/>
  </mergeCells>
  <hyperlinks>
    <hyperlink r:id="rId1" ref="B12"/>
  </hyperlinks>
  <drawing r:id="rId2"/>
  <tableParts count="1">
    <tablePart r:id="rId4"/>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44.71"/>
    <col customWidth="1" min="3" max="3" width="52.0"/>
    <col hidden="1" min="4" max="5" width="14.43"/>
    <col customWidth="1" min="6" max="6" width="36.71"/>
    <col hidden="1" min="9" max="9" width="14.43"/>
    <col customWidth="1" min="14" max="14" width="73.43"/>
    <col customWidth="1" min="16" max="16" width="19.57"/>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'Centre Stage' ORDER BY F"")"),"Breakout startups group 1")</f>
        <v>Breakout startups group 1</v>
      </c>
      <c r="B2" s="49" t="str">
        <f>IFERROR(__xludf.DUMMYFUNCTION("""COMPUTED_VALUE"""),"Centre Stage")</f>
        <v>Centre Stage</v>
      </c>
      <c r="C2" s="51" t="str">
        <f>IFERROR(__xludf.DUMMYFUNCTION("""COMPUTED_VALUE"""),"Luisa Lima, Veronika Riederle, Andre Jordao, Nils Henning, Shane Curran, Alina Lapusneanu, Dee Coakley, Sarah Sandnes, Jaleh Rezaei, Sunil Sharma and Casey Lau")</f>
        <v>Luisa Lima, Veronika Riederle, Andre Jordao, Nils Henning, Shane Curran, Alina Lapusneanu, Dee Coakley, Sarah Sandnes, Jaleh Rezaei, Sunil Sharma and Casey Lau</v>
      </c>
      <c r="D2" s="49" t="str">
        <f>IFERROR(__xludf.DUMMYFUNCTION("""COMPUTED_VALUE"""),"2019/11/04 17:00:00")</f>
        <v>2019/11/04 17:00:00</v>
      </c>
      <c r="E2" s="49" t="str">
        <f>IFERROR(__xludf.DUMMYFUNCTION("""COMPUTED_VALUE"""),"2019/11/04 17:50:00")</f>
        <v>2019/11/04 17:50:00</v>
      </c>
      <c r="F2" s="49" t="str">
        <f>IFERROR(__xludf.DUMMYFUNCTION("""COMPUTED_VALUE"""),"2e2a8609-5c87-41df-bcce-3724875785f9")</f>
        <v>2e2a8609-5c87-41df-bcce-3724875785f9</v>
      </c>
      <c r="G2" s="52">
        <f>IFERROR(__xludf.DUMMYFUNCTION("ARRAYFORMULA(SPLIT(D2:D621,"" ""))"),43773.0)</f>
        <v>43773</v>
      </c>
      <c r="H2" s="53">
        <f>IFERROR(__xludf.DUMMYFUNCTION("""COMPUTED_VALUE"""),0.7083333333333334)</f>
        <v>0.7083333333</v>
      </c>
      <c r="I2" s="54">
        <f>IFERROR(__xludf.DUMMYFUNCTION("ARRAYFORMULA(SPLIT(E2:E621,"" ""))"),43773.0)</f>
        <v>43773</v>
      </c>
      <c r="J2" s="53">
        <f>IFERROR(__xludf.DUMMYFUNCTION("""COMPUTED_VALUE"""),0.7430555555555556)</f>
        <v>0.7430555556</v>
      </c>
      <c r="K2" s="53">
        <f t="shared" ref="K2:K119" si="1">J2-H2</f>
        <v>0.03472222222</v>
      </c>
      <c r="L2" s="50" t="str">
        <f t="array" ref="L2:L621">TEXT(K2:K621,"hhmmss")</f>
        <v>005000</v>
      </c>
      <c r="M2" s="62" t="s">
        <v>99</v>
      </c>
      <c r="N2" s="62" t="str">
        <f>CONCATENATE(M2,"_",F2,"_","000000_003304.mp4")</f>
        <v>CS_4_1_2e2a8609-5c87-41df-bcce-3724875785f9_000000_003304.mp4</v>
      </c>
      <c r="O2" s="48" t="s">
        <v>101</v>
      </c>
      <c r="P2" s="48" t="s">
        <v>102</v>
      </c>
      <c r="Q2" s="48" t="s">
        <v>102</v>
      </c>
      <c r="R2" s="49"/>
      <c r="S2" s="49"/>
      <c r="T2" s="49"/>
    </row>
    <row r="3">
      <c r="A3" s="49" t="str">
        <f>IFERROR(__xludf.DUMMYFUNCTION("""COMPUTED_VALUE"""),"Breakout startups group 2")</f>
        <v>Breakout startups group 2</v>
      </c>
      <c r="B3" s="49" t="str">
        <f>IFERROR(__xludf.DUMMYFUNCTION("""COMPUTED_VALUE"""),"Centre Stage")</f>
        <v>Centre Stage</v>
      </c>
      <c r="C3" s="51" t="str">
        <f>IFERROR(__xludf.DUMMYFUNCTION("""COMPUTED_VALUE"""),"Rui Sales, Daniela Seixas, Louise Lindblad, Kate Boyle, Catriona Forrest, Els van der Helm, Hanna Marie Asmussen, Nikki Michelsen, Leah Remfry-Peploe, Casey Lau and Sunil Sharma")</f>
        <v>Rui Sales, Daniela Seixas, Louise Lindblad, Kate Boyle, Catriona Forrest, Els van der Helm, Hanna Marie Asmussen, Nikki Michelsen, Leah Remfry-Peploe, Casey Lau and Sunil Sharma</v>
      </c>
      <c r="D3" s="49" t="str">
        <f>IFERROR(__xludf.DUMMYFUNCTION("""COMPUTED_VALUE"""),"2019/11/04 17:50:00")</f>
        <v>2019/11/04 17:50:00</v>
      </c>
      <c r="E3" s="49" t="str">
        <f>IFERROR(__xludf.DUMMYFUNCTION("""COMPUTED_VALUE"""),"2019/11/04 18:15:00")</f>
        <v>2019/11/04 18:15:00</v>
      </c>
      <c r="F3" s="49" t="str">
        <f>IFERROR(__xludf.DUMMYFUNCTION("""COMPUTED_VALUE"""),"d431a181-8d31-4ba9-ac6a-b7b7ec5c7a3b")</f>
        <v>d431a181-8d31-4ba9-ac6a-b7b7ec5c7a3b</v>
      </c>
      <c r="G3" s="52">
        <f>IFERROR(__xludf.DUMMYFUNCTION("""COMPUTED_VALUE"""),43773.0)</f>
        <v>43773</v>
      </c>
      <c r="H3" s="53">
        <f>IFERROR(__xludf.DUMMYFUNCTION("""COMPUTED_VALUE"""),0.7430555555555556)</f>
        <v>0.7430555556</v>
      </c>
      <c r="I3" s="52">
        <f>IFERROR(__xludf.DUMMYFUNCTION("""COMPUTED_VALUE"""),43773.0)</f>
        <v>43773</v>
      </c>
      <c r="J3" s="53">
        <f>IFERROR(__xludf.DUMMYFUNCTION("""COMPUTED_VALUE"""),0.7604166666666666)</f>
        <v>0.7604166667</v>
      </c>
      <c r="K3" s="53">
        <f t="shared" si="1"/>
        <v>0.01736111111</v>
      </c>
      <c r="L3" s="49" t="s">
        <v>111</v>
      </c>
      <c r="M3" s="62" t="s">
        <v>112</v>
      </c>
      <c r="N3" s="62" t="str">
        <f t="shared" ref="N3:N72" si="2">CONCATENATE(M3,"_",F3,"_","000000_000000.mp4")</f>
        <v>CS_4_2_d431a181-8d31-4ba9-ac6a-b7b7ec5c7a3b_000000_000000.mp4</v>
      </c>
      <c r="O3" s="63"/>
      <c r="P3" s="63"/>
      <c r="Q3" s="63"/>
      <c r="R3" s="49"/>
      <c r="S3" s="49"/>
      <c r="T3" s="49"/>
    </row>
    <row r="4">
      <c r="A4" s="49" t="str">
        <f>IFERROR(__xludf.DUMMYFUNCTION("""COMPUTED_VALUE"""),"Opening remarks")</f>
        <v>Opening remarks</v>
      </c>
      <c r="B4" s="49" t="str">
        <f>IFERROR(__xludf.DUMMYFUNCTION("""COMPUTED_VALUE"""),"Centre Stage")</f>
        <v>Centre Stage</v>
      </c>
      <c r="C4" s="51" t="str">
        <f>IFERROR(__xludf.DUMMYFUNCTION("""COMPUTED_VALUE"""),"Paddy Cosgrave")</f>
        <v>Paddy Cosgrave</v>
      </c>
      <c r="D4" s="49" t="str">
        <f>IFERROR(__xludf.DUMMYFUNCTION("""COMPUTED_VALUE"""),"2019/11/04 18:15:00")</f>
        <v>2019/11/04 18:15:00</v>
      </c>
      <c r="E4" s="49" t="str">
        <f>IFERROR(__xludf.DUMMYFUNCTION("""COMPUTED_VALUE"""),"2019/11/04 18:30:00")</f>
        <v>2019/11/04 18:30:00</v>
      </c>
      <c r="F4" s="49" t="str">
        <f>IFERROR(__xludf.DUMMYFUNCTION("""COMPUTED_VALUE"""),"83e3191a-8cc1-4794-82e2-7d7430575cc9")</f>
        <v>83e3191a-8cc1-4794-82e2-7d7430575cc9</v>
      </c>
      <c r="G4" s="52">
        <f>IFERROR(__xludf.DUMMYFUNCTION("""COMPUTED_VALUE"""),43773.0)</f>
        <v>43773</v>
      </c>
      <c r="H4" s="53">
        <f>IFERROR(__xludf.DUMMYFUNCTION("""COMPUTED_VALUE"""),0.7604166666666666)</f>
        <v>0.7604166667</v>
      </c>
      <c r="I4" s="52">
        <f>IFERROR(__xludf.DUMMYFUNCTION("""COMPUTED_VALUE"""),43773.0)</f>
        <v>43773</v>
      </c>
      <c r="J4" s="53">
        <f>IFERROR(__xludf.DUMMYFUNCTION("""COMPUTED_VALUE"""),0.7708333333333334)</f>
        <v>0.7708333333</v>
      </c>
      <c r="K4" s="53">
        <f t="shared" si="1"/>
        <v>0.01041666667</v>
      </c>
      <c r="L4" s="49" t="s">
        <v>118</v>
      </c>
      <c r="M4" s="62" t="s">
        <v>123</v>
      </c>
      <c r="N4" s="62" t="str">
        <f t="shared" si="2"/>
        <v>CS_4_3_83e3191a-8cc1-4794-82e2-7d7430575cc9_000000_000000.mp4</v>
      </c>
      <c r="O4" s="63"/>
      <c r="P4" s="63"/>
      <c r="Q4" s="63"/>
      <c r="R4" s="49"/>
      <c r="S4" s="49"/>
      <c r="T4" s="49"/>
    </row>
    <row r="5">
      <c r="A5" s="49" t="str">
        <f>IFERROR(__xludf.DUMMYFUNCTION("""COMPUTED_VALUE"""),"In conversation with Edward Snowden")</f>
        <v>In conversation with Edward Snowden</v>
      </c>
      <c r="B5" s="49" t="str">
        <f>IFERROR(__xludf.DUMMYFUNCTION("""COMPUTED_VALUE"""),"Centre Stage")</f>
        <v>Centre Stage</v>
      </c>
      <c r="C5" s="51" t="str">
        <f>IFERROR(__xludf.DUMMYFUNCTION("""COMPUTED_VALUE"""),"Edward Snowden and James Ball")</f>
        <v>Edward Snowden and James Ball</v>
      </c>
      <c r="D5" s="49" t="str">
        <f>IFERROR(__xludf.DUMMYFUNCTION("""COMPUTED_VALUE"""),"2019/11/04 18:30:00")</f>
        <v>2019/11/04 18:30:00</v>
      </c>
      <c r="E5" s="49" t="str">
        <f>IFERROR(__xludf.DUMMYFUNCTION("""COMPUTED_VALUE"""),"2019/11/04 18:50:00")</f>
        <v>2019/11/04 18:50:00</v>
      </c>
      <c r="F5" s="49" t="str">
        <f>IFERROR(__xludf.DUMMYFUNCTION("""COMPUTED_VALUE"""),"7687743f-ee40-43a7-9618-4ad73248ab97")</f>
        <v>7687743f-ee40-43a7-9618-4ad73248ab97</v>
      </c>
      <c r="G5" s="52">
        <f>IFERROR(__xludf.DUMMYFUNCTION("""COMPUTED_VALUE"""),43773.0)</f>
        <v>43773</v>
      </c>
      <c r="H5" s="53">
        <f>IFERROR(__xludf.DUMMYFUNCTION("""COMPUTED_VALUE"""),0.7708333333333334)</f>
        <v>0.7708333333</v>
      </c>
      <c r="I5" s="52">
        <f>IFERROR(__xludf.DUMMYFUNCTION("""COMPUTED_VALUE"""),43773.0)</f>
        <v>43773</v>
      </c>
      <c r="J5" s="53">
        <f>IFERROR(__xludf.DUMMYFUNCTION("""COMPUTED_VALUE"""),0.7847222222222222)</f>
        <v>0.7847222222</v>
      </c>
      <c r="K5" s="53">
        <f t="shared" si="1"/>
        <v>0.01388888889</v>
      </c>
      <c r="L5" s="49" t="s">
        <v>109</v>
      </c>
      <c r="M5" s="62" t="s">
        <v>129</v>
      </c>
      <c r="N5" s="62" t="str">
        <f t="shared" si="2"/>
        <v>CS_4_4_7687743f-ee40-43a7-9618-4ad73248ab97_000000_000000.mp4</v>
      </c>
      <c r="O5" s="63"/>
      <c r="P5" s="63"/>
      <c r="Q5" s="63"/>
      <c r="R5" s="49"/>
      <c r="S5" s="49"/>
      <c r="T5" s="49"/>
    </row>
    <row r="6">
      <c r="A6" s="49" t="str">
        <f>IFERROR(__xludf.DUMMYFUNCTION("""COMPUTED_VALUE"""),"A two way street: Portugal &amp; the tech world")</f>
        <v>A two way street: Portugal &amp; the tech world</v>
      </c>
      <c r="B6" s="49" t="str">
        <f>IFERROR(__xludf.DUMMYFUNCTION("""COMPUTED_VALUE"""),"Centre Stage")</f>
        <v>Centre Stage</v>
      </c>
      <c r="C6" s="51" t="str">
        <f>IFERROR(__xludf.DUMMYFUNCTION("""COMPUTED_VALUE"""),"Michelle Zatlyn, Daniela Braga and Filomena Cautela")</f>
        <v>Michelle Zatlyn, Daniela Braga and Filomena Cautela</v>
      </c>
      <c r="D6" s="49" t="str">
        <f>IFERROR(__xludf.DUMMYFUNCTION("""COMPUTED_VALUE"""),"2019/11/04 18:50:00")</f>
        <v>2019/11/04 18:50:00</v>
      </c>
      <c r="E6" s="49" t="str">
        <f>IFERROR(__xludf.DUMMYFUNCTION("""COMPUTED_VALUE"""),"2019/11/04 19:03:00")</f>
        <v>2019/11/04 19:03:00</v>
      </c>
      <c r="F6" s="49" t="str">
        <f>IFERROR(__xludf.DUMMYFUNCTION("""COMPUTED_VALUE"""),"b853c55b-0a49-42a4-a67b-363dc6b95926")</f>
        <v>b853c55b-0a49-42a4-a67b-363dc6b95926</v>
      </c>
      <c r="G6" s="52">
        <f>IFERROR(__xludf.DUMMYFUNCTION("""COMPUTED_VALUE"""),43773.0)</f>
        <v>43773</v>
      </c>
      <c r="H6" s="53">
        <f>IFERROR(__xludf.DUMMYFUNCTION("""COMPUTED_VALUE"""),0.7847222222222222)</f>
        <v>0.7847222222</v>
      </c>
      <c r="I6" s="52">
        <f>IFERROR(__xludf.DUMMYFUNCTION("""COMPUTED_VALUE"""),43773.0)</f>
        <v>43773</v>
      </c>
      <c r="J6" s="53">
        <f>IFERROR(__xludf.DUMMYFUNCTION("""COMPUTED_VALUE"""),0.79375)</f>
        <v>0.79375</v>
      </c>
      <c r="K6" s="53">
        <f t="shared" si="1"/>
        <v>0.009027777778</v>
      </c>
      <c r="L6" s="49" t="s">
        <v>135</v>
      </c>
      <c r="M6" s="62" t="s">
        <v>136</v>
      </c>
      <c r="N6" s="62" t="str">
        <f t="shared" si="2"/>
        <v>CS_4_5_b853c55b-0a49-42a4-a67b-363dc6b95926_000000_000000.mp4</v>
      </c>
      <c r="O6" s="63"/>
      <c r="P6" s="63"/>
      <c r="Q6" s="63"/>
      <c r="R6" s="49"/>
      <c r="S6" s="49"/>
      <c r="T6" s="49"/>
    </row>
    <row r="7">
      <c r="A7" s="49" t="str">
        <f>IFERROR(__xludf.DUMMYFUNCTION("""COMPUTED_VALUE"""),"5G+X: Creating a new era?")</f>
        <v>5G+X: Creating a new era?</v>
      </c>
      <c r="B7" s="49" t="str">
        <f>IFERROR(__xludf.DUMMYFUNCTION("""COMPUTED_VALUE"""),"Centre Stage")</f>
        <v>Centre Stage</v>
      </c>
      <c r="C7" s="51" t="str">
        <f>IFERROR(__xludf.DUMMYFUNCTION("""COMPUTED_VALUE"""),"Guo Ping")</f>
        <v>Guo Ping</v>
      </c>
      <c r="D7" s="49" t="str">
        <f>IFERROR(__xludf.DUMMYFUNCTION("""COMPUTED_VALUE"""),"2019/11/04 19:03:00")</f>
        <v>2019/11/04 19:03:00</v>
      </c>
      <c r="E7" s="49" t="str">
        <f>IFERROR(__xludf.DUMMYFUNCTION("""COMPUTED_VALUE"""),"2019/11/04 19:18:00")</f>
        <v>2019/11/04 19:18:00</v>
      </c>
      <c r="F7" s="49" t="str">
        <f>IFERROR(__xludf.DUMMYFUNCTION("""COMPUTED_VALUE"""),"62e2e333-7dd6-45e3-9fda-60e06af8d01b")</f>
        <v>62e2e333-7dd6-45e3-9fda-60e06af8d01b</v>
      </c>
      <c r="G7" s="52">
        <f>IFERROR(__xludf.DUMMYFUNCTION("""COMPUTED_VALUE"""),43773.0)</f>
        <v>43773</v>
      </c>
      <c r="H7" s="53">
        <f>IFERROR(__xludf.DUMMYFUNCTION("""COMPUTED_VALUE"""),0.79375)</f>
        <v>0.79375</v>
      </c>
      <c r="I7" s="52">
        <f>IFERROR(__xludf.DUMMYFUNCTION("""COMPUTED_VALUE"""),43773.0)</f>
        <v>43773</v>
      </c>
      <c r="J7" s="53">
        <f>IFERROR(__xludf.DUMMYFUNCTION("""COMPUTED_VALUE"""),0.8041666666666667)</f>
        <v>0.8041666667</v>
      </c>
      <c r="K7" s="53">
        <f t="shared" si="1"/>
        <v>0.01041666667</v>
      </c>
      <c r="L7" s="49" t="s">
        <v>118</v>
      </c>
      <c r="M7" s="62" t="s">
        <v>143</v>
      </c>
      <c r="N7" s="62" t="str">
        <f t="shared" si="2"/>
        <v>CS_4_6_62e2e333-7dd6-45e3-9fda-60e06af8d01b_000000_000000.mp4</v>
      </c>
      <c r="O7" s="63"/>
      <c r="P7" s="63"/>
      <c r="Q7" s="63"/>
      <c r="R7" s="49"/>
      <c r="S7" s="49"/>
      <c r="T7" s="49"/>
    </row>
    <row r="8">
      <c r="A8" s="49" t="str">
        <f>IFERROR(__xludf.DUMMYFUNCTION("""COMPUTED_VALUE"""),"Saving the planet, one drop at a time")</f>
        <v>Saving the planet, one drop at a time</v>
      </c>
      <c r="B8" s="49" t="str">
        <f>IFERROR(__xludf.DUMMYFUNCTION("""COMPUTED_VALUE"""),"Centre Stage")</f>
        <v>Centre Stage</v>
      </c>
      <c r="C8" s="51" t="str">
        <f>IFERROR(__xludf.DUMMYFUNCTION("""COMPUTED_VALUE"""),"Jaden Smith, Gary White, Paul O'Callaghan and Laurie Segall")</f>
        <v>Jaden Smith, Gary White, Paul O'Callaghan and Laurie Segall</v>
      </c>
      <c r="D8" s="49" t="str">
        <f>IFERROR(__xludf.DUMMYFUNCTION("""COMPUTED_VALUE"""),"2019/11/04 19:18:00")</f>
        <v>2019/11/04 19:18:00</v>
      </c>
      <c r="E8" s="49" t="str">
        <f>IFERROR(__xludf.DUMMYFUNCTION("""COMPUTED_VALUE"""),"2019/11/04 19:35:00")</f>
        <v>2019/11/04 19:35:00</v>
      </c>
      <c r="F8" s="49" t="str">
        <f>IFERROR(__xludf.DUMMYFUNCTION("""COMPUTED_VALUE"""),"9a152918-ff5d-49ed-869c-0df761510a22")</f>
        <v>9a152918-ff5d-49ed-869c-0df761510a22</v>
      </c>
      <c r="G8" s="52">
        <f>IFERROR(__xludf.DUMMYFUNCTION("""COMPUTED_VALUE"""),43773.0)</f>
        <v>43773</v>
      </c>
      <c r="H8" s="53">
        <f>IFERROR(__xludf.DUMMYFUNCTION("""COMPUTED_VALUE"""),0.8041666666666667)</f>
        <v>0.8041666667</v>
      </c>
      <c r="I8" s="52">
        <f>IFERROR(__xludf.DUMMYFUNCTION("""COMPUTED_VALUE"""),43773.0)</f>
        <v>43773</v>
      </c>
      <c r="J8" s="53">
        <f>IFERROR(__xludf.DUMMYFUNCTION("""COMPUTED_VALUE"""),0.8159722222222222)</f>
        <v>0.8159722222</v>
      </c>
      <c r="K8" s="53">
        <f t="shared" si="1"/>
        <v>0.01180555556</v>
      </c>
      <c r="L8" s="49" t="s">
        <v>148</v>
      </c>
      <c r="M8" s="62" t="s">
        <v>149</v>
      </c>
      <c r="N8" s="62" t="str">
        <f t="shared" si="2"/>
        <v>CS_4_7_9a152918-ff5d-49ed-869c-0df761510a22_000000_000000.mp4</v>
      </c>
      <c r="O8" s="63"/>
      <c r="P8" s="63"/>
      <c r="Q8" s="63"/>
      <c r="R8" s="49"/>
      <c r="S8" s="49"/>
      <c r="T8" s="49"/>
    </row>
    <row r="9">
      <c r="A9" s="49" t="str">
        <f>IFERROR(__xludf.DUMMYFUNCTION("""COMPUTED_VALUE"""),"Official Opening Ceremony")</f>
        <v>Official Opening Ceremony</v>
      </c>
      <c r="B9" s="49" t="str">
        <f>IFERROR(__xludf.DUMMYFUNCTION("""COMPUTED_VALUE"""),"Centre Stage")</f>
        <v>Centre Stage</v>
      </c>
      <c r="C9" s="51" t="str">
        <f>IFERROR(__xludf.DUMMYFUNCTION("""COMPUTED_VALUE"""),"Pedro Siza Vieira, Fernando Medina and Paddy Cosgrave")</f>
        <v>Pedro Siza Vieira, Fernando Medina and Paddy Cosgrave</v>
      </c>
      <c r="D9" s="49" t="str">
        <f>IFERROR(__xludf.DUMMYFUNCTION("""COMPUTED_VALUE"""),"2019/11/04 19:35:00")</f>
        <v>2019/11/04 19:35:00</v>
      </c>
      <c r="E9" s="49" t="str">
        <f>IFERROR(__xludf.DUMMYFUNCTION("""COMPUTED_VALUE"""),"2019/11/04 19:45:00")</f>
        <v>2019/11/04 19:45:00</v>
      </c>
      <c r="F9" s="49" t="str">
        <f>IFERROR(__xludf.DUMMYFUNCTION("""COMPUTED_VALUE"""),"88d43ad8-c396-434a-9b4f-ecea0ab0ea09")</f>
        <v>88d43ad8-c396-434a-9b4f-ecea0ab0ea09</v>
      </c>
      <c r="G9" s="52">
        <f>IFERROR(__xludf.DUMMYFUNCTION("""COMPUTED_VALUE"""),43773.0)</f>
        <v>43773</v>
      </c>
      <c r="H9" s="53">
        <f>IFERROR(__xludf.DUMMYFUNCTION("""COMPUTED_VALUE"""),0.8159722222222222)</f>
        <v>0.8159722222</v>
      </c>
      <c r="I9" s="52">
        <f>IFERROR(__xludf.DUMMYFUNCTION("""COMPUTED_VALUE"""),43773.0)</f>
        <v>43773</v>
      </c>
      <c r="J9" s="53">
        <f>IFERROR(__xludf.DUMMYFUNCTION("""COMPUTED_VALUE"""),0.8229166666666666)</f>
        <v>0.8229166667</v>
      </c>
      <c r="K9" s="53">
        <f t="shared" si="1"/>
        <v>0.006944444444</v>
      </c>
      <c r="L9" s="49" t="s">
        <v>122</v>
      </c>
      <c r="M9" s="62" t="s">
        <v>153</v>
      </c>
      <c r="N9" s="62" t="str">
        <f t="shared" si="2"/>
        <v>CS_4_8_88d43ad8-c396-434a-9b4f-ecea0ab0ea09_000000_000000.mp4</v>
      </c>
      <c r="O9" s="63"/>
      <c r="P9" s="63"/>
      <c r="Q9" s="63"/>
      <c r="R9" s="49"/>
      <c r="S9" s="49"/>
      <c r="T9" s="49"/>
    </row>
    <row r="10">
      <c r="A10" s="49" t="str">
        <f>IFERROR(__xludf.DUMMYFUNCTION("""COMPUTED_VALUE"""),"Breakout startups")</f>
        <v>Breakout startups</v>
      </c>
      <c r="B10" s="49" t="str">
        <f>IFERROR(__xludf.DUMMYFUNCTION("""COMPUTED_VALUE"""),"Centre Stage")</f>
        <v>Centre Stage</v>
      </c>
      <c r="C10" s="51" t="str">
        <f>IFERROR(__xludf.DUMMYFUNCTION("""COMPUTED_VALUE"""),"Nuno Pinto, Andre Jordao, Nuno Fonseca, Josh Lowy, Nils Henning, Sam Al-Mukhtar, Shane Curran, Dev Amratia, Sid Khattri, Bob Moore, Jaleh Rezaei and Els van der Helm")</f>
        <v>Nuno Pinto, Andre Jordao, Nuno Fonseca, Josh Lowy, Nils Henning, Sam Al-Mukhtar, Shane Curran, Dev Amratia, Sid Khattri, Bob Moore, Jaleh Rezaei and Els van der Helm</v>
      </c>
      <c r="D10" s="49" t="str">
        <f>IFERROR(__xludf.DUMMYFUNCTION("""COMPUTED_VALUE"""),"2019/11/05 09:10:00")</f>
        <v>2019/11/05 09:10:00</v>
      </c>
      <c r="E10" s="49" t="str">
        <f>IFERROR(__xludf.DUMMYFUNCTION("""COMPUTED_VALUE"""),"2019/11/05 09:45:00")</f>
        <v>2019/11/05 09:45:00</v>
      </c>
      <c r="F10" s="49" t="str">
        <f>IFERROR(__xludf.DUMMYFUNCTION("""COMPUTED_VALUE"""),"aca07843-a28b-4f66-aa13-e16eb13ee5cf")</f>
        <v>aca07843-a28b-4f66-aa13-e16eb13ee5cf</v>
      </c>
      <c r="G10" s="52">
        <f>IFERROR(__xludf.DUMMYFUNCTION("""COMPUTED_VALUE"""),43774.0)</f>
        <v>43774</v>
      </c>
      <c r="H10" s="53">
        <f>IFERROR(__xludf.DUMMYFUNCTION("""COMPUTED_VALUE"""),0.3819444444444444)</f>
        <v>0.3819444444</v>
      </c>
      <c r="I10" s="52">
        <f>IFERROR(__xludf.DUMMYFUNCTION("""COMPUTED_VALUE"""),43774.0)</f>
        <v>43774</v>
      </c>
      <c r="J10" s="53">
        <f>IFERROR(__xludf.DUMMYFUNCTION("""COMPUTED_VALUE"""),0.40625)</f>
        <v>0.40625</v>
      </c>
      <c r="K10" s="53">
        <f t="shared" si="1"/>
        <v>0.02430555556</v>
      </c>
      <c r="L10" s="49" t="s">
        <v>158</v>
      </c>
      <c r="M10" s="62" t="s">
        <v>160</v>
      </c>
      <c r="N10" s="62" t="str">
        <f t="shared" si="2"/>
        <v>CS_5_1_aca07843-a28b-4f66-aa13-e16eb13ee5cf_000000_000000.mp4</v>
      </c>
      <c r="O10" s="63"/>
      <c r="P10" s="63"/>
      <c r="Q10" s="63"/>
      <c r="R10" s="49"/>
      <c r="S10" s="49"/>
      <c r="T10" s="49"/>
    </row>
    <row r="11">
      <c r="A11" s="49" t="str">
        <f>IFERROR(__xludf.DUMMYFUNCTION("""COMPUTED_VALUE"""),"Opening remarks")</f>
        <v>Opening remarks</v>
      </c>
      <c r="B11" s="49" t="str">
        <f>IFERROR(__xludf.DUMMYFUNCTION("""COMPUTED_VALUE"""),"Centre Stage")</f>
        <v>Centre Stage</v>
      </c>
      <c r="C11" s="51" t="str">
        <f>IFERROR(__xludf.DUMMYFUNCTION("""COMPUTED_VALUE"""),"Paddy Cosgrave")</f>
        <v>Paddy Cosgrave</v>
      </c>
      <c r="D11" s="49" t="str">
        <f>IFERROR(__xludf.DUMMYFUNCTION("""COMPUTED_VALUE"""),"2019/11/05 09:45:00")</f>
        <v>2019/11/05 09:45:00</v>
      </c>
      <c r="E11" s="49" t="str">
        <f>IFERROR(__xludf.DUMMYFUNCTION("""COMPUTED_VALUE"""),"2019/11/05 10:00:00")</f>
        <v>2019/11/05 10:00:00</v>
      </c>
      <c r="F11" s="49" t="str">
        <f>IFERROR(__xludf.DUMMYFUNCTION("""COMPUTED_VALUE"""),"7f1dd639-8f39-470b-bbeb-b20c8f9f7106")</f>
        <v>7f1dd639-8f39-470b-bbeb-b20c8f9f7106</v>
      </c>
      <c r="G11" s="52">
        <f>IFERROR(__xludf.DUMMYFUNCTION("""COMPUTED_VALUE"""),43774.0)</f>
        <v>43774</v>
      </c>
      <c r="H11" s="53">
        <f>IFERROR(__xludf.DUMMYFUNCTION("""COMPUTED_VALUE"""),0.40625)</f>
        <v>0.40625</v>
      </c>
      <c r="I11" s="52">
        <f>IFERROR(__xludf.DUMMYFUNCTION("""COMPUTED_VALUE"""),43774.0)</f>
        <v>43774</v>
      </c>
      <c r="J11" s="53">
        <f>IFERROR(__xludf.DUMMYFUNCTION("""COMPUTED_VALUE"""),0.4166666666666667)</f>
        <v>0.4166666667</v>
      </c>
      <c r="K11" s="53">
        <f t="shared" si="1"/>
        <v>0.01041666667</v>
      </c>
      <c r="L11" s="49" t="s">
        <v>118</v>
      </c>
      <c r="M11" s="62" t="s">
        <v>164</v>
      </c>
      <c r="N11" s="62" t="str">
        <f t="shared" si="2"/>
        <v>CS_5_2_7f1dd639-8f39-470b-bbeb-b20c8f9f7106_000000_000000.mp4</v>
      </c>
      <c r="O11" s="63"/>
      <c r="P11" s="63"/>
      <c r="Q11" s="63"/>
      <c r="R11" s="49"/>
      <c r="S11" s="49"/>
      <c r="T11" s="49"/>
    </row>
    <row r="12">
      <c r="A12" s="49" t="str">
        <f>IFERROR(__xludf.DUMMYFUNCTION("""COMPUTED_VALUE"""),"Are you ready for 5G?")</f>
        <v>Are you ready for 5G?</v>
      </c>
      <c r="B12" s="49" t="str">
        <f>IFERROR(__xludf.DUMMYFUNCTION("""COMPUTED_VALUE"""),"Centre Stage")</f>
        <v>Centre Stage</v>
      </c>
      <c r="C12" s="51" t="str">
        <f>IFERROR(__xludf.DUMMYFUNCTION("""COMPUTED_VALUE"""),"Ronan Dunne")</f>
        <v>Ronan Dunne</v>
      </c>
      <c r="D12" s="49" t="str">
        <f>IFERROR(__xludf.DUMMYFUNCTION("""COMPUTED_VALUE"""),"2019/11/05 10:00:00")</f>
        <v>2019/11/05 10:00:00</v>
      </c>
      <c r="E12" s="49" t="str">
        <f>IFERROR(__xludf.DUMMYFUNCTION("""COMPUTED_VALUE"""),"2019/11/05 10:25:00")</f>
        <v>2019/11/05 10:25:00</v>
      </c>
      <c r="F12" s="49" t="str">
        <f>IFERROR(__xludf.DUMMYFUNCTION("""COMPUTED_VALUE"""),"bf25eb67-8b8e-428d-9bd1-345f15be223c")</f>
        <v>bf25eb67-8b8e-428d-9bd1-345f15be223c</v>
      </c>
      <c r="G12" s="52">
        <f>IFERROR(__xludf.DUMMYFUNCTION("""COMPUTED_VALUE"""),43774.0)</f>
        <v>43774</v>
      </c>
      <c r="H12" s="53">
        <f>IFERROR(__xludf.DUMMYFUNCTION("""COMPUTED_VALUE"""),0.4166666666666667)</f>
        <v>0.4166666667</v>
      </c>
      <c r="I12" s="52">
        <f>IFERROR(__xludf.DUMMYFUNCTION("""COMPUTED_VALUE"""),43774.0)</f>
        <v>43774</v>
      </c>
      <c r="J12" s="53">
        <f>IFERROR(__xludf.DUMMYFUNCTION("""COMPUTED_VALUE"""),0.4340277777777778)</f>
        <v>0.4340277778</v>
      </c>
      <c r="K12" s="53">
        <f t="shared" si="1"/>
        <v>0.01736111111</v>
      </c>
      <c r="L12" s="49" t="s">
        <v>111</v>
      </c>
      <c r="M12" s="62" t="s">
        <v>166</v>
      </c>
      <c r="N12" s="62" t="str">
        <f t="shared" si="2"/>
        <v>CS_5_3_bf25eb67-8b8e-428d-9bd1-345f15be223c_000000_000000.mp4</v>
      </c>
      <c r="O12" s="63"/>
      <c r="P12" s="63"/>
      <c r="Q12" s="63"/>
      <c r="R12" s="49"/>
      <c r="S12" s="49"/>
      <c r="T12" s="49"/>
    </row>
    <row r="13">
      <c r="A13" s="49" t="str">
        <f>IFERROR(__xludf.DUMMYFUNCTION("""COMPUTED_VALUE"""),"Reinventing your brand in a digital era ")</f>
        <v>Reinventing your brand in a digital era </v>
      </c>
      <c r="B13" s="49" t="str">
        <f>IFERROR(__xludf.DUMMYFUNCTION("""COMPUTED_VALUE"""),"Centre Stage")</f>
        <v>Centre Stage</v>
      </c>
      <c r="C13" s="51" t="str">
        <f>IFERROR(__xludf.DUMMYFUNCTION("""COMPUTED_VALUE"""),"Barbara Martin Coppola, Kristin Lemkau and Cheng Lei")</f>
        <v>Barbara Martin Coppola, Kristin Lemkau and Cheng Lei</v>
      </c>
      <c r="D13" s="49" t="str">
        <f>IFERROR(__xludf.DUMMYFUNCTION("""COMPUTED_VALUE"""),"2019/11/05 10:25:00")</f>
        <v>2019/11/05 10:25:00</v>
      </c>
      <c r="E13" s="49" t="str">
        <f>IFERROR(__xludf.DUMMYFUNCTION("""COMPUTED_VALUE"""),"2019/11/05 10:45:00")</f>
        <v>2019/11/05 10:45:00</v>
      </c>
      <c r="F13" s="49" t="str">
        <f>IFERROR(__xludf.DUMMYFUNCTION("""COMPUTED_VALUE"""),"95e83ee7-1575-4b04-90f3-35e69d85efa8")</f>
        <v>95e83ee7-1575-4b04-90f3-35e69d85efa8</v>
      </c>
      <c r="G13" s="52">
        <f>IFERROR(__xludf.DUMMYFUNCTION("""COMPUTED_VALUE"""),43774.0)</f>
        <v>43774</v>
      </c>
      <c r="H13" s="53">
        <f>IFERROR(__xludf.DUMMYFUNCTION("""COMPUTED_VALUE"""),0.4340277777777778)</f>
        <v>0.4340277778</v>
      </c>
      <c r="I13" s="52">
        <f>IFERROR(__xludf.DUMMYFUNCTION("""COMPUTED_VALUE"""),43774.0)</f>
        <v>43774</v>
      </c>
      <c r="J13" s="53">
        <f>IFERROR(__xludf.DUMMYFUNCTION("""COMPUTED_VALUE"""),0.4479166666666667)</f>
        <v>0.4479166667</v>
      </c>
      <c r="K13" s="53">
        <f t="shared" si="1"/>
        <v>0.01388888889</v>
      </c>
      <c r="L13" s="49" t="s">
        <v>109</v>
      </c>
      <c r="M13" s="62" t="s">
        <v>170</v>
      </c>
      <c r="N13" s="62" t="str">
        <f t="shared" si="2"/>
        <v>CS_5_4_95e83ee7-1575-4b04-90f3-35e69d85efa8_000000_000000.mp4</v>
      </c>
      <c r="O13" s="63"/>
      <c r="P13" s="63"/>
      <c r="Q13" s="63"/>
      <c r="R13" s="49"/>
      <c r="S13" s="49"/>
      <c r="T13" s="49"/>
    </row>
    <row r="14">
      <c r="A14" s="49" t="str">
        <f>IFERROR(__xludf.DUMMYFUNCTION("""COMPUTED_VALUE"""),"Building Calibra and increasing access to the global economy")</f>
        <v>Building Calibra and increasing access to the global economy</v>
      </c>
      <c r="B14" s="49" t="str">
        <f>IFERROR(__xludf.DUMMYFUNCTION("""COMPUTED_VALUE"""),"Centre Stage")</f>
        <v>Centre Stage</v>
      </c>
      <c r="C14" s="51" t="str">
        <f>IFERROR(__xludf.DUMMYFUNCTION("""COMPUTED_VALUE"""),"Kevin Weil and Tim Bradshaw")</f>
        <v>Kevin Weil and Tim Bradshaw</v>
      </c>
      <c r="D14" s="49" t="str">
        <f>IFERROR(__xludf.DUMMYFUNCTION("""COMPUTED_VALUE"""),"2019/11/05 10:45:00")</f>
        <v>2019/11/05 10:45:00</v>
      </c>
      <c r="E14" s="49" t="str">
        <f>IFERROR(__xludf.DUMMYFUNCTION("""COMPUTED_VALUE"""),"2019/11/05 11:10:00")</f>
        <v>2019/11/05 11:10:00</v>
      </c>
      <c r="F14" s="49" t="str">
        <f>IFERROR(__xludf.DUMMYFUNCTION("""COMPUTED_VALUE"""),"b644ca03-0d33-47fe-b16b-93d2c0607c1a")</f>
        <v>b644ca03-0d33-47fe-b16b-93d2c0607c1a</v>
      </c>
      <c r="G14" s="52">
        <f>IFERROR(__xludf.DUMMYFUNCTION("""COMPUTED_VALUE"""),43774.0)</f>
        <v>43774</v>
      </c>
      <c r="H14" s="53">
        <f>IFERROR(__xludf.DUMMYFUNCTION("""COMPUTED_VALUE"""),0.4479166666666667)</f>
        <v>0.4479166667</v>
      </c>
      <c r="I14" s="52">
        <f>IFERROR(__xludf.DUMMYFUNCTION("""COMPUTED_VALUE"""),43774.0)</f>
        <v>43774</v>
      </c>
      <c r="J14" s="53">
        <f>IFERROR(__xludf.DUMMYFUNCTION("""COMPUTED_VALUE"""),0.4652777777777778)</f>
        <v>0.4652777778</v>
      </c>
      <c r="K14" s="53">
        <f t="shared" si="1"/>
        <v>0.01736111111</v>
      </c>
      <c r="L14" s="49" t="s">
        <v>111</v>
      </c>
      <c r="M14" s="62" t="s">
        <v>171</v>
      </c>
      <c r="N14" s="62" t="str">
        <f t="shared" si="2"/>
        <v>CS_5_5_b644ca03-0d33-47fe-b16b-93d2c0607c1a_000000_000000.mp4</v>
      </c>
      <c r="O14" s="63"/>
      <c r="P14" s="63"/>
      <c r="Q14" s="63"/>
      <c r="R14" s="49"/>
      <c r="S14" s="49"/>
      <c r="T14" s="49"/>
    </row>
    <row r="15">
      <c r="A15" s="49" t="str">
        <f>IFERROR(__xludf.DUMMYFUNCTION("""COMPUTED_VALUE"""),"Winning in round 1: Exciting the world's best seed investors")</f>
        <v>Winning in round 1: Exciting the world's best seed investors</v>
      </c>
      <c r="B15" s="49" t="str">
        <f>IFERROR(__xludf.DUMMYFUNCTION("""COMPUTED_VALUE"""),"Centre Stage")</f>
        <v>Centre Stage</v>
      </c>
      <c r="C15" s="51" t="str">
        <f>IFERROR(__xludf.DUMMYFUNCTION("""COMPUTED_VALUE"""),"Reshma Sohoni, Saul Klein, David Brown and Mike Butcher")</f>
        <v>Reshma Sohoni, Saul Klein, David Brown and Mike Butcher</v>
      </c>
      <c r="D15" s="49" t="str">
        <f>IFERROR(__xludf.DUMMYFUNCTION("""COMPUTED_VALUE"""),"2019/11/05 11:10:00")</f>
        <v>2019/11/05 11:10:00</v>
      </c>
      <c r="E15" s="49" t="str">
        <f>IFERROR(__xludf.DUMMYFUNCTION("""COMPUTED_VALUE"""),"2019/11/05 11:30:00")</f>
        <v>2019/11/05 11:30:00</v>
      </c>
      <c r="F15" s="49" t="str">
        <f>IFERROR(__xludf.DUMMYFUNCTION("""COMPUTED_VALUE"""),"a421dcf6-c709-47c8-9338-de768cfdb856")</f>
        <v>a421dcf6-c709-47c8-9338-de768cfdb856</v>
      </c>
      <c r="G15" s="52">
        <f>IFERROR(__xludf.DUMMYFUNCTION("""COMPUTED_VALUE"""),43774.0)</f>
        <v>43774</v>
      </c>
      <c r="H15" s="53">
        <f>IFERROR(__xludf.DUMMYFUNCTION("""COMPUTED_VALUE"""),0.4652777777777778)</f>
        <v>0.4652777778</v>
      </c>
      <c r="I15" s="52">
        <f>IFERROR(__xludf.DUMMYFUNCTION("""COMPUTED_VALUE"""),43774.0)</f>
        <v>43774</v>
      </c>
      <c r="J15" s="53">
        <f>IFERROR(__xludf.DUMMYFUNCTION("""COMPUTED_VALUE"""),0.4791666666666667)</f>
        <v>0.4791666667</v>
      </c>
      <c r="K15" s="53">
        <f t="shared" si="1"/>
        <v>0.01388888889</v>
      </c>
      <c r="L15" s="49" t="s">
        <v>109</v>
      </c>
      <c r="M15" s="62" t="s">
        <v>172</v>
      </c>
      <c r="N15" s="62" t="str">
        <f t="shared" si="2"/>
        <v>CS_5_6_a421dcf6-c709-47c8-9338-de768cfdb856_000000_000000.mp4</v>
      </c>
      <c r="O15" s="63"/>
      <c r="P15" s="63"/>
      <c r="Q15" s="63"/>
      <c r="R15" s="49"/>
      <c r="S15" s="49"/>
      <c r="T15" s="49"/>
    </row>
    <row r="16">
      <c r="A16" s="49" t="str">
        <f>IFERROR(__xludf.DUMMYFUNCTION("""COMPUTED_VALUE"""),"The EU after Brexit")</f>
        <v>The EU after Brexit</v>
      </c>
      <c r="B16" s="49" t="str">
        <f>IFERROR(__xludf.DUMMYFUNCTION("""COMPUTED_VALUE"""),"Centre Stage")</f>
        <v>Centre Stage</v>
      </c>
      <c r="C16" s="51" t="str">
        <f>IFERROR(__xludf.DUMMYFUNCTION("""COMPUTED_VALUE"""),"Michel Barnier")</f>
        <v>Michel Barnier</v>
      </c>
      <c r="D16" s="49" t="str">
        <f>IFERROR(__xludf.DUMMYFUNCTION("""COMPUTED_VALUE"""),"2019/11/05 11:30:00")</f>
        <v>2019/11/05 11:30:00</v>
      </c>
      <c r="E16" s="49" t="str">
        <f>IFERROR(__xludf.DUMMYFUNCTION("""COMPUTED_VALUE"""),"2019/11/05 11:55:00")</f>
        <v>2019/11/05 11:55:00</v>
      </c>
      <c r="F16" s="49" t="str">
        <f>IFERROR(__xludf.DUMMYFUNCTION("""COMPUTED_VALUE"""),"713e026f-aaed-45c7-89ed-303e1d902d74")</f>
        <v>713e026f-aaed-45c7-89ed-303e1d902d74</v>
      </c>
      <c r="G16" s="52">
        <f>IFERROR(__xludf.DUMMYFUNCTION("""COMPUTED_VALUE"""),43774.0)</f>
        <v>43774</v>
      </c>
      <c r="H16" s="53">
        <f>IFERROR(__xludf.DUMMYFUNCTION("""COMPUTED_VALUE"""),0.4791666666666667)</f>
        <v>0.4791666667</v>
      </c>
      <c r="I16" s="52">
        <f>IFERROR(__xludf.DUMMYFUNCTION("""COMPUTED_VALUE"""),43774.0)</f>
        <v>43774</v>
      </c>
      <c r="J16" s="53">
        <f>IFERROR(__xludf.DUMMYFUNCTION("""COMPUTED_VALUE"""),0.4965277777777778)</f>
        <v>0.4965277778</v>
      </c>
      <c r="K16" s="53">
        <f t="shared" si="1"/>
        <v>0.01736111111</v>
      </c>
      <c r="L16" s="49" t="s">
        <v>111</v>
      </c>
      <c r="M16" s="62" t="s">
        <v>173</v>
      </c>
      <c r="N16" s="62" t="str">
        <f t="shared" si="2"/>
        <v>CS_5_7_713e026f-aaed-45c7-89ed-303e1d902d74_000000_000000.mp4</v>
      </c>
      <c r="O16" s="63"/>
      <c r="P16" s="63"/>
      <c r="Q16" s="63"/>
      <c r="R16" s="49"/>
      <c r="S16" s="49"/>
      <c r="T16" s="49"/>
    </row>
    <row r="17">
      <c r="A17" s="49" t="str">
        <f>IFERROR(__xludf.DUMMYFUNCTION("""COMPUTED_VALUE"""),"Thinking outside the box")</f>
        <v>Thinking outside the box</v>
      </c>
      <c r="B17" s="49" t="str">
        <f>IFERROR(__xludf.DUMMYFUNCTION("""COMPUTED_VALUE"""),"Centre Stage")</f>
        <v>Centre Stage</v>
      </c>
      <c r="C17" s="51" t="str">
        <f>IFERROR(__xludf.DUMMYFUNCTION("""COMPUTED_VALUE"""),"Wladimir Klitschko, Kristen Garcia Dumont and Halsey Minor")</f>
        <v>Wladimir Klitschko, Kristen Garcia Dumont and Halsey Minor</v>
      </c>
      <c r="D17" s="49" t="str">
        <f>IFERROR(__xludf.DUMMYFUNCTION("""COMPUTED_VALUE"""),"2019/11/05 11:55:00")</f>
        <v>2019/11/05 11:55:00</v>
      </c>
      <c r="E17" s="49" t="str">
        <f>IFERROR(__xludf.DUMMYFUNCTION("""COMPUTED_VALUE"""),"2019/11/05 12:15:00")</f>
        <v>2019/11/05 12:15:00</v>
      </c>
      <c r="F17" s="49" t="str">
        <f>IFERROR(__xludf.DUMMYFUNCTION("""COMPUTED_VALUE"""),"29f68515-a259-4271-8f36-0b378ef8ce8f")</f>
        <v>29f68515-a259-4271-8f36-0b378ef8ce8f</v>
      </c>
      <c r="G17" s="52">
        <f>IFERROR(__xludf.DUMMYFUNCTION("""COMPUTED_VALUE"""),43774.0)</f>
        <v>43774</v>
      </c>
      <c r="H17" s="53">
        <f>IFERROR(__xludf.DUMMYFUNCTION("""COMPUTED_VALUE"""),0.4965277777777778)</f>
        <v>0.4965277778</v>
      </c>
      <c r="I17" s="52">
        <f>IFERROR(__xludf.DUMMYFUNCTION("""COMPUTED_VALUE"""),43774.0)</f>
        <v>43774</v>
      </c>
      <c r="J17" s="53">
        <f>IFERROR(__xludf.DUMMYFUNCTION("""COMPUTED_VALUE"""),0.5104166666666666)</f>
        <v>0.5104166667</v>
      </c>
      <c r="K17" s="53">
        <f t="shared" si="1"/>
        <v>0.01388888889</v>
      </c>
      <c r="L17" s="49" t="s">
        <v>109</v>
      </c>
      <c r="M17" s="62" t="s">
        <v>174</v>
      </c>
      <c r="N17" s="62" t="str">
        <f t="shared" si="2"/>
        <v>CS_5_8_29f68515-a259-4271-8f36-0b378ef8ce8f_000000_000000.mp4</v>
      </c>
      <c r="O17" s="63"/>
      <c r="P17" s="63"/>
      <c r="Q17" s="63"/>
      <c r="R17" s="49"/>
      <c r="S17" s="49"/>
      <c r="T17" s="49"/>
    </row>
    <row r="18">
      <c r="A18" s="49" t="str">
        <f>IFERROR(__xludf.DUMMYFUNCTION("""COMPUTED_VALUE"""),"One year out: Will Trump be re-elected?")</f>
        <v>One year out: Will Trump be re-elected?</v>
      </c>
      <c r="B18" s="49" t="str">
        <f>IFERROR(__xludf.DUMMYFUNCTION("""COMPUTED_VALUE"""),"Centre Stage")</f>
        <v>Centre Stage</v>
      </c>
      <c r="C18" s="51" t="str">
        <f>IFERROR(__xludf.DUMMYFUNCTION("""COMPUTED_VALUE"""),"Joe Pounder, Neal Katyal, Brittany Kaiser and Tim Alberta")</f>
        <v>Joe Pounder, Neal Katyal, Brittany Kaiser and Tim Alberta</v>
      </c>
      <c r="D18" s="49" t="str">
        <f>IFERROR(__xludf.DUMMYFUNCTION("""COMPUTED_VALUE"""),"2019/11/05 12:15:00")</f>
        <v>2019/11/05 12:15:00</v>
      </c>
      <c r="E18" s="49" t="str">
        <f>IFERROR(__xludf.DUMMYFUNCTION("""COMPUTED_VALUE"""),"2019/11/05 12:35:00")</f>
        <v>2019/11/05 12:35:00</v>
      </c>
      <c r="F18" s="49" t="str">
        <f>IFERROR(__xludf.DUMMYFUNCTION("""COMPUTED_VALUE"""),"09d75071-c2d2-4ef4-a484-453ac13f9bb7")</f>
        <v>09d75071-c2d2-4ef4-a484-453ac13f9bb7</v>
      </c>
      <c r="G18" s="52">
        <f>IFERROR(__xludf.DUMMYFUNCTION("""COMPUTED_VALUE"""),43774.0)</f>
        <v>43774</v>
      </c>
      <c r="H18" s="53">
        <f>IFERROR(__xludf.DUMMYFUNCTION("""COMPUTED_VALUE"""),0.5104166666666666)</f>
        <v>0.5104166667</v>
      </c>
      <c r="I18" s="52">
        <f>IFERROR(__xludf.DUMMYFUNCTION("""COMPUTED_VALUE"""),43774.0)</f>
        <v>43774</v>
      </c>
      <c r="J18" s="53">
        <f>IFERROR(__xludf.DUMMYFUNCTION("""COMPUTED_VALUE"""),0.5243055555555556)</f>
        <v>0.5243055556</v>
      </c>
      <c r="K18" s="53">
        <f t="shared" si="1"/>
        <v>0.01388888889</v>
      </c>
      <c r="L18" s="49" t="s">
        <v>109</v>
      </c>
      <c r="M18" s="62" t="s">
        <v>175</v>
      </c>
      <c r="N18" s="62" t="str">
        <f t="shared" si="2"/>
        <v>CS_5_9_09d75071-c2d2-4ef4-a484-453ac13f9bb7_000000_000000.mp4</v>
      </c>
      <c r="O18" s="63"/>
      <c r="P18" s="63"/>
      <c r="Q18" s="63"/>
      <c r="R18" s="49"/>
      <c r="S18" s="49"/>
      <c r="T18" s="49"/>
    </row>
    <row r="19">
      <c r="A19" s="49" t="str">
        <f>IFERROR(__xludf.DUMMYFUNCTION("""COMPUTED_VALUE"""),"Your Home in 2025")</f>
        <v>Your Home in 2025</v>
      </c>
      <c r="B19" s="49" t="str">
        <f>IFERROR(__xludf.DUMMYFUNCTION("""COMPUTED_VALUE"""),"Centre Stage")</f>
        <v>Centre Stage</v>
      </c>
      <c r="C19" s="51" t="str">
        <f>IFERROR(__xludf.DUMMYFUNCTION("""COMPUTED_VALUE"""),"David Eun")</f>
        <v>David Eun</v>
      </c>
      <c r="D19" s="49" t="str">
        <f>IFERROR(__xludf.DUMMYFUNCTION("""COMPUTED_VALUE"""),"2019/11/05 12:35:00")</f>
        <v>2019/11/05 12:35:00</v>
      </c>
      <c r="E19" s="49" t="str">
        <f>IFERROR(__xludf.DUMMYFUNCTION("""COMPUTED_VALUE"""),"2019/11/05 13:00:00")</f>
        <v>2019/11/05 13:00:00</v>
      </c>
      <c r="F19" s="49" t="str">
        <f>IFERROR(__xludf.DUMMYFUNCTION("""COMPUTED_VALUE"""),"55cc8fc2-2f0e-49dd-bc33-3ae6c6263206")</f>
        <v>55cc8fc2-2f0e-49dd-bc33-3ae6c6263206</v>
      </c>
      <c r="G19" s="52">
        <f>IFERROR(__xludf.DUMMYFUNCTION("""COMPUTED_VALUE"""),43774.0)</f>
        <v>43774</v>
      </c>
      <c r="H19" s="53">
        <f>IFERROR(__xludf.DUMMYFUNCTION("""COMPUTED_VALUE"""),0.5243055555555556)</f>
        <v>0.5243055556</v>
      </c>
      <c r="I19" s="52">
        <f>IFERROR(__xludf.DUMMYFUNCTION("""COMPUTED_VALUE"""),43774.0)</f>
        <v>43774</v>
      </c>
      <c r="J19" s="53">
        <f>IFERROR(__xludf.DUMMYFUNCTION("""COMPUTED_VALUE"""),0.5416666666666666)</f>
        <v>0.5416666667</v>
      </c>
      <c r="K19" s="53">
        <f t="shared" si="1"/>
        <v>0.01736111111</v>
      </c>
      <c r="L19" s="49" t="s">
        <v>111</v>
      </c>
      <c r="M19" s="62" t="s">
        <v>176</v>
      </c>
      <c r="N19" s="62" t="str">
        <f t="shared" si="2"/>
        <v>CS_5_10_55cc8fc2-2f0e-49dd-bc33-3ae6c6263206_000000_000000.mp4</v>
      </c>
      <c r="O19" s="63"/>
      <c r="P19" s="63"/>
      <c r="Q19" s="63"/>
      <c r="R19" s="49"/>
      <c r="S19" s="49"/>
      <c r="T19" s="49"/>
    </row>
    <row r="20">
      <c r="A20" s="49" t="str">
        <f>IFERROR(__xludf.DUMMYFUNCTION("""COMPUTED_VALUE"""),"Lunch break")</f>
        <v>Lunch break</v>
      </c>
      <c r="B20" s="49" t="str">
        <f>IFERROR(__xludf.DUMMYFUNCTION("""COMPUTED_VALUE"""),"Centre Stage")</f>
        <v>Centre Stage</v>
      </c>
      <c r="C20" s="51" t="str">
        <f>IFERROR(__xludf.DUMMYFUNCTION("""COMPUTED_VALUE"""),"")</f>
        <v/>
      </c>
      <c r="D20" s="49" t="str">
        <f>IFERROR(__xludf.DUMMYFUNCTION("""COMPUTED_VALUE"""),"2019/11/05 13:00:00")</f>
        <v>2019/11/05 13:00:00</v>
      </c>
      <c r="E20" s="49" t="str">
        <f>IFERROR(__xludf.DUMMYFUNCTION("""COMPUTED_VALUE"""),"2019/11/05 13:15:00")</f>
        <v>2019/11/05 13:15:00</v>
      </c>
      <c r="F20" s="49" t="str">
        <f>IFERROR(__xludf.DUMMYFUNCTION("""COMPUTED_VALUE"""),"a0526514-34b3-4075-a2e7-26e8c2fcb1a6")</f>
        <v>a0526514-34b3-4075-a2e7-26e8c2fcb1a6</v>
      </c>
      <c r="G20" s="52">
        <f>IFERROR(__xludf.DUMMYFUNCTION("""COMPUTED_VALUE"""),43774.0)</f>
        <v>43774</v>
      </c>
      <c r="H20" s="53">
        <f>IFERROR(__xludf.DUMMYFUNCTION("""COMPUTED_VALUE"""),0.5416666666666666)</f>
        <v>0.5416666667</v>
      </c>
      <c r="I20" s="52">
        <f>IFERROR(__xludf.DUMMYFUNCTION("""COMPUTED_VALUE"""),43774.0)</f>
        <v>43774</v>
      </c>
      <c r="J20" s="53">
        <f>IFERROR(__xludf.DUMMYFUNCTION("""COMPUTED_VALUE"""),0.5520833333333334)</f>
        <v>0.5520833333</v>
      </c>
      <c r="K20" s="53">
        <f t="shared" si="1"/>
        <v>0.01041666667</v>
      </c>
      <c r="L20" s="49" t="s">
        <v>118</v>
      </c>
      <c r="M20" s="62"/>
      <c r="N20" s="62" t="str">
        <f t="shared" si="2"/>
        <v>_a0526514-34b3-4075-a2e7-26e8c2fcb1a6_000000_000000.mp4</v>
      </c>
      <c r="O20" s="63"/>
      <c r="P20" s="63"/>
      <c r="Q20" s="63"/>
      <c r="R20" s="49"/>
      <c r="S20" s="49"/>
      <c r="T20" s="49"/>
    </row>
    <row r="21">
      <c r="A21" s="49" t="str">
        <f>IFERROR(__xludf.DUMMYFUNCTION("""COMPUTED_VALUE"""),"Breakout startups")</f>
        <v>Breakout startups</v>
      </c>
      <c r="B21" s="49" t="str">
        <f>IFERROR(__xludf.DUMMYFUNCTION("""COMPUTED_VALUE"""),"Centre Stage")</f>
        <v>Centre Stage</v>
      </c>
      <c r="C21" s="51" t="str">
        <f>IFERROR(__xludf.DUMMYFUNCTION("""COMPUTED_VALUE"""),"John Wolanin, Lingjia Tang, Kate Rosenbluth, Aba Schubert, Alex Barrotti, Firmin Zocchetto and Laura Urquizu")</f>
        <v>John Wolanin, Lingjia Tang, Kate Rosenbluth, Aba Schubert, Alex Barrotti, Firmin Zocchetto and Laura Urquizu</v>
      </c>
      <c r="D21" s="49" t="str">
        <f>IFERROR(__xludf.DUMMYFUNCTION("""COMPUTED_VALUE"""),"2019/11/05 13:15:00")</f>
        <v>2019/11/05 13:15:00</v>
      </c>
      <c r="E21" s="49" t="str">
        <f>IFERROR(__xludf.DUMMYFUNCTION("""COMPUTED_VALUE"""),"2019/11/05 13:50:00")</f>
        <v>2019/11/05 13:50:00</v>
      </c>
      <c r="F21" s="49" t="str">
        <f>IFERROR(__xludf.DUMMYFUNCTION("""COMPUTED_VALUE"""),"90a12fa3-4f2c-4e14-a26f-5a9dcf6b1c6c")</f>
        <v>90a12fa3-4f2c-4e14-a26f-5a9dcf6b1c6c</v>
      </c>
      <c r="G21" s="52">
        <f>IFERROR(__xludf.DUMMYFUNCTION("""COMPUTED_VALUE"""),43774.0)</f>
        <v>43774</v>
      </c>
      <c r="H21" s="53">
        <f>IFERROR(__xludf.DUMMYFUNCTION("""COMPUTED_VALUE"""),0.5520833333333334)</f>
        <v>0.5520833333</v>
      </c>
      <c r="I21" s="52">
        <f>IFERROR(__xludf.DUMMYFUNCTION("""COMPUTED_VALUE"""),43774.0)</f>
        <v>43774</v>
      </c>
      <c r="J21" s="53">
        <f>IFERROR(__xludf.DUMMYFUNCTION("""COMPUTED_VALUE"""),0.5763888888888888)</f>
        <v>0.5763888889</v>
      </c>
      <c r="K21" s="53">
        <f t="shared" si="1"/>
        <v>0.02430555556</v>
      </c>
      <c r="L21" s="49" t="s">
        <v>158</v>
      </c>
      <c r="M21" s="62" t="s">
        <v>180</v>
      </c>
      <c r="N21" s="62" t="str">
        <f t="shared" si="2"/>
        <v>CS_5_11_90a12fa3-4f2c-4e14-a26f-5a9dcf6b1c6c_000000_000000.mp4</v>
      </c>
      <c r="O21" s="63"/>
      <c r="P21" s="63"/>
      <c r="Q21" s="63"/>
      <c r="R21" s="49"/>
      <c r="S21" s="49"/>
      <c r="T21" s="49"/>
    </row>
    <row r="22">
      <c r="A22" s="49" t="str">
        <f>IFERROR(__xludf.DUMMYFUNCTION("""COMPUTED_VALUE"""),"Opening remarks")</f>
        <v>Opening remarks</v>
      </c>
      <c r="B22" s="49" t="str">
        <f>IFERROR(__xludf.DUMMYFUNCTION("""COMPUTED_VALUE"""),"Centre Stage")</f>
        <v>Centre Stage</v>
      </c>
      <c r="C22" s="51" t="str">
        <f>IFERROR(__xludf.DUMMYFUNCTION("""COMPUTED_VALUE"""),"Paddy Cosgrave")</f>
        <v>Paddy Cosgrave</v>
      </c>
      <c r="D22" s="49" t="str">
        <f>IFERROR(__xludf.DUMMYFUNCTION("""COMPUTED_VALUE"""),"2019/11/05 13:50:00")</f>
        <v>2019/11/05 13:50:00</v>
      </c>
      <c r="E22" s="49" t="str">
        <f>IFERROR(__xludf.DUMMYFUNCTION("""COMPUTED_VALUE"""),"2019/11/05 14:00:00")</f>
        <v>2019/11/05 14:00:00</v>
      </c>
      <c r="F22" s="49" t="str">
        <f>IFERROR(__xludf.DUMMYFUNCTION("""COMPUTED_VALUE"""),"16886558-af9f-4e02-9596-3585f14d0455")</f>
        <v>16886558-af9f-4e02-9596-3585f14d0455</v>
      </c>
      <c r="G22" s="52">
        <f>IFERROR(__xludf.DUMMYFUNCTION("""COMPUTED_VALUE"""),43774.0)</f>
        <v>43774</v>
      </c>
      <c r="H22" s="53">
        <f>IFERROR(__xludf.DUMMYFUNCTION("""COMPUTED_VALUE"""),0.5763888888888888)</f>
        <v>0.5763888889</v>
      </c>
      <c r="I22" s="52">
        <f>IFERROR(__xludf.DUMMYFUNCTION("""COMPUTED_VALUE"""),43774.0)</f>
        <v>43774</v>
      </c>
      <c r="J22" s="53">
        <f>IFERROR(__xludf.DUMMYFUNCTION("""COMPUTED_VALUE"""),0.5833333333333334)</f>
        <v>0.5833333333</v>
      </c>
      <c r="K22" s="53">
        <f t="shared" si="1"/>
        <v>0.006944444444</v>
      </c>
      <c r="L22" s="49" t="s">
        <v>122</v>
      </c>
      <c r="M22" s="62" t="s">
        <v>182</v>
      </c>
      <c r="N22" s="62" t="str">
        <f t="shared" si="2"/>
        <v>CS_5_12_16886558-af9f-4e02-9596-3585f14d0455_000000_000000.mp4</v>
      </c>
      <c r="O22" s="63"/>
      <c r="P22" s="63"/>
      <c r="Q22" s="63"/>
      <c r="R22" s="49"/>
      <c r="S22" s="49"/>
      <c r="T22" s="49"/>
    </row>
    <row r="23">
      <c r="A23" s="49" t="str">
        <f>IFERROR(__xludf.DUMMYFUNCTION("""COMPUTED_VALUE"""),"Uber's road ahead")</f>
        <v>Uber's road ahead</v>
      </c>
      <c r="B23" s="49" t="str">
        <f>IFERROR(__xludf.DUMMYFUNCTION("""COMPUTED_VALUE"""),"Centre Stage")</f>
        <v>Centre Stage</v>
      </c>
      <c r="C23" s="51" t="str">
        <f>IFERROR(__xludf.DUMMYFUNCTION("""COMPUTED_VALUE"""),"Manik Gupta and Tim Bradshaw")</f>
        <v>Manik Gupta and Tim Bradshaw</v>
      </c>
      <c r="D23" s="49" t="str">
        <f>IFERROR(__xludf.DUMMYFUNCTION("""COMPUTED_VALUE"""),"2019/11/05 14:00:00")</f>
        <v>2019/11/05 14:00:00</v>
      </c>
      <c r="E23" s="49" t="str">
        <f>IFERROR(__xludf.DUMMYFUNCTION("""COMPUTED_VALUE"""),"2019/11/05 14:25:00")</f>
        <v>2019/11/05 14:25:00</v>
      </c>
      <c r="F23" s="49" t="str">
        <f>IFERROR(__xludf.DUMMYFUNCTION("""COMPUTED_VALUE"""),"adbbdef3-dc7f-4a24-b16e-8606dd0b892d")</f>
        <v>adbbdef3-dc7f-4a24-b16e-8606dd0b892d</v>
      </c>
      <c r="G23" s="52">
        <f>IFERROR(__xludf.DUMMYFUNCTION("""COMPUTED_VALUE"""),43774.0)</f>
        <v>43774</v>
      </c>
      <c r="H23" s="53">
        <f>IFERROR(__xludf.DUMMYFUNCTION("""COMPUTED_VALUE"""),0.5833333333333334)</f>
        <v>0.5833333333</v>
      </c>
      <c r="I23" s="52">
        <f>IFERROR(__xludf.DUMMYFUNCTION("""COMPUTED_VALUE"""),43774.0)</f>
        <v>43774</v>
      </c>
      <c r="J23" s="53">
        <f>IFERROR(__xludf.DUMMYFUNCTION("""COMPUTED_VALUE"""),0.6006944444444444)</f>
        <v>0.6006944444</v>
      </c>
      <c r="K23" s="53">
        <f t="shared" si="1"/>
        <v>0.01736111111</v>
      </c>
      <c r="L23" s="49" t="s">
        <v>111</v>
      </c>
      <c r="M23" s="62" t="s">
        <v>193</v>
      </c>
      <c r="N23" s="62" t="str">
        <f t="shared" si="2"/>
        <v>CS_5_13_adbbdef3-dc7f-4a24-b16e-8606dd0b892d_000000_000000.mp4</v>
      </c>
      <c r="O23" s="63"/>
      <c r="P23" s="63"/>
      <c r="Q23" s="63"/>
      <c r="R23" s="49"/>
      <c r="S23" s="49"/>
      <c r="T23" s="49"/>
    </row>
    <row r="24">
      <c r="A24" s="49" t="str">
        <f>IFERROR(__xludf.DUMMYFUNCTION("""COMPUTED_VALUE"""),"How to win fans and influence people")</f>
        <v>How to win fans and influence people</v>
      </c>
      <c r="B24" s="49" t="str">
        <f>IFERROR(__xludf.DUMMYFUNCTION("""COMPUTED_VALUE"""),"Centre Stage")</f>
        <v>Centre Stage</v>
      </c>
      <c r="C24" s="51" t="str">
        <f>IFERROR(__xludf.DUMMYFUNCTION("""COMPUTED_VALUE"""),"Caspar Lee, Jessica Ennis-Hill, Ian Somerhalder and Laurie Segall")</f>
        <v>Caspar Lee, Jessica Ennis-Hill, Ian Somerhalder and Laurie Segall</v>
      </c>
      <c r="D24" s="49" t="str">
        <f>IFERROR(__xludf.DUMMYFUNCTION("""COMPUTED_VALUE"""),"2019/11/05 14:25:00")</f>
        <v>2019/11/05 14:25:00</v>
      </c>
      <c r="E24" s="49" t="str">
        <f>IFERROR(__xludf.DUMMYFUNCTION("""COMPUTED_VALUE"""),"2019/11/05 14:50:00")</f>
        <v>2019/11/05 14:50:00</v>
      </c>
      <c r="F24" s="49" t="str">
        <f>IFERROR(__xludf.DUMMYFUNCTION("""COMPUTED_VALUE"""),"ebcbe4cb-7230-48e1-9876-78144ce2c890")</f>
        <v>ebcbe4cb-7230-48e1-9876-78144ce2c890</v>
      </c>
      <c r="G24" s="52">
        <f>IFERROR(__xludf.DUMMYFUNCTION("""COMPUTED_VALUE"""),43774.0)</f>
        <v>43774</v>
      </c>
      <c r="H24" s="53">
        <f>IFERROR(__xludf.DUMMYFUNCTION("""COMPUTED_VALUE"""),0.6006944444444444)</f>
        <v>0.6006944444</v>
      </c>
      <c r="I24" s="52">
        <f>IFERROR(__xludf.DUMMYFUNCTION("""COMPUTED_VALUE"""),43774.0)</f>
        <v>43774</v>
      </c>
      <c r="J24" s="53">
        <f>IFERROR(__xludf.DUMMYFUNCTION("""COMPUTED_VALUE"""),0.6180555555555556)</f>
        <v>0.6180555556</v>
      </c>
      <c r="K24" s="53">
        <f t="shared" si="1"/>
        <v>0.01736111111</v>
      </c>
      <c r="L24" s="49" t="s">
        <v>111</v>
      </c>
      <c r="M24" s="62" t="s">
        <v>199</v>
      </c>
      <c r="N24" s="62" t="str">
        <f t="shared" si="2"/>
        <v>CS_5_14_ebcbe4cb-7230-48e1-9876-78144ce2c890_000000_000000.mp4</v>
      </c>
      <c r="O24" s="63"/>
      <c r="P24" s="63"/>
      <c r="Q24" s="63"/>
      <c r="R24" s="49"/>
      <c r="S24" s="49"/>
      <c r="T24" s="49"/>
    </row>
    <row r="25">
      <c r="A25" s="49" t="str">
        <f>IFERROR(__xludf.DUMMYFUNCTION("""COMPUTED_VALUE"""),"The king of capital")</f>
        <v>The king of capital</v>
      </c>
      <c r="B25" s="49" t="str">
        <f>IFERROR(__xludf.DUMMYFUNCTION("""COMPUTED_VALUE"""),"Centre Stage")</f>
        <v>Centre Stage</v>
      </c>
      <c r="C25" s="51" t="str">
        <f>IFERROR(__xludf.DUMMYFUNCTION("""COMPUTED_VALUE"""),"Stephen Schwarzman and Thorold Barker")</f>
        <v>Stephen Schwarzman and Thorold Barker</v>
      </c>
      <c r="D25" s="49" t="str">
        <f>IFERROR(__xludf.DUMMYFUNCTION("""COMPUTED_VALUE"""),"2019/11/05 14:50:00")</f>
        <v>2019/11/05 14:50:00</v>
      </c>
      <c r="E25" s="49" t="str">
        <f>IFERROR(__xludf.DUMMYFUNCTION("""COMPUTED_VALUE"""),"2019/11/05 15:10:00")</f>
        <v>2019/11/05 15:10:00</v>
      </c>
      <c r="F25" s="49" t="str">
        <f>IFERROR(__xludf.DUMMYFUNCTION("""COMPUTED_VALUE"""),"0bcc2520-c55a-4ac6-be76-43340bbf64c7")</f>
        <v>0bcc2520-c55a-4ac6-be76-43340bbf64c7</v>
      </c>
      <c r="G25" s="52">
        <f>IFERROR(__xludf.DUMMYFUNCTION("""COMPUTED_VALUE"""),43774.0)</f>
        <v>43774</v>
      </c>
      <c r="H25" s="53">
        <f>IFERROR(__xludf.DUMMYFUNCTION("""COMPUTED_VALUE"""),0.6180555555555556)</f>
        <v>0.6180555556</v>
      </c>
      <c r="I25" s="52">
        <f>IFERROR(__xludf.DUMMYFUNCTION("""COMPUTED_VALUE"""),43774.0)</f>
        <v>43774</v>
      </c>
      <c r="J25" s="53">
        <f>IFERROR(__xludf.DUMMYFUNCTION("""COMPUTED_VALUE"""),0.6319444444444444)</f>
        <v>0.6319444444</v>
      </c>
      <c r="K25" s="53">
        <f t="shared" si="1"/>
        <v>0.01388888889</v>
      </c>
      <c r="L25" s="49" t="s">
        <v>109</v>
      </c>
      <c r="M25" s="62" t="s">
        <v>200</v>
      </c>
      <c r="N25" s="62" t="str">
        <f t="shared" si="2"/>
        <v>CS_5_15_0bcc2520-c55a-4ac6-be76-43340bbf64c7_000000_000000.mp4</v>
      </c>
      <c r="O25" s="63"/>
      <c r="P25" s="63"/>
      <c r="Q25" s="63"/>
      <c r="R25" s="49"/>
      <c r="S25" s="49"/>
      <c r="T25" s="49"/>
    </row>
    <row r="26">
      <c r="A26" s="49" t="str">
        <f>IFERROR(__xludf.DUMMYFUNCTION("""COMPUTED_VALUE"""),"Building a billion dollar company beyond the Valley")</f>
        <v>Building a billion dollar company beyond the Valley</v>
      </c>
      <c r="B26" s="49" t="str">
        <f>IFERROR(__xludf.DUMMYFUNCTION("""COMPUTED_VALUE"""),"Centre Stage")</f>
        <v>Centre Stage</v>
      </c>
      <c r="C26" s="51" t="str">
        <f>IFERROR(__xludf.DUMMYFUNCTION("""COMPUTED_VALUE"""),"Lucy Liu, Juan Pablo Ortega, Markus Villig, Melanie Perkins and Adam Satariano")</f>
        <v>Lucy Liu, Juan Pablo Ortega, Markus Villig, Melanie Perkins and Adam Satariano</v>
      </c>
      <c r="D26" s="49" t="str">
        <f>IFERROR(__xludf.DUMMYFUNCTION("""COMPUTED_VALUE"""),"2019/11/05 15:10:00")</f>
        <v>2019/11/05 15:10:00</v>
      </c>
      <c r="E26" s="49" t="str">
        <f>IFERROR(__xludf.DUMMYFUNCTION("""COMPUTED_VALUE"""),"2019/11/05 15:30:00")</f>
        <v>2019/11/05 15:30:00</v>
      </c>
      <c r="F26" s="49" t="str">
        <f>IFERROR(__xludf.DUMMYFUNCTION("""COMPUTED_VALUE"""),"211f55b8-8f77-4f80-a749-bdff379377a9")</f>
        <v>211f55b8-8f77-4f80-a749-bdff379377a9</v>
      </c>
      <c r="G26" s="52">
        <f>IFERROR(__xludf.DUMMYFUNCTION("""COMPUTED_VALUE"""),43774.0)</f>
        <v>43774</v>
      </c>
      <c r="H26" s="53">
        <f>IFERROR(__xludf.DUMMYFUNCTION("""COMPUTED_VALUE"""),0.6319444444444444)</f>
        <v>0.6319444444</v>
      </c>
      <c r="I26" s="52">
        <f>IFERROR(__xludf.DUMMYFUNCTION("""COMPUTED_VALUE"""),43774.0)</f>
        <v>43774</v>
      </c>
      <c r="J26" s="53">
        <f>IFERROR(__xludf.DUMMYFUNCTION("""COMPUTED_VALUE"""),0.6458333333333334)</f>
        <v>0.6458333333</v>
      </c>
      <c r="K26" s="53">
        <f t="shared" si="1"/>
        <v>0.01388888889</v>
      </c>
      <c r="L26" s="49" t="s">
        <v>109</v>
      </c>
      <c r="M26" s="62" t="s">
        <v>201</v>
      </c>
      <c r="N26" s="62" t="str">
        <f t="shared" si="2"/>
        <v>CS_5_16_211f55b8-8f77-4f80-a749-bdff379377a9_000000_000000.mp4</v>
      </c>
      <c r="O26" s="63"/>
      <c r="P26" s="63"/>
      <c r="Q26" s="63"/>
      <c r="R26" s="49"/>
      <c r="S26" s="49"/>
      <c r="T26" s="49"/>
    </row>
    <row r="27">
      <c r="A27" s="49" t="str">
        <f>IFERROR(__xludf.DUMMYFUNCTION("""COMPUTED_VALUE"""),"Evolution from keyword searches to AI-enabled conversations")</f>
        <v>Evolution from keyword searches to AI-enabled conversations</v>
      </c>
      <c r="B27" s="49" t="str">
        <f>IFERROR(__xludf.DUMMYFUNCTION("""COMPUTED_VALUE"""),"Centre Stage")</f>
        <v>Centre Stage</v>
      </c>
      <c r="C27" s="51" t="str">
        <f>IFERROR(__xludf.DUMMYFUNCTION("""COMPUTED_VALUE"""),"Rohit Prasad")</f>
        <v>Rohit Prasad</v>
      </c>
      <c r="D27" s="49" t="str">
        <f>IFERROR(__xludf.DUMMYFUNCTION("""COMPUTED_VALUE"""),"2019/11/05 15:30:00")</f>
        <v>2019/11/05 15:30:00</v>
      </c>
      <c r="E27" s="49" t="str">
        <f>IFERROR(__xludf.DUMMYFUNCTION("""COMPUTED_VALUE"""),"2019/11/05 15:50:00")</f>
        <v>2019/11/05 15:50:00</v>
      </c>
      <c r="F27" s="49" t="str">
        <f>IFERROR(__xludf.DUMMYFUNCTION("""COMPUTED_VALUE"""),"422cb568-1b51-4802-bf6e-86f3002c4fb2")</f>
        <v>422cb568-1b51-4802-bf6e-86f3002c4fb2</v>
      </c>
      <c r="G27" s="52">
        <f>IFERROR(__xludf.DUMMYFUNCTION("""COMPUTED_VALUE"""),43774.0)</f>
        <v>43774</v>
      </c>
      <c r="H27" s="53">
        <f>IFERROR(__xludf.DUMMYFUNCTION("""COMPUTED_VALUE"""),0.6458333333333334)</f>
        <v>0.6458333333</v>
      </c>
      <c r="I27" s="52">
        <f>IFERROR(__xludf.DUMMYFUNCTION("""COMPUTED_VALUE"""),43774.0)</f>
        <v>43774</v>
      </c>
      <c r="J27" s="53">
        <f>IFERROR(__xludf.DUMMYFUNCTION("""COMPUTED_VALUE"""),0.6597222222222222)</f>
        <v>0.6597222222</v>
      </c>
      <c r="K27" s="53">
        <f t="shared" si="1"/>
        <v>0.01388888889</v>
      </c>
      <c r="L27" s="49" t="s">
        <v>109</v>
      </c>
      <c r="M27" s="62" t="s">
        <v>202</v>
      </c>
      <c r="N27" s="62" t="str">
        <f t="shared" si="2"/>
        <v>CS_5_17_422cb568-1b51-4802-bf6e-86f3002c4fb2_000000_000000.mp4</v>
      </c>
      <c r="O27" s="63"/>
      <c r="P27" s="63"/>
      <c r="Q27" s="63"/>
      <c r="R27" s="49"/>
      <c r="S27" s="49"/>
      <c r="T27" s="49"/>
    </row>
    <row r="28">
      <c r="A28" s="49" t="str">
        <f>IFERROR(__xludf.DUMMYFUNCTION("""COMPUTED_VALUE"""),"Keep on creating")</f>
        <v>Keep on creating</v>
      </c>
      <c r="B28" s="49" t="str">
        <f>IFERROR(__xludf.DUMMYFUNCTION("""COMPUTED_VALUE"""),"Centre Stage")</f>
        <v>Centre Stage</v>
      </c>
      <c r="C28" s="51" t="str">
        <f>IFERROR(__xludf.DUMMYFUNCTION("""COMPUTED_VALUE"""),"  and Viktor Huszar")</f>
        <v>  and Viktor Huszar</v>
      </c>
      <c r="D28" s="49" t="str">
        <f>IFERROR(__xludf.DUMMYFUNCTION("""COMPUTED_VALUE"""),"2019/11/05 15:50:00")</f>
        <v>2019/11/05 15:50:00</v>
      </c>
      <c r="E28" s="49" t="str">
        <f>IFERROR(__xludf.DUMMYFUNCTION("""COMPUTED_VALUE"""),"2019/11/05 16:00:00")</f>
        <v>2019/11/05 16:00:00</v>
      </c>
      <c r="F28" s="49" t="str">
        <f>IFERROR(__xludf.DUMMYFUNCTION("""COMPUTED_VALUE"""),"c16e1b67-6054-472e-a051-c5b94870d36a")</f>
        <v>c16e1b67-6054-472e-a051-c5b94870d36a</v>
      </c>
      <c r="G28" s="52">
        <f>IFERROR(__xludf.DUMMYFUNCTION("""COMPUTED_VALUE"""),43774.0)</f>
        <v>43774</v>
      </c>
      <c r="H28" s="53">
        <f>IFERROR(__xludf.DUMMYFUNCTION("""COMPUTED_VALUE"""),0.6597222222222222)</f>
        <v>0.6597222222</v>
      </c>
      <c r="I28" s="52">
        <f>IFERROR(__xludf.DUMMYFUNCTION("""COMPUTED_VALUE"""),43774.0)</f>
        <v>43774</v>
      </c>
      <c r="J28" s="53">
        <f>IFERROR(__xludf.DUMMYFUNCTION("""COMPUTED_VALUE"""),0.6666666666666666)</f>
        <v>0.6666666667</v>
      </c>
      <c r="K28" s="53">
        <f t="shared" si="1"/>
        <v>0.006944444444</v>
      </c>
      <c r="L28" s="49" t="s">
        <v>122</v>
      </c>
      <c r="M28" s="62" t="s">
        <v>203</v>
      </c>
      <c r="N28" s="62" t="str">
        <f t="shared" si="2"/>
        <v>CS_5_18_c16e1b67-6054-472e-a051-c5b94870d36a_000000_000000.mp4</v>
      </c>
      <c r="O28" s="63"/>
      <c r="P28" s="63"/>
      <c r="Q28" s="63"/>
      <c r="R28" s="49"/>
      <c r="S28" s="49"/>
      <c r="T28" s="49"/>
    </row>
    <row r="29">
      <c r="A29" s="49" t="str">
        <f>IFERROR(__xludf.DUMMYFUNCTION("""COMPUTED_VALUE"""),"Setting company values ")</f>
        <v>Setting company values </v>
      </c>
      <c r="B29" s="49" t="str">
        <f>IFERROR(__xludf.DUMMYFUNCTION("""COMPUTED_VALUE"""),"Centre Stage")</f>
        <v>Centre Stage</v>
      </c>
      <c r="C29" s="51" t="str">
        <f>IFERROR(__xludf.DUMMYFUNCTION("""COMPUTED_VALUE"""),"Gillian Tans, Simon Segars, Adaire Fox-Martin and Mark Scott")</f>
        <v>Gillian Tans, Simon Segars, Adaire Fox-Martin and Mark Scott</v>
      </c>
      <c r="D29" s="49" t="str">
        <f>IFERROR(__xludf.DUMMYFUNCTION("""COMPUTED_VALUE"""),"2019/11/05 16:00:00")</f>
        <v>2019/11/05 16:00:00</v>
      </c>
      <c r="E29" s="49" t="str">
        <f>IFERROR(__xludf.DUMMYFUNCTION("""COMPUTED_VALUE"""),"2019/11/05 16:25:00")</f>
        <v>2019/11/05 16:25:00</v>
      </c>
      <c r="F29" s="49" t="str">
        <f>IFERROR(__xludf.DUMMYFUNCTION("""COMPUTED_VALUE"""),"cfebc897-dc7c-427b-85d6-090b3fa5e287")</f>
        <v>cfebc897-dc7c-427b-85d6-090b3fa5e287</v>
      </c>
      <c r="G29" s="52">
        <f>IFERROR(__xludf.DUMMYFUNCTION("""COMPUTED_VALUE"""),43774.0)</f>
        <v>43774</v>
      </c>
      <c r="H29" s="53">
        <f>IFERROR(__xludf.DUMMYFUNCTION("""COMPUTED_VALUE"""),0.6666666666666666)</f>
        <v>0.6666666667</v>
      </c>
      <c r="I29" s="52">
        <f>IFERROR(__xludf.DUMMYFUNCTION("""COMPUTED_VALUE"""),43774.0)</f>
        <v>43774</v>
      </c>
      <c r="J29" s="53">
        <f>IFERROR(__xludf.DUMMYFUNCTION("""COMPUTED_VALUE"""),0.6840277777777778)</f>
        <v>0.6840277778</v>
      </c>
      <c r="K29" s="53">
        <f t="shared" si="1"/>
        <v>0.01736111111</v>
      </c>
      <c r="L29" s="49" t="s">
        <v>111</v>
      </c>
      <c r="M29" s="62" t="s">
        <v>204</v>
      </c>
      <c r="N29" s="62" t="str">
        <f t="shared" si="2"/>
        <v>CS_5_19_cfebc897-dc7c-427b-85d6-090b3fa5e287_000000_000000.mp4</v>
      </c>
      <c r="O29" s="63"/>
      <c r="P29" s="63"/>
      <c r="Q29" s="63"/>
      <c r="R29" s="49"/>
      <c r="S29" s="49"/>
      <c r="T29" s="49"/>
    </row>
    <row r="30">
      <c r="A30" s="49" t="str">
        <f>IFERROR(__xludf.DUMMYFUNCTION("""COMPUTED_VALUE"""),"Changing the world 1% at a time")</f>
        <v>Changing the world 1% at a time</v>
      </c>
      <c r="B30" s="49" t="str">
        <f>IFERROR(__xludf.DUMMYFUNCTION("""COMPUTED_VALUE"""),"Centre Stage")</f>
        <v>Centre Stage</v>
      </c>
      <c r="C30" s="51" t="str">
        <f>IFERROR(__xludf.DUMMYFUNCTION("""COMPUTED_VALUE"""),"Eric Cantona and Jürgen Griesbeck")</f>
        <v>Eric Cantona and Jürgen Griesbeck</v>
      </c>
      <c r="D30" s="49" t="str">
        <f>IFERROR(__xludf.DUMMYFUNCTION("""COMPUTED_VALUE"""),"2019/11/05 16:25:00")</f>
        <v>2019/11/05 16:25:00</v>
      </c>
      <c r="E30" s="49" t="str">
        <f>IFERROR(__xludf.DUMMYFUNCTION("""COMPUTED_VALUE"""),"2019/11/05 16:40:00")</f>
        <v>2019/11/05 16:40:00</v>
      </c>
      <c r="F30" s="49" t="str">
        <f>IFERROR(__xludf.DUMMYFUNCTION("""COMPUTED_VALUE"""),"6b0de29c-adf7-41cc-bacf-9d6c24de379b")</f>
        <v>6b0de29c-adf7-41cc-bacf-9d6c24de379b</v>
      </c>
      <c r="G30" s="52">
        <f>IFERROR(__xludf.DUMMYFUNCTION("""COMPUTED_VALUE"""),43774.0)</f>
        <v>43774</v>
      </c>
      <c r="H30" s="53">
        <f>IFERROR(__xludf.DUMMYFUNCTION("""COMPUTED_VALUE"""),0.6840277777777778)</f>
        <v>0.6840277778</v>
      </c>
      <c r="I30" s="52">
        <f>IFERROR(__xludf.DUMMYFUNCTION("""COMPUTED_VALUE"""),43774.0)</f>
        <v>43774</v>
      </c>
      <c r="J30" s="53">
        <f>IFERROR(__xludf.DUMMYFUNCTION("""COMPUTED_VALUE"""),0.6944444444444444)</f>
        <v>0.6944444444</v>
      </c>
      <c r="K30" s="53">
        <f t="shared" si="1"/>
        <v>0.01041666667</v>
      </c>
      <c r="L30" s="49" t="s">
        <v>118</v>
      </c>
      <c r="M30" s="62" t="s">
        <v>205</v>
      </c>
      <c r="N30" s="62" t="str">
        <f t="shared" si="2"/>
        <v>CS_5_20_6b0de29c-adf7-41cc-bacf-9d6c24de379b_000000_000000.mp4</v>
      </c>
      <c r="O30" s="63"/>
      <c r="P30" s="63"/>
      <c r="Q30" s="63"/>
      <c r="R30" s="49"/>
      <c r="S30" s="49"/>
      <c r="T30" s="49"/>
    </row>
    <row r="31">
      <c r="A31" s="49" t="str">
        <f>IFERROR(__xludf.DUMMYFUNCTION("""COMPUTED_VALUE"""),"The future we build needs to be open")</f>
        <v>The future we build needs to be open</v>
      </c>
      <c r="B31" s="49" t="str">
        <f>IFERROR(__xludf.DUMMYFUNCTION("""COMPUTED_VALUE"""),"Centre Stage")</f>
        <v>Centre Stage</v>
      </c>
      <c r="C31" s="51" t="str">
        <f>IFERROR(__xludf.DUMMYFUNCTION("""COMPUTED_VALUE"""),"Katherine Maher")</f>
        <v>Katherine Maher</v>
      </c>
      <c r="D31" s="49" t="str">
        <f>IFERROR(__xludf.DUMMYFUNCTION("""COMPUTED_VALUE"""),"2019/11/05 16:40:00")</f>
        <v>2019/11/05 16:40:00</v>
      </c>
      <c r="E31" s="49" t="str">
        <f>IFERROR(__xludf.DUMMYFUNCTION("""COMPUTED_VALUE"""),"2019/11/05 17:00:00")</f>
        <v>2019/11/05 17:00:00</v>
      </c>
      <c r="F31" s="49" t="str">
        <f>IFERROR(__xludf.DUMMYFUNCTION("""COMPUTED_VALUE"""),"1e907ac3-9926-4ad8-85bc-ab11babf09e9")</f>
        <v>1e907ac3-9926-4ad8-85bc-ab11babf09e9</v>
      </c>
      <c r="G31" s="52">
        <f>IFERROR(__xludf.DUMMYFUNCTION("""COMPUTED_VALUE"""),43774.0)</f>
        <v>43774</v>
      </c>
      <c r="H31" s="53">
        <f>IFERROR(__xludf.DUMMYFUNCTION("""COMPUTED_VALUE"""),0.6944444444444444)</f>
        <v>0.6944444444</v>
      </c>
      <c r="I31" s="52">
        <f>IFERROR(__xludf.DUMMYFUNCTION("""COMPUTED_VALUE"""),43774.0)</f>
        <v>43774</v>
      </c>
      <c r="J31" s="53">
        <f>IFERROR(__xludf.DUMMYFUNCTION("""COMPUTED_VALUE"""),0.7083333333333334)</f>
        <v>0.7083333333</v>
      </c>
      <c r="K31" s="53">
        <f t="shared" si="1"/>
        <v>0.01388888889</v>
      </c>
      <c r="L31" s="49" t="s">
        <v>109</v>
      </c>
      <c r="M31" s="62" t="s">
        <v>206</v>
      </c>
      <c r="N31" s="62" t="str">
        <f t="shared" si="2"/>
        <v>CS_5_21_1e907ac3-9926-4ad8-85bc-ab11babf09e9_000000_000000.mp4</v>
      </c>
      <c r="O31" s="63"/>
      <c r="P31" s="63"/>
      <c r="Q31" s="63"/>
      <c r="R31" s="49"/>
      <c r="S31" s="49"/>
      <c r="T31" s="49"/>
    </row>
    <row r="32">
      <c r="A32" s="49" t="str">
        <f>IFERROR(__xludf.DUMMYFUNCTION("""COMPUTED_VALUE"""),"Breakout startups")</f>
        <v>Breakout startups</v>
      </c>
      <c r="B32" s="49" t="str">
        <f>IFERROR(__xludf.DUMMYFUNCTION("""COMPUTED_VALUE"""),"Centre Stage")</f>
        <v>Centre Stage</v>
      </c>
      <c r="C32" s="51" t="str">
        <f>IFERROR(__xludf.DUMMYFUNCTION("""COMPUTED_VALUE"""),"Luisa Lima, Manoj Harasgama, Amir Bozorgzadeh, Louise Lindblad, Julia Salasky, Alina Lapusneanu, Emmanuel Straschnov, Rui Sales, Victor Riparbelli, Bobby Healy, Hanna Marie Asmussen and Shiran Yaroslavsky")</f>
        <v>Luisa Lima, Manoj Harasgama, Amir Bozorgzadeh, Louise Lindblad, Julia Salasky, Alina Lapusneanu, Emmanuel Straschnov, Rui Sales, Victor Riparbelli, Bobby Healy, Hanna Marie Asmussen and Shiran Yaroslavsky</v>
      </c>
      <c r="D32" s="49" t="str">
        <f>IFERROR(__xludf.DUMMYFUNCTION("""COMPUTED_VALUE"""),"2019/11/06 09:30:00")</f>
        <v>2019/11/06 09:30:00</v>
      </c>
      <c r="E32" s="49" t="str">
        <f>IFERROR(__xludf.DUMMYFUNCTION("""COMPUTED_VALUE"""),"2019/11/06 10:15:00")</f>
        <v>2019/11/06 10:15:00</v>
      </c>
      <c r="F32" s="49" t="str">
        <f>IFERROR(__xludf.DUMMYFUNCTION("""COMPUTED_VALUE"""),"e4b9aa37-f551-4471-b9c6-65e56f0b4f3b")</f>
        <v>e4b9aa37-f551-4471-b9c6-65e56f0b4f3b</v>
      </c>
      <c r="G32" s="52">
        <f>IFERROR(__xludf.DUMMYFUNCTION("""COMPUTED_VALUE"""),43775.0)</f>
        <v>43775</v>
      </c>
      <c r="H32" s="53">
        <f>IFERROR(__xludf.DUMMYFUNCTION("""COMPUTED_VALUE"""),0.3958333333333333)</f>
        <v>0.3958333333</v>
      </c>
      <c r="I32" s="52">
        <f>IFERROR(__xludf.DUMMYFUNCTION("""COMPUTED_VALUE"""),43775.0)</f>
        <v>43775</v>
      </c>
      <c r="J32" s="53">
        <f>IFERROR(__xludf.DUMMYFUNCTION("""COMPUTED_VALUE"""),0.4270833333333333)</f>
        <v>0.4270833333</v>
      </c>
      <c r="K32" s="53">
        <f t="shared" si="1"/>
        <v>0.03125</v>
      </c>
      <c r="L32" s="49" t="s">
        <v>127</v>
      </c>
      <c r="M32" s="62" t="s">
        <v>207</v>
      </c>
      <c r="N32" s="62" t="str">
        <f t="shared" si="2"/>
        <v>CS_6_1_e4b9aa37-f551-4471-b9c6-65e56f0b4f3b_000000_000000.mp4</v>
      </c>
      <c r="O32" s="63"/>
      <c r="P32" s="63"/>
      <c r="Q32" s="63"/>
      <c r="R32" s="49"/>
      <c r="S32" s="49"/>
      <c r="T32" s="49"/>
    </row>
    <row r="33">
      <c r="A33" s="49" t="str">
        <f>IFERROR(__xludf.DUMMYFUNCTION("""COMPUTED_VALUE"""),"Opening remarks")</f>
        <v>Opening remarks</v>
      </c>
      <c r="B33" s="49" t="str">
        <f>IFERROR(__xludf.DUMMYFUNCTION("""COMPUTED_VALUE"""),"Centre Stage")</f>
        <v>Centre Stage</v>
      </c>
      <c r="C33" s="51" t="str">
        <f>IFERROR(__xludf.DUMMYFUNCTION("""COMPUTED_VALUE"""),"Paddy Cosgrave")</f>
        <v>Paddy Cosgrave</v>
      </c>
      <c r="D33" s="49" t="str">
        <f>IFERROR(__xludf.DUMMYFUNCTION("""COMPUTED_VALUE"""),"2019/11/06 10:15:00")</f>
        <v>2019/11/06 10:15:00</v>
      </c>
      <c r="E33" s="49" t="str">
        <f>IFERROR(__xludf.DUMMYFUNCTION("""COMPUTED_VALUE"""),"2019/11/06 10:30:00")</f>
        <v>2019/11/06 10:30:00</v>
      </c>
      <c r="F33" s="49" t="str">
        <f>IFERROR(__xludf.DUMMYFUNCTION("""COMPUTED_VALUE"""),"0e73253c-63d1-4a96-811d-3e941a802080")</f>
        <v>0e73253c-63d1-4a96-811d-3e941a802080</v>
      </c>
      <c r="G33" s="52">
        <f>IFERROR(__xludf.DUMMYFUNCTION("""COMPUTED_VALUE"""),43775.0)</f>
        <v>43775</v>
      </c>
      <c r="H33" s="53">
        <f>IFERROR(__xludf.DUMMYFUNCTION("""COMPUTED_VALUE"""),0.4270833333333333)</f>
        <v>0.4270833333</v>
      </c>
      <c r="I33" s="52">
        <f>IFERROR(__xludf.DUMMYFUNCTION("""COMPUTED_VALUE"""),43775.0)</f>
        <v>43775</v>
      </c>
      <c r="J33" s="53">
        <f>IFERROR(__xludf.DUMMYFUNCTION("""COMPUTED_VALUE"""),0.4375)</f>
        <v>0.4375</v>
      </c>
      <c r="K33" s="53">
        <f t="shared" si="1"/>
        <v>0.01041666667</v>
      </c>
      <c r="L33" s="49" t="s">
        <v>118</v>
      </c>
      <c r="M33" s="62" t="s">
        <v>208</v>
      </c>
      <c r="N33" s="62" t="str">
        <f t="shared" si="2"/>
        <v>CS_6_2_0e73253c-63d1-4a96-811d-3e941a802080_000000_000000.mp4</v>
      </c>
      <c r="O33" s="63"/>
      <c r="P33" s="63"/>
      <c r="Q33" s="63"/>
      <c r="R33" s="49"/>
      <c r="S33" s="49"/>
      <c r="T33" s="49"/>
    </row>
    <row r="34">
      <c r="A34" s="49" t="str">
        <f>IFERROR(__xludf.DUMMYFUNCTION("""COMPUTED_VALUE"""),"The promise and peril of the digital age")</f>
        <v>The promise and peril of the digital age</v>
      </c>
      <c r="B34" s="49" t="str">
        <f>IFERROR(__xludf.DUMMYFUNCTION("""COMPUTED_VALUE"""),"Centre Stage")</f>
        <v>Centre Stage</v>
      </c>
      <c r="C34" s="51" t="str">
        <f>IFERROR(__xludf.DUMMYFUNCTION("""COMPUTED_VALUE"""),"Brad Smith")</f>
        <v>Brad Smith</v>
      </c>
      <c r="D34" s="49" t="str">
        <f>IFERROR(__xludf.DUMMYFUNCTION("""COMPUTED_VALUE"""),"2019/11/06 10:30:00")</f>
        <v>2019/11/06 10:30:00</v>
      </c>
      <c r="E34" s="49" t="str">
        <f>IFERROR(__xludf.DUMMYFUNCTION("""COMPUTED_VALUE"""),"2019/11/06 10:55:00")</f>
        <v>2019/11/06 10:55:00</v>
      </c>
      <c r="F34" s="49" t="str">
        <f>IFERROR(__xludf.DUMMYFUNCTION("""COMPUTED_VALUE"""),"3899947d-2af3-4f5d-a770-f358abce0435")</f>
        <v>3899947d-2af3-4f5d-a770-f358abce0435</v>
      </c>
      <c r="G34" s="52">
        <f>IFERROR(__xludf.DUMMYFUNCTION("""COMPUTED_VALUE"""),43775.0)</f>
        <v>43775</v>
      </c>
      <c r="H34" s="53">
        <f>IFERROR(__xludf.DUMMYFUNCTION("""COMPUTED_VALUE"""),0.4375)</f>
        <v>0.4375</v>
      </c>
      <c r="I34" s="52">
        <f>IFERROR(__xludf.DUMMYFUNCTION("""COMPUTED_VALUE"""),43775.0)</f>
        <v>43775</v>
      </c>
      <c r="J34" s="53">
        <f>IFERROR(__xludf.DUMMYFUNCTION("""COMPUTED_VALUE"""),0.4548611111111111)</f>
        <v>0.4548611111</v>
      </c>
      <c r="K34" s="53">
        <f t="shared" si="1"/>
        <v>0.01736111111</v>
      </c>
      <c r="L34" s="49" t="s">
        <v>111</v>
      </c>
      <c r="M34" s="62" t="s">
        <v>209</v>
      </c>
      <c r="N34" s="62" t="str">
        <f t="shared" si="2"/>
        <v>CS_6_3_3899947d-2af3-4f5d-a770-f358abce0435_000000_000000.mp4</v>
      </c>
      <c r="O34" s="63"/>
      <c r="P34" s="63"/>
      <c r="Q34" s="63"/>
      <c r="R34" s="49"/>
      <c r="S34" s="49"/>
      <c r="T34" s="49"/>
    </row>
    <row r="35">
      <c r="A35" s="49" t="str">
        <f>IFERROR(__xludf.DUMMYFUNCTION("""COMPUTED_VALUE"""),"None left behind: Making tech work for the many")</f>
        <v>None left behind: Making tech work for the many</v>
      </c>
      <c r="B35" s="49" t="str">
        <f>IFERROR(__xludf.DUMMYFUNCTION("""COMPUTED_VALUE"""),"Centre Stage")</f>
        <v>Centre Stage</v>
      </c>
      <c r="C35" s="51" t="str">
        <f>IFERROR(__xludf.DUMMYFUNCTION("""COMPUTED_VALUE"""),"Tony Blair, Ro Khanna and Hadas Gold")</f>
        <v>Tony Blair, Ro Khanna and Hadas Gold</v>
      </c>
      <c r="D35" s="49" t="str">
        <f>IFERROR(__xludf.DUMMYFUNCTION("""COMPUTED_VALUE"""),"2019/11/06 10:55:00")</f>
        <v>2019/11/06 10:55:00</v>
      </c>
      <c r="E35" s="49" t="str">
        <f>IFERROR(__xludf.DUMMYFUNCTION("""COMPUTED_VALUE"""),"2019/11/06 11:25:00")</f>
        <v>2019/11/06 11:25:00</v>
      </c>
      <c r="F35" s="49" t="str">
        <f>IFERROR(__xludf.DUMMYFUNCTION("""COMPUTED_VALUE"""),"6305e2fe-d840-41ae-89d9-bf00103142a0")</f>
        <v>6305e2fe-d840-41ae-89d9-bf00103142a0</v>
      </c>
      <c r="G35" s="52">
        <f>IFERROR(__xludf.DUMMYFUNCTION("""COMPUTED_VALUE"""),43775.0)</f>
        <v>43775</v>
      </c>
      <c r="H35" s="53">
        <f>IFERROR(__xludf.DUMMYFUNCTION("""COMPUTED_VALUE"""),0.4548611111111111)</f>
        <v>0.4548611111</v>
      </c>
      <c r="I35" s="52">
        <f>IFERROR(__xludf.DUMMYFUNCTION("""COMPUTED_VALUE"""),43775.0)</f>
        <v>43775</v>
      </c>
      <c r="J35" s="53">
        <f>IFERROR(__xludf.DUMMYFUNCTION("""COMPUTED_VALUE"""),0.4756944444444444)</f>
        <v>0.4756944444</v>
      </c>
      <c r="K35" s="53">
        <f t="shared" si="1"/>
        <v>0.02083333333</v>
      </c>
      <c r="L35" s="49" t="s">
        <v>105</v>
      </c>
      <c r="M35" s="62" t="s">
        <v>210</v>
      </c>
      <c r="N35" s="62" t="str">
        <f t="shared" si="2"/>
        <v>CS_6_4_6305e2fe-d840-41ae-89d9-bf00103142a0_000000_000000.mp4</v>
      </c>
      <c r="O35" s="63"/>
      <c r="P35" s="63"/>
      <c r="Q35" s="63"/>
      <c r="R35" s="49"/>
      <c r="S35" s="49"/>
      <c r="T35" s="49"/>
    </row>
    <row r="36">
      <c r="A36" s="49" t="str">
        <f>IFERROR(__xludf.DUMMYFUNCTION("""COMPUTED_VALUE"""),"Where I am putting my money this year")</f>
        <v>Where I am putting my money this year</v>
      </c>
      <c r="B36" s="49" t="str">
        <f>IFERROR(__xludf.DUMMYFUNCTION("""COMPUTED_VALUE"""),"Centre Stage")</f>
        <v>Centre Stage</v>
      </c>
      <c r="C36" s="51" t="str">
        <f>IFERROR(__xludf.DUMMYFUNCTION("""COMPUTED_VALUE"""),"Pär-Jörgen Pärson, Bradley Twohig, Rashmi Gopinath and Felix Salmon")</f>
        <v>Pär-Jörgen Pärson, Bradley Twohig, Rashmi Gopinath and Felix Salmon</v>
      </c>
      <c r="D36" s="49" t="str">
        <f>IFERROR(__xludf.DUMMYFUNCTION("""COMPUTED_VALUE"""),"2019/11/06 11:25:00")</f>
        <v>2019/11/06 11:25:00</v>
      </c>
      <c r="E36" s="49" t="str">
        <f>IFERROR(__xludf.DUMMYFUNCTION("""COMPUTED_VALUE"""),"2019/11/06 11:45:00")</f>
        <v>2019/11/06 11:45:00</v>
      </c>
      <c r="F36" s="49" t="str">
        <f>IFERROR(__xludf.DUMMYFUNCTION("""COMPUTED_VALUE"""),"03635554-751f-4ad7-95ea-05f9e587b0b8")</f>
        <v>03635554-751f-4ad7-95ea-05f9e587b0b8</v>
      </c>
      <c r="G36" s="52">
        <f>IFERROR(__xludf.DUMMYFUNCTION("""COMPUTED_VALUE"""),43775.0)</f>
        <v>43775</v>
      </c>
      <c r="H36" s="53">
        <f>IFERROR(__xludf.DUMMYFUNCTION("""COMPUTED_VALUE"""),0.4756944444444444)</f>
        <v>0.4756944444</v>
      </c>
      <c r="I36" s="52">
        <f>IFERROR(__xludf.DUMMYFUNCTION("""COMPUTED_VALUE"""),43775.0)</f>
        <v>43775</v>
      </c>
      <c r="J36" s="53">
        <f>IFERROR(__xludf.DUMMYFUNCTION("""COMPUTED_VALUE"""),0.4895833333333333)</f>
        <v>0.4895833333</v>
      </c>
      <c r="K36" s="53">
        <f t="shared" si="1"/>
        <v>0.01388888889</v>
      </c>
      <c r="L36" s="49" t="s">
        <v>109</v>
      </c>
      <c r="M36" s="62" t="s">
        <v>212</v>
      </c>
      <c r="N36" s="62" t="str">
        <f t="shared" si="2"/>
        <v>CS_6_5_03635554-751f-4ad7-95ea-05f9e587b0b8_000000_000000.mp4</v>
      </c>
      <c r="O36" s="63"/>
      <c r="P36" s="63"/>
      <c r="Q36" s="63"/>
      <c r="R36" s="49"/>
      <c r="S36" s="49"/>
      <c r="T36" s="49"/>
    </row>
    <row r="37">
      <c r="A37" s="49" t="str">
        <f>IFERROR(__xludf.DUMMYFUNCTION("""COMPUTED_VALUE"""),"How to create awe")</f>
        <v>How to create awe</v>
      </c>
      <c r="B37" s="49" t="str">
        <f>IFERROR(__xludf.DUMMYFUNCTION("""COMPUTED_VALUE"""),"Centre Stage")</f>
        <v>Centre Stage</v>
      </c>
      <c r="C37" s="51" t="str">
        <f>IFERROR(__xludf.DUMMYFUNCTION("""COMPUTED_VALUE"""),"Mike McGee")</f>
        <v>Mike McGee</v>
      </c>
      <c r="D37" s="49" t="str">
        <f>IFERROR(__xludf.DUMMYFUNCTION("""COMPUTED_VALUE"""),"2019/11/06 11:45:00")</f>
        <v>2019/11/06 11:45:00</v>
      </c>
      <c r="E37" s="49" t="str">
        <f>IFERROR(__xludf.DUMMYFUNCTION("""COMPUTED_VALUE"""),"2019/11/06 11:55:00")</f>
        <v>2019/11/06 11:55:00</v>
      </c>
      <c r="F37" s="49" t="str">
        <f>IFERROR(__xludf.DUMMYFUNCTION("""COMPUTED_VALUE"""),"5aec3572-66ef-40d2-91eb-9d3c9af11296")</f>
        <v>5aec3572-66ef-40d2-91eb-9d3c9af11296</v>
      </c>
      <c r="G37" s="52">
        <f>IFERROR(__xludf.DUMMYFUNCTION("""COMPUTED_VALUE"""),43775.0)</f>
        <v>43775</v>
      </c>
      <c r="H37" s="53">
        <f>IFERROR(__xludf.DUMMYFUNCTION("""COMPUTED_VALUE"""),0.4895833333333333)</f>
        <v>0.4895833333</v>
      </c>
      <c r="I37" s="52">
        <f>IFERROR(__xludf.DUMMYFUNCTION("""COMPUTED_VALUE"""),43775.0)</f>
        <v>43775</v>
      </c>
      <c r="J37" s="53">
        <f>IFERROR(__xludf.DUMMYFUNCTION("""COMPUTED_VALUE"""),0.4965277777777778)</f>
        <v>0.4965277778</v>
      </c>
      <c r="K37" s="53">
        <f t="shared" si="1"/>
        <v>0.006944444444</v>
      </c>
      <c r="L37" s="49" t="s">
        <v>122</v>
      </c>
      <c r="M37" s="62" t="s">
        <v>213</v>
      </c>
      <c r="N37" s="62" t="str">
        <f t="shared" si="2"/>
        <v>CS_6_6_5aec3572-66ef-40d2-91eb-9d3c9af11296_000000_000000.mp4</v>
      </c>
      <c r="O37" s="63"/>
      <c r="P37" s="63"/>
      <c r="Q37" s="63"/>
      <c r="R37" s="49"/>
      <c r="S37" s="49"/>
      <c r="T37" s="49"/>
    </row>
    <row r="38">
      <c r="A38" s="49" t="str">
        <f>IFERROR(__xludf.DUMMYFUNCTION("""COMPUTED_VALUE"""),"Unboxing your future smartphone")</f>
        <v>Unboxing your future smartphone</v>
      </c>
      <c r="B38" s="49" t="str">
        <f>IFERROR(__xludf.DUMMYFUNCTION("""COMPUTED_VALUE"""),"Centre Stage")</f>
        <v>Centre Stage</v>
      </c>
      <c r="C38" s="51" t="str">
        <f>IFERROR(__xludf.DUMMYFUNCTION("""COMPUTED_VALUE"""),"Kris Carlon, Tom Honeyands, Jacklyn Dallas, Eli Etherton and Lindsey Turrentine")</f>
        <v>Kris Carlon, Tom Honeyands, Jacklyn Dallas, Eli Etherton and Lindsey Turrentine</v>
      </c>
      <c r="D38" s="49" t="str">
        <f>IFERROR(__xludf.DUMMYFUNCTION("""COMPUTED_VALUE"""),"2019/11/06 11:55:00")</f>
        <v>2019/11/06 11:55:00</v>
      </c>
      <c r="E38" s="49" t="str">
        <f>IFERROR(__xludf.DUMMYFUNCTION("""COMPUTED_VALUE"""),"2019/11/06 12:20:00")</f>
        <v>2019/11/06 12:20:00</v>
      </c>
      <c r="F38" s="49" t="str">
        <f>IFERROR(__xludf.DUMMYFUNCTION("""COMPUTED_VALUE"""),"a0ce662b-cb37-41b9-9e74-9e0b781f25bc")</f>
        <v>a0ce662b-cb37-41b9-9e74-9e0b781f25bc</v>
      </c>
      <c r="G38" s="52">
        <f>IFERROR(__xludf.DUMMYFUNCTION("""COMPUTED_VALUE"""),43775.0)</f>
        <v>43775</v>
      </c>
      <c r="H38" s="53">
        <f>IFERROR(__xludf.DUMMYFUNCTION("""COMPUTED_VALUE"""),0.4965277777777778)</f>
        <v>0.4965277778</v>
      </c>
      <c r="I38" s="52">
        <f>IFERROR(__xludf.DUMMYFUNCTION("""COMPUTED_VALUE"""),43775.0)</f>
        <v>43775</v>
      </c>
      <c r="J38" s="53">
        <f>IFERROR(__xludf.DUMMYFUNCTION("""COMPUTED_VALUE"""),0.5138888888888888)</f>
        <v>0.5138888889</v>
      </c>
      <c r="K38" s="53">
        <f t="shared" si="1"/>
        <v>0.01736111111</v>
      </c>
      <c r="L38" s="49" t="s">
        <v>111</v>
      </c>
      <c r="M38" s="62" t="s">
        <v>215</v>
      </c>
      <c r="N38" s="62" t="str">
        <f t="shared" si="2"/>
        <v>CS_6_7_a0ce662b-cb37-41b9-9e74-9e0b781f25bc_000000_000000.mp4</v>
      </c>
      <c r="O38" s="63"/>
      <c r="P38" s="63"/>
      <c r="Q38" s="63"/>
      <c r="R38" s="49"/>
      <c r="S38" s="49"/>
      <c r="T38" s="49"/>
    </row>
    <row r="39">
      <c r="A39" s="49" t="str">
        <f>IFERROR(__xludf.DUMMYFUNCTION("""COMPUTED_VALUE"""),"The evolution of virtual beings")</f>
        <v>The evolution of virtual beings</v>
      </c>
      <c r="B39" s="49" t="str">
        <f>IFERROR(__xludf.DUMMYFUNCTION("""COMPUTED_VALUE"""),"Centre Stage")</f>
        <v>Centre Stage</v>
      </c>
      <c r="C39" s="51" t="str">
        <f>IFERROR(__xludf.DUMMYFUNCTION("""COMPUTED_VALUE"""),"Eugene Chung")</f>
        <v>Eugene Chung</v>
      </c>
      <c r="D39" s="49" t="str">
        <f>IFERROR(__xludf.DUMMYFUNCTION("""COMPUTED_VALUE"""),"2019/11/06 12:20:00")</f>
        <v>2019/11/06 12:20:00</v>
      </c>
      <c r="E39" s="49" t="str">
        <f>IFERROR(__xludf.DUMMYFUNCTION("""COMPUTED_VALUE"""),"2019/11/06 12:35:00")</f>
        <v>2019/11/06 12:35:00</v>
      </c>
      <c r="F39" s="49" t="str">
        <f>IFERROR(__xludf.DUMMYFUNCTION("""COMPUTED_VALUE"""),"25b269c9-e062-488b-ae06-3f58151379ca")</f>
        <v>25b269c9-e062-488b-ae06-3f58151379ca</v>
      </c>
      <c r="G39" s="52">
        <f>IFERROR(__xludf.DUMMYFUNCTION("""COMPUTED_VALUE"""),43775.0)</f>
        <v>43775</v>
      </c>
      <c r="H39" s="53">
        <f>IFERROR(__xludf.DUMMYFUNCTION("""COMPUTED_VALUE"""),0.5138888888888888)</f>
        <v>0.5138888889</v>
      </c>
      <c r="I39" s="52">
        <f>IFERROR(__xludf.DUMMYFUNCTION("""COMPUTED_VALUE"""),43775.0)</f>
        <v>43775</v>
      </c>
      <c r="J39" s="53">
        <f>IFERROR(__xludf.DUMMYFUNCTION("""COMPUTED_VALUE"""),0.5243055555555556)</f>
        <v>0.5243055556</v>
      </c>
      <c r="K39" s="53">
        <f t="shared" si="1"/>
        <v>0.01041666667</v>
      </c>
      <c r="L39" s="49" t="s">
        <v>118</v>
      </c>
      <c r="M39" s="62" t="s">
        <v>217</v>
      </c>
      <c r="N39" s="62" t="str">
        <f t="shared" si="2"/>
        <v>CS_6_8_25b269c9-e062-488b-ae06-3f58151379ca_000000_000000.mp4</v>
      </c>
      <c r="O39" s="63"/>
      <c r="P39" s="63"/>
      <c r="Q39" s="63"/>
      <c r="R39" s="49"/>
      <c r="S39" s="49"/>
      <c r="T39" s="49"/>
    </row>
    <row r="40">
      <c r="A40" s="49" t="str">
        <f>IFERROR(__xludf.DUMMYFUNCTION("""COMPUTED_VALUE"""),"Dude, where's my flying car?")</f>
        <v>Dude, where's my flying car?</v>
      </c>
      <c r="B40" s="49" t="str">
        <f>IFERROR(__xludf.DUMMYFUNCTION("""COMPUTED_VALUE"""),"Centre Stage")</f>
        <v>Centre Stage</v>
      </c>
      <c r="C40" s="51" t="str">
        <f>IFERROR(__xludf.DUMMYFUNCTION("""COMPUTED_VALUE"""),"David Wallerstein and Daniel Wiegand")</f>
        <v>David Wallerstein and Daniel Wiegand</v>
      </c>
      <c r="D40" s="49" t="str">
        <f>IFERROR(__xludf.DUMMYFUNCTION("""COMPUTED_VALUE"""),"2019/11/06 12:35:00")</f>
        <v>2019/11/06 12:35:00</v>
      </c>
      <c r="E40" s="49" t="str">
        <f>IFERROR(__xludf.DUMMYFUNCTION("""COMPUTED_VALUE"""),"2019/11/06 13:00:00")</f>
        <v>2019/11/06 13:00:00</v>
      </c>
      <c r="F40" s="49" t="str">
        <f>IFERROR(__xludf.DUMMYFUNCTION("""COMPUTED_VALUE"""),"440a77b6-51a2-4941-afb6-162cc94f6ef9")</f>
        <v>440a77b6-51a2-4941-afb6-162cc94f6ef9</v>
      </c>
      <c r="G40" s="52">
        <f>IFERROR(__xludf.DUMMYFUNCTION("""COMPUTED_VALUE"""),43775.0)</f>
        <v>43775</v>
      </c>
      <c r="H40" s="53">
        <f>IFERROR(__xludf.DUMMYFUNCTION("""COMPUTED_VALUE"""),0.5243055555555556)</f>
        <v>0.5243055556</v>
      </c>
      <c r="I40" s="52">
        <f>IFERROR(__xludf.DUMMYFUNCTION("""COMPUTED_VALUE"""),43775.0)</f>
        <v>43775</v>
      </c>
      <c r="J40" s="53">
        <f>IFERROR(__xludf.DUMMYFUNCTION("""COMPUTED_VALUE"""),0.5416666666666666)</f>
        <v>0.5416666667</v>
      </c>
      <c r="K40" s="53">
        <f t="shared" si="1"/>
        <v>0.01736111111</v>
      </c>
      <c r="L40" s="49" t="s">
        <v>111</v>
      </c>
      <c r="M40" s="62" t="s">
        <v>220</v>
      </c>
      <c r="N40" s="62" t="str">
        <f t="shared" si="2"/>
        <v>CS_6_9_440a77b6-51a2-4941-afb6-162cc94f6ef9_000000_000000.mp4</v>
      </c>
      <c r="O40" s="63"/>
      <c r="P40" s="63"/>
      <c r="Q40" s="63"/>
      <c r="R40" s="49"/>
      <c r="S40" s="49"/>
      <c r="T40" s="49"/>
    </row>
    <row r="41">
      <c r="A41" s="49" t="str">
        <f>IFERROR(__xludf.DUMMYFUNCTION("""COMPUTED_VALUE"""),"Lunch break")</f>
        <v>Lunch break</v>
      </c>
      <c r="B41" s="49" t="str">
        <f>IFERROR(__xludf.DUMMYFUNCTION("""COMPUTED_VALUE"""),"Centre Stage")</f>
        <v>Centre Stage</v>
      </c>
      <c r="C41" s="51" t="str">
        <f>IFERROR(__xludf.DUMMYFUNCTION("""COMPUTED_VALUE"""),"")</f>
        <v/>
      </c>
      <c r="D41" s="49" t="str">
        <f>IFERROR(__xludf.DUMMYFUNCTION("""COMPUTED_VALUE"""),"2019/11/06 13:00:00")</f>
        <v>2019/11/06 13:00:00</v>
      </c>
      <c r="E41" s="49" t="str">
        <f>IFERROR(__xludf.DUMMYFUNCTION("""COMPUTED_VALUE"""),"2019/11/06 13:10:00")</f>
        <v>2019/11/06 13:10:00</v>
      </c>
      <c r="F41" s="49" t="str">
        <f>IFERROR(__xludf.DUMMYFUNCTION("""COMPUTED_VALUE"""),"a073ad0e-182e-4925-8032-a00501472885")</f>
        <v>a073ad0e-182e-4925-8032-a00501472885</v>
      </c>
      <c r="G41" s="52">
        <f>IFERROR(__xludf.DUMMYFUNCTION("""COMPUTED_VALUE"""),43775.0)</f>
        <v>43775</v>
      </c>
      <c r="H41" s="53">
        <f>IFERROR(__xludf.DUMMYFUNCTION("""COMPUTED_VALUE"""),0.5416666666666666)</f>
        <v>0.5416666667</v>
      </c>
      <c r="I41" s="52">
        <f>IFERROR(__xludf.DUMMYFUNCTION("""COMPUTED_VALUE"""),43775.0)</f>
        <v>43775</v>
      </c>
      <c r="J41" s="53">
        <f>IFERROR(__xludf.DUMMYFUNCTION("""COMPUTED_VALUE"""),0.5486111111111112)</f>
        <v>0.5486111111</v>
      </c>
      <c r="K41" s="53">
        <f t="shared" si="1"/>
        <v>0.006944444444</v>
      </c>
      <c r="L41" s="49" t="s">
        <v>122</v>
      </c>
      <c r="M41" s="62"/>
      <c r="N41" s="62" t="str">
        <f t="shared" si="2"/>
        <v>_a073ad0e-182e-4925-8032-a00501472885_000000_000000.mp4</v>
      </c>
      <c r="O41" s="63"/>
      <c r="P41" s="63"/>
      <c r="Q41" s="63"/>
      <c r="R41" s="49"/>
      <c r="S41" s="49"/>
      <c r="T41" s="49"/>
    </row>
    <row r="42">
      <c r="A42" s="49" t="str">
        <f>IFERROR(__xludf.DUMMYFUNCTION("""COMPUTED_VALUE"""),"Breakout startups")</f>
        <v>Breakout startups</v>
      </c>
      <c r="B42" s="49" t="str">
        <f>IFERROR(__xludf.DUMMYFUNCTION("""COMPUTED_VALUE"""),"Centre Stage")</f>
        <v>Centre Stage</v>
      </c>
      <c r="C42" s="51" t="str">
        <f>IFERROR(__xludf.DUMMYFUNCTION("""COMPUTED_VALUE"""),"Spenser Skates, Ray Reddy, David Yovanno, Lupina Iturriaga, Sarah Nahm, Linn Tagesson and Polina Montano")</f>
        <v>Spenser Skates, Ray Reddy, David Yovanno, Lupina Iturriaga, Sarah Nahm, Linn Tagesson and Polina Montano</v>
      </c>
      <c r="D42" s="49" t="str">
        <f>IFERROR(__xludf.DUMMYFUNCTION("""COMPUTED_VALUE"""),"2019/11/06 13:10:00")</f>
        <v>2019/11/06 13:10:00</v>
      </c>
      <c r="E42" s="49" t="str">
        <f>IFERROR(__xludf.DUMMYFUNCTION("""COMPUTED_VALUE"""),"2019/11/06 13:45:00")</f>
        <v>2019/11/06 13:45:00</v>
      </c>
      <c r="F42" s="49" t="str">
        <f>IFERROR(__xludf.DUMMYFUNCTION("""COMPUTED_VALUE"""),"d514f782-9271-46f4-b677-86c60e79a5c2")</f>
        <v>d514f782-9271-46f4-b677-86c60e79a5c2</v>
      </c>
      <c r="G42" s="52">
        <f>IFERROR(__xludf.DUMMYFUNCTION("""COMPUTED_VALUE"""),43775.0)</f>
        <v>43775</v>
      </c>
      <c r="H42" s="53">
        <f>IFERROR(__xludf.DUMMYFUNCTION("""COMPUTED_VALUE"""),0.5486111111111112)</f>
        <v>0.5486111111</v>
      </c>
      <c r="I42" s="52">
        <f>IFERROR(__xludf.DUMMYFUNCTION("""COMPUTED_VALUE"""),43775.0)</f>
        <v>43775</v>
      </c>
      <c r="J42" s="53">
        <f>IFERROR(__xludf.DUMMYFUNCTION("""COMPUTED_VALUE"""),0.5729166666666666)</f>
        <v>0.5729166667</v>
      </c>
      <c r="K42" s="53">
        <f t="shared" si="1"/>
        <v>0.02430555556</v>
      </c>
      <c r="L42" s="49" t="s">
        <v>158</v>
      </c>
      <c r="M42" s="62" t="s">
        <v>223</v>
      </c>
      <c r="N42" s="62" t="str">
        <f t="shared" si="2"/>
        <v>CS_6_10_d514f782-9271-46f4-b677-86c60e79a5c2_000000_000000.mp4</v>
      </c>
      <c r="O42" s="63"/>
      <c r="P42" s="63"/>
      <c r="Q42" s="63"/>
      <c r="R42" s="49"/>
      <c r="S42" s="49"/>
      <c r="T42" s="49"/>
    </row>
    <row r="43">
      <c r="A43" s="49" t="str">
        <f>IFERROR(__xludf.DUMMYFUNCTION("""COMPUTED_VALUE"""),"Opening remarks")</f>
        <v>Opening remarks</v>
      </c>
      <c r="B43" s="49" t="str">
        <f>IFERROR(__xludf.DUMMYFUNCTION("""COMPUTED_VALUE"""),"Centre Stage")</f>
        <v>Centre Stage</v>
      </c>
      <c r="C43" s="51" t="str">
        <f>IFERROR(__xludf.DUMMYFUNCTION("""COMPUTED_VALUE"""),"Yvonne Redmond")</f>
        <v>Yvonne Redmond</v>
      </c>
      <c r="D43" s="49" t="str">
        <f>IFERROR(__xludf.DUMMYFUNCTION("""COMPUTED_VALUE"""),"2019/11/06 13:50:00")</f>
        <v>2019/11/06 13:50:00</v>
      </c>
      <c r="E43" s="49" t="str">
        <f>IFERROR(__xludf.DUMMYFUNCTION("""COMPUTED_VALUE"""),"2019/11/06 14:00:00")</f>
        <v>2019/11/06 14:00:00</v>
      </c>
      <c r="F43" s="49" t="str">
        <f>IFERROR(__xludf.DUMMYFUNCTION("""COMPUTED_VALUE"""),"0cf0a640-509c-4e4c-8645-36186884d20e")</f>
        <v>0cf0a640-509c-4e4c-8645-36186884d20e</v>
      </c>
      <c r="G43" s="52">
        <f>IFERROR(__xludf.DUMMYFUNCTION("""COMPUTED_VALUE"""),43775.0)</f>
        <v>43775</v>
      </c>
      <c r="H43" s="53">
        <f>IFERROR(__xludf.DUMMYFUNCTION("""COMPUTED_VALUE"""),0.5763888888888888)</f>
        <v>0.5763888889</v>
      </c>
      <c r="I43" s="52">
        <f>IFERROR(__xludf.DUMMYFUNCTION("""COMPUTED_VALUE"""),43775.0)</f>
        <v>43775</v>
      </c>
      <c r="J43" s="53">
        <f>IFERROR(__xludf.DUMMYFUNCTION("""COMPUTED_VALUE"""),0.5833333333333334)</f>
        <v>0.5833333333</v>
      </c>
      <c r="K43" s="53">
        <f t="shared" si="1"/>
        <v>0.006944444444</v>
      </c>
      <c r="L43" s="49" t="s">
        <v>122</v>
      </c>
      <c r="M43" s="62" t="s">
        <v>224</v>
      </c>
      <c r="N43" s="62" t="str">
        <f t="shared" si="2"/>
        <v>CS_6_11_0cf0a640-509c-4e4c-8645-36186884d20e_000000_000000.mp4</v>
      </c>
      <c r="O43" s="63"/>
      <c r="P43" s="63"/>
      <c r="Q43" s="63"/>
      <c r="R43" s="49"/>
      <c r="S43" s="49"/>
      <c r="T43" s="49"/>
    </row>
    <row r="44">
      <c r="A44" s="49" t="str">
        <f>IFERROR(__xludf.DUMMYFUNCTION("""COMPUTED_VALUE"""),"Robots are dead, long live robots")</f>
        <v>Robots are dead, long live robots</v>
      </c>
      <c r="B44" s="49" t="str">
        <f>IFERROR(__xludf.DUMMYFUNCTION("""COMPUTED_VALUE"""),"Centre Stage")</f>
        <v>Centre Stage</v>
      </c>
      <c r="C44" s="51" t="str">
        <f>IFERROR(__xludf.DUMMYFUNCTION("""COMPUTED_VALUE"""),"David Hanson, Sophia The Robot, Ben Goertzel and Philip K. Dick (robot)")</f>
        <v>David Hanson, Sophia The Robot, Ben Goertzel and Philip K. Dick (robot)</v>
      </c>
      <c r="D44" s="49" t="str">
        <f>IFERROR(__xludf.DUMMYFUNCTION("""COMPUTED_VALUE"""),"2019/11/06 14:00:00")</f>
        <v>2019/11/06 14:00:00</v>
      </c>
      <c r="E44" s="49" t="str">
        <f>IFERROR(__xludf.DUMMYFUNCTION("""COMPUTED_VALUE"""),"2019/11/06 14:25:00")</f>
        <v>2019/11/06 14:25:00</v>
      </c>
      <c r="F44" s="49" t="str">
        <f>IFERROR(__xludf.DUMMYFUNCTION("""COMPUTED_VALUE"""),"62a7378f-54a0-4a03-a376-07e508576ebb")</f>
        <v>62a7378f-54a0-4a03-a376-07e508576ebb</v>
      </c>
      <c r="G44" s="52">
        <f>IFERROR(__xludf.DUMMYFUNCTION("""COMPUTED_VALUE"""),43775.0)</f>
        <v>43775</v>
      </c>
      <c r="H44" s="53">
        <f>IFERROR(__xludf.DUMMYFUNCTION("""COMPUTED_VALUE"""),0.5833333333333334)</f>
        <v>0.5833333333</v>
      </c>
      <c r="I44" s="52">
        <f>IFERROR(__xludf.DUMMYFUNCTION("""COMPUTED_VALUE"""),43775.0)</f>
        <v>43775</v>
      </c>
      <c r="J44" s="53">
        <f>IFERROR(__xludf.DUMMYFUNCTION("""COMPUTED_VALUE"""),0.6006944444444444)</f>
        <v>0.6006944444</v>
      </c>
      <c r="K44" s="53">
        <f t="shared" si="1"/>
        <v>0.01736111111</v>
      </c>
      <c r="L44" s="49" t="s">
        <v>111</v>
      </c>
      <c r="M44" s="62" t="s">
        <v>226</v>
      </c>
      <c r="N44" s="62" t="str">
        <f t="shared" si="2"/>
        <v>CS_6_12_62a7378f-54a0-4a03-a376-07e508576ebb_000000_000000.mp4</v>
      </c>
      <c r="O44" s="63"/>
      <c r="P44" s="63"/>
      <c r="Q44" s="63"/>
      <c r="R44" s="49"/>
      <c r="S44" s="49"/>
      <c r="T44" s="49"/>
    </row>
    <row r="45">
      <c r="A45" s="49" t="str">
        <f>IFERROR(__xludf.DUMMYFUNCTION("""COMPUTED_VALUE"""),"Trade wars: A new world order?")</f>
        <v>Trade wars: A new world order?</v>
      </c>
      <c r="B45" s="49" t="str">
        <f>IFERROR(__xludf.DUMMYFUNCTION("""COMPUTED_VALUE"""),"Centre Stage")</f>
        <v>Centre Stage</v>
      </c>
      <c r="C45" s="51" t="str">
        <f>IFERROR(__xludf.DUMMYFUNCTION("""COMPUTED_VALUE"""),"Michael Pillsbury, Juan Branco and David Rowan")</f>
        <v>Michael Pillsbury, Juan Branco and David Rowan</v>
      </c>
      <c r="D45" s="49" t="str">
        <f>IFERROR(__xludf.DUMMYFUNCTION("""COMPUTED_VALUE"""),"2019/11/06 14:25:00")</f>
        <v>2019/11/06 14:25:00</v>
      </c>
      <c r="E45" s="49" t="str">
        <f>IFERROR(__xludf.DUMMYFUNCTION("""COMPUTED_VALUE"""),"2019/11/06 14:45:00")</f>
        <v>2019/11/06 14:45:00</v>
      </c>
      <c r="F45" s="49" t="str">
        <f>IFERROR(__xludf.DUMMYFUNCTION("""COMPUTED_VALUE"""),"8810b318-8638-4e54-ae92-d10c473d1741")</f>
        <v>8810b318-8638-4e54-ae92-d10c473d1741</v>
      </c>
      <c r="G45" s="52">
        <f>IFERROR(__xludf.DUMMYFUNCTION("""COMPUTED_VALUE"""),43775.0)</f>
        <v>43775</v>
      </c>
      <c r="H45" s="53">
        <f>IFERROR(__xludf.DUMMYFUNCTION("""COMPUTED_VALUE"""),0.6006944444444444)</f>
        <v>0.6006944444</v>
      </c>
      <c r="I45" s="52">
        <f>IFERROR(__xludf.DUMMYFUNCTION("""COMPUTED_VALUE"""),43775.0)</f>
        <v>43775</v>
      </c>
      <c r="J45" s="53">
        <f>IFERROR(__xludf.DUMMYFUNCTION("""COMPUTED_VALUE"""),0.6145833333333334)</f>
        <v>0.6145833333</v>
      </c>
      <c r="K45" s="53">
        <f t="shared" si="1"/>
        <v>0.01388888889</v>
      </c>
      <c r="L45" s="49" t="s">
        <v>109</v>
      </c>
      <c r="M45" s="62" t="s">
        <v>227</v>
      </c>
      <c r="N45" s="62" t="str">
        <f t="shared" si="2"/>
        <v>CS_6_13_8810b318-8638-4e54-ae92-d10c473d1741_000000_000000.mp4</v>
      </c>
      <c r="O45" s="63"/>
      <c r="P45" s="63"/>
      <c r="Q45" s="63"/>
      <c r="R45" s="49"/>
      <c r="S45" s="49"/>
      <c r="T45" s="49"/>
    </row>
    <row r="46">
      <c r="A46" s="49" t="str">
        <f>IFERROR(__xludf.DUMMYFUNCTION("""COMPUTED_VALUE"""),"Is it too late to save the world?")</f>
        <v>Is it too late to save the world?</v>
      </c>
      <c r="B46" s="49" t="str">
        <f>IFERROR(__xludf.DUMMYFUNCTION("""COMPUTED_VALUE"""),"Centre Stage")</f>
        <v>Centre Stage</v>
      </c>
      <c r="C46" s="51" t="str">
        <f>IFERROR(__xludf.DUMMYFUNCTION("""COMPUTED_VALUE"""),"Christiana Figueres, Kate Brandt and Cheng Lei")</f>
        <v>Christiana Figueres, Kate Brandt and Cheng Lei</v>
      </c>
      <c r="D46" s="49" t="str">
        <f>IFERROR(__xludf.DUMMYFUNCTION("""COMPUTED_VALUE"""),"2019/11/06 14:45:00")</f>
        <v>2019/11/06 14:45:00</v>
      </c>
      <c r="E46" s="49" t="str">
        <f>IFERROR(__xludf.DUMMYFUNCTION("""COMPUTED_VALUE"""),"2019/11/06 15:10:00")</f>
        <v>2019/11/06 15:10:00</v>
      </c>
      <c r="F46" s="49" t="str">
        <f>IFERROR(__xludf.DUMMYFUNCTION("""COMPUTED_VALUE"""),"a5516898-7b73-4be8-b22e-289dd02334f1")</f>
        <v>a5516898-7b73-4be8-b22e-289dd02334f1</v>
      </c>
      <c r="G46" s="52">
        <f>IFERROR(__xludf.DUMMYFUNCTION("""COMPUTED_VALUE"""),43775.0)</f>
        <v>43775</v>
      </c>
      <c r="H46" s="53">
        <f>IFERROR(__xludf.DUMMYFUNCTION("""COMPUTED_VALUE"""),0.6145833333333334)</f>
        <v>0.6145833333</v>
      </c>
      <c r="I46" s="52">
        <f>IFERROR(__xludf.DUMMYFUNCTION("""COMPUTED_VALUE"""),43775.0)</f>
        <v>43775</v>
      </c>
      <c r="J46" s="53">
        <f>IFERROR(__xludf.DUMMYFUNCTION("""COMPUTED_VALUE"""),0.6319444444444444)</f>
        <v>0.6319444444</v>
      </c>
      <c r="K46" s="53">
        <f t="shared" si="1"/>
        <v>0.01736111111</v>
      </c>
      <c r="L46" s="49" t="s">
        <v>111</v>
      </c>
      <c r="M46" s="62" t="s">
        <v>230</v>
      </c>
      <c r="N46" s="62" t="str">
        <f t="shared" si="2"/>
        <v>CS_6_14_a5516898-7b73-4be8-b22e-289dd02334f1_000000_000000.mp4</v>
      </c>
      <c r="O46" s="63"/>
      <c r="P46" s="63"/>
      <c r="Q46" s="63"/>
      <c r="R46" s="49"/>
      <c r="S46" s="49"/>
      <c r="T46" s="49"/>
    </row>
    <row r="47">
      <c r="A47" s="49" t="str">
        <f>IFERROR(__xludf.DUMMYFUNCTION("""COMPUTED_VALUE"""),"Marketing in 2020")</f>
        <v>Marketing in 2020</v>
      </c>
      <c r="B47" s="49" t="str">
        <f>IFERROR(__xludf.DUMMYFUNCTION("""COMPUTED_VALUE"""),"Centre Stage")</f>
        <v>Centre Stage</v>
      </c>
      <c r="C47" s="51" t="str">
        <f>IFERROR(__xludf.DUMMYFUNCTION("""COMPUTED_VALUE"""),"Fernando Machado, Gail Heimann, Katia Bassi and Marty Swant")</f>
        <v>Fernando Machado, Gail Heimann, Katia Bassi and Marty Swant</v>
      </c>
      <c r="D47" s="49" t="str">
        <f>IFERROR(__xludf.DUMMYFUNCTION("""COMPUTED_VALUE"""),"2019/11/06 15:10:00")</f>
        <v>2019/11/06 15:10:00</v>
      </c>
      <c r="E47" s="49" t="str">
        <f>IFERROR(__xludf.DUMMYFUNCTION("""COMPUTED_VALUE"""),"2019/11/06 15:30:00")</f>
        <v>2019/11/06 15:30:00</v>
      </c>
      <c r="F47" s="49" t="str">
        <f>IFERROR(__xludf.DUMMYFUNCTION("""COMPUTED_VALUE"""),"49a0f370-3a9c-4823-a6c3-a5d98f482287")</f>
        <v>49a0f370-3a9c-4823-a6c3-a5d98f482287</v>
      </c>
      <c r="G47" s="52">
        <f>IFERROR(__xludf.DUMMYFUNCTION("""COMPUTED_VALUE"""),43775.0)</f>
        <v>43775</v>
      </c>
      <c r="H47" s="53">
        <f>IFERROR(__xludf.DUMMYFUNCTION("""COMPUTED_VALUE"""),0.6319444444444444)</f>
        <v>0.6319444444</v>
      </c>
      <c r="I47" s="52">
        <f>IFERROR(__xludf.DUMMYFUNCTION("""COMPUTED_VALUE"""),43775.0)</f>
        <v>43775</v>
      </c>
      <c r="J47" s="53">
        <f>IFERROR(__xludf.DUMMYFUNCTION("""COMPUTED_VALUE"""),0.6458333333333334)</f>
        <v>0.6458333333</v>
      </c>
      <c r="K47" s="53">
        <f t="shared" si="1"/>
        <v>0.01388888889</v>
      </c>
      <c r="L47" s="49" t="s">
        <v>109</v>
      </c>
      <c r="M47" s="62" t="s">
        <v>232</v>
      </c>
      <c r="N47" s="62" t="str">
        <f t="shared" si="2"/>
        <v>CS_6_15_49a0f370-3a9c-4823-a6c3-a5d98f482287_000000_000000.mp4</v>
      </c>
      <c r="O47" s="63"/>
      <c r="P47" s="63"/>
      <c r="Q47" s="63"/>
      <c r="R47" s="49"/>
      <c r="S47" s="49"/>
      <c r="T47" s="49"/>
    </row>
    <row r="48">
      <c r="A48" s="49" t="str">
        <f>IFERROR(__xludf.DUMMYFUNCTION("""COMPUTED_VALUE"""),"How we'll arrive in 2025")</f>
        <v>How we'll arrive in 2025</v>
      </c>
      <c r="B48" s="49" t="str">
        <f>IFERROR(__xludf.DUMMYFUNCTION("""COMPUTED_VALUE"""),"Centre Stage")</f>
        <v>Centre Stage</v>
      </c>
      <c r="C48" s="51" t="str">
        <f>IFERROR(__xludf.DUMMYFUNCTION("""COMPUTED_VALUE"""),"Brad Bao, Sam Zaid, Corinne Vigreux, Xiaodi Hou and Tim Stevens")</f>
        <v>Brad Bao, Sam Zaid, Corinne Vigreux, Xiaodi Hou and Tim Stevens</v>
      </c>
      <c r="D48" s="49" t="str">
        <f>IFERROR(__xludf.DUMMYFUNCTION("""COMPUTED_VALUE"""),"2019/11/06 15:30:00")</f>
        <v>2019/11/06 15:30:00</v>
      </c>
      <c r="E48" s="49" t="str">
        <f>IFERROR(__xludf.DUMMYFUNCTION("""COMPUTED_VALUE"""),"2019/11/06 16:05:00")</f>
        <v>2019/11/06 16:05:00</v>
      </c>
      <c r="F48" s="49" t="str">
        <f>IFERROR(__xludf.DUMMYFUNCTION("""COMPUTED_VALUE"""),"1d8f4d46-9220-4474-918f-f79de1691911")</f>
        <v>1d8f4d46-9220-4474-918f-f79de1691911</v>
      </c>
      <c r="G48" s="52">
        <f>IFERROR(__xludf.DUMMYFUNCTION("""COMPUTED_VALUE"""),43775.0)</f>
        <v>43775</v>
      </c>
      <c r="H48" s="53">
        <f>IFERROR(__xludf.DUMMYFUNCTION("""COMPUTED_VALUE"""),0.6458333333333334)</f>
        <v>0.6458333333</v>
      </c>
      <c r="I48" s="52">
        <f>IFERROR(__xludf.DUMMYFUNCTION("""COMPUTED_VALUE"""),43775.0)</f>
        <v>43775</v>
      </c>
      <c r="J48" s="53">
        <f>IFERROR(__xludf.DUMMYFUNCTION("""COMPUTED_VALUE"""),0.6701388888888888)</f>
        <v>0.6701388889</v>
      </c>
      <c r="K48" s="53">
        <f t="shared" si="1"/>
        <v>0.02430555556</v>
      </c>
      <c r="L48" s="49" t="s">
        <v>158</v>
      </c>
      <c r="M48" s="62" t="s">
        <v>233</v>
      </c>
      <c r="N48" s="62" t="str">
        <f t="shared" si="2"/>
        <v>CS_6_16_1d8f4d46-9220-4474-918f-f79de1691911_000000_000000.mp4</v>
      </c>
      <c r="O48" s="63"/>
      <c r="P48" s="63"/>
      <c r="Q48" s="63"/>
      <c r="R48" s="49"/>
      <c r="S48" s="49"/>
      <c r="T48" s="49"/>
    </row>
    <row r="49">
      <c r="A49" s="49" t="str">
        <f>IFERROR(__xludf.DUMMYFUNCTION("""COMPUTED_VALUE"""),"Is it possible to access your intentions at the wrist? ")</f>
        <v>Is it possible to access your intentions at the wrist? </v>
      </c>
      <c r="B49" s="49" t="str">
        <f>IFERROR(__xludf.DUMMYFUNCTION("""COMPUTED_VALUE"""),"Centre Stage")</f>
        <v>Centre Stage</v>
      </c>
      <c r="C49" s="51" t="str">
        <f>IFERROR(__xludf.DUMMYFUNCTION("""COMPUTED_VALUE"""),"Thomas Reardon")</f>
        <v>Thomas Reardon</v>
      </c>
      <c r="D49" s="49" t="str">
        <f>IFERROR(__xludf.DUMMYFUNCTION("""COMPUTED_VALUE"""),"2019/11/06 16:05:00")</f>
        <v>2019/11/06 16:05:00</v>
      </c>
      <c r="E49" s="49" t="str">
        <f>IFERROR(__xludf.DUMMYFUNCTION("""COMPUTED_VALUE"""),"2019/11/06 16:15:00")</f>
        <v>2019/11/06 16:15:00</v>
      </c>
      <c r="F49" s="49" t="str">
        <f>IFERROR(__xludf.DUMMYFUNCTION("""COMPUTED_VALUE"""),"be5d178a-e86a-48c4-9a4e-083cc3c9b47c")</f>
        <v>be5d178a-e86a-48c4-9a4e-083cc3c9b47c</v>
      </c>
      <c r="G49" s="52">
        <f>IFERROR(__xludf.DUMMYFUNCTION("""COMPUTED_VALUE"""),43775.0)</f>
        <v>43775</v>
      </c>
      <c r="H49" s="53">
        <f>IFERROR(__xludf.DUMMYFUNCTION("""COMPUTED_VALUE"""),0.6701388888888888)</f>
        <v>0.6701388889</v>
      </c>
      <c r="I49" s="52">
        <f>IFERROR(__xludf.DUMMYFUNCTION("""COMPUTED_VALUE"""),43775.0)</f>
        <v>43775</v>
      </c>
      <c r="J49" s="53">
        <f>IFERROR(__xludf.DUMMYFUNCTION("""COMPUTED_VALUE"""),0.6770833333333334)</f>
        <v>0.6770833333</v>
      </c>
      <c r="K49" s="53">
        <f t="shared" si="1"/>
        <v>0.006944444444</v>
      </c>
      <c r="L49" s="49" t="s">
        <v>122</v>
      </c>
      <c r="M49" s="62" t="s">
        <v>235</v>
      </c>
      <c r="N49" s="62" t="str">
        <f t="shared" si="2"/>
        <v>CS_6_17_be5d178a-e86a-48c4-9a4e-083cc3c9b47c_000000_000000.mp4</v>
      </c>
      <c r="O49" s="63"/>
      <c r="P49" s="63"/>
      <c r="Q49" s="63"/>
      <c r="R49" s="49"/>
      <c r="S49" s="49"/>
      <c r="T49" s="49"/>
    </row>
    <row r="50">
      <c r="A50" s="49" t="str">
        <f>IFERROR(__xludf.DUMMYFUNCTION("""COMPUTED_VALUE"""),"The upside of obsession")</f>
        <v>The upside of obsession</v>
      </c>
      <c r="B50" s="49" t="str">
        <f>IFERROR(__xludf.DUMMYFUNCTION("""COMPUTED_VALUE"""),"Centre Stage")</f>
        <v>Centre Stage</v>
      </c>
      <c r="C50" s="51" t="str">
        <f>IFERROR(__xludf.DUMMYFUNCTION("""COMPUTED_VALUE"""),"Des Traynor,  , Paige VanZant,   and David Rowan")</f>
        <v>Des Traynor,  , Paige VanZant,   and David Rowan</v>
      </c>
      <c r="D50" s="49" t="str">
        <f>IFERROR(__xludf.DUMMYFUNCTION("""COMPUTED_VALUE"""),"2019/11/06 16:15:00")</f>
        <v>2019/11/06 16:15:00</v>
      </c>
      <c r="E50" s="49" t="str">
        <f>IFERROR(__xludf.DUMMYFUNCTION("""COMPUTED_VALUE"""),"2019/11/06 16:40:00")</f>
        <v>2019/11/06 16:40:00</v>
      </c>
      <c r="F50" s="49" t="str">
        <f>IFERROR(__xludf.DUMMYFUNCTION("""COMPUTED_VALUE"""),"5cec1916-6d6d-44ba-8b45-d12c9fb4212a")</f>
        <v>5cec1916-6d6d-44ba-8b45-d12c9fb4212a</v>
      </c>
      <c r="G50" s="52">
        <f>IFERROR(__xludf.DUMMYFUNCTION("""COMPUTED_VALUE"""),43775.0)</f>
        <v>43775</v>
      </c>
      <c r="H50" s="53">
        <f>IFERROR(__xludf.DUMMYFUNCTION("""COMPUTED_VALUE"""),0.6770833333333334)</f>
        <v>0.6770833333</v>
      </c>
      <c r="I50" s="52">
        <f>IFERROR(__xludf.DUMMYFUNCTION("""COMPUTED_VALUE"""),43775.0)</f>
        <v>43775</v>
      </c>
      <c r="J50" s="53">
        <f>IFERROR(__xludf.DUMMYFUNCTION("""COMPUTED_VALUE"""),0.6944444444444444)</f>
        <v>0.6944444444</v>
      </c>
      <c r="K50" s="53">
        <f t="shared" si="1"/>
        <v>0.01736111111</v>
      </c>
      <c r="L50" s="49" t="s">
        <v>111</v>
      </c>
      <c r="M50" s="62" t="s">
        <v>236</v>
      </c>
      <c r="N50" s="62" t="str">
        <f t="shared" si="2"/>
        <v>CS_6_18_5cec1916-6d6d-44ba-8b45-d12c9fb4212a_000000_000000.mp4</v>
      </c>
      <c r="O50" s="63"/>
      <c r="P50" s="63"/>
      <c r="Q50" s="63"/>
      <c r="R50" s="49"/>
      <c r="S50" s="49"/>
      <c r="T50" s="49"/>
    </row>
    <row r="51">
      <c r="A51" s="69" t="str">
        <f>IFERROR(__xludf.DUMMYFUNCTION("""COMPUTED_VALUE"""),"Amazon.ai")</f>
        <v>Amazon.ai</v>
      </c>
      <c r="B51" s="49" t="str">
        <f>IFERROR(__xludf.DUMMYFUNCTION("""COMPUTED_VALUE"""),"Centre Stage")</f>
        <v>Centre Stage</v>
      </c>
      <c r="C51" s="51" t="str">
        <f>IFERROR(__xludf.DUMMYFUNCTION("""COMPUTED_VALUE"""),"Werner Vogels")</f>
        <v>Werner Vogels</v>
      </c>
      <c r="D51" s="49" t="str">
        <f>IFERROR(__xludf.DUMMYFUNCTION("""COMPUTED_VALUE"""),"2019/11/06 16:40:00")</f>
        <v>2019/11/06 16:40:00</v>
      </c>
      <c r="E51" s="49" t="str">
        <f>IFERROR(__xludf.DUMMYFUNCTION("""COMPUTED_VALUE"""),"2019/11/06 17:00:00")</f>
        <v>2019/11/06 17:00:00</v>
      </c>
      <c r="F51" s="49" t="str">
        <f>IFERROR(__xludf.DUMMYFUNCTION("""COMPUTED_VALUE"""),"9197b5fd-4b13-4003-9582-e68c131c44f3")</f>
        <v>9197b5fd-4b13-4003-9582-e68c131c44f3</v>
      </c>
      <c r="G51" s="52">
        <f>IFERROR(__xludf.DUMMYFUNCTION("""COMPUTED_VALUE"""),43775.0)</f>
        <v>43775</v>
      </c>
      <c r="H51" s="53">
        <f>IFERROR(__xludf.DUMMYFUNCTION("""COMPUTED_VALUE"""),0.6944444444444444)</f>
        <v>0.6944444444</v>
      </c>
      <c r="I51" s="52">
        <f>IFERROR(__xludf.DUMMYFUNCTION("""COMPUTED_VALUE"""),43775.0)</f>
        <v>43775</v>
      </c>
      <c r="J51" s="53">
        <f>IFERROR(__xludf.DUMMYFUNCTION("""COMPUTED_VALUE"""),0.7083333333333334)</f>
        <v>0.7083333333</v>
      </c>
      <c r="K51" s="53">
        <f t="shared" si="1"/>
        <v>0.01388888889</v>
      </c>
      <c r="L51" s="49" t="s">
        <v>109</v>
      </c>
      <c r="M51" s="62" t="s">
        <v>238</v>
      </c>
      <c r="N51" s="62" t="str">
        <f t="shared" si="2"/>
        <v>CS_6_19_9197b5fd-4b13-4003-9582-e68c131c44f3_000000_000000.mp4</v>
      </c>
      <c r="O51" s="63"/>
      <c r="P51" s="63"/>
      <c r="Q51" s="63"/>
      <c r="R51" s="49"/>
      <c r="S51" s="49"/>
      <c r="T51" s="49"/>
    </row>
    <row r="52">
      <c r="A52" s="49" t="str">
        <f>IFERROR(__xludf.DUMMYFUNCTION("""COMPUTED_VALUE"""),"PITCH semi-final")</f>
        <v>PITCH semi-final</v>
      </c>
      <c r="B52" s="49" t="str">
        <f>IFERROR(__xludf.DUMMYFUNCTION("""COMPUTED_VALUE"""),"Centre Stage")</f>
        <v>Centre Stage</v>
      </c>
      <c r="C52" s="51" t="str">
        <f>IFERROR(__xludf.DUMMYFUNCTION("""COMPUTED_VALUE"""),"Erik Mostenicky, Mischa Wetzel, David Braga Malta, Tim Rehder, Stefan Walter, Arthur Hu, Alf Franzoni, Ansgar Chorhummel, Kieran Hill, Emma Steele, Cecilia Turriago, Cristina Fonseca, Frauke Mispagel, Melissa Larson Youngblood, Sunil Sharma, Casey Lau, Ma"&amp;"rtin Kõiva, Pedro Miranda, Lucy Liu, Toby Call, Veronika Riederle and Russ Heddleston")</f>
        <v>Erik Mostenicky, Mischa Wetzel, David Braga Malta, Tim Rehder, Stefan Walter, Arthur Hu, Alf Franzoni, Ansgar Chorhummel, Kieran Hill, Emma Steele, Cecilia Turriago, Cristina Fonseca, Frauke Mispagel, Melissa Larson Youngblood, Sunil Sharma, Casey Lau, Martin Kõiva, Pedro Miranda, Lucy Liu, Toby Call, Veronika Riederle and Russ Heddleston</v>
      </c>
      <c r="D52" s="49" t="str">
        <f>IFERROR(__xludf.DUMMYFUNCTION("""COMPUTED_VALUE"""),"2019/11/06 17:00:00")</f>
        <v>2019/11/06 17:00:00</v>
      </c>
      <c r="E52" s="49" t="str">
        <f>IFERROR(__xludf.DUMMYFUNCTION("""COMPUTED_VALUE"""),"2019/11/06 18:00:00")</f>
        <v>2019/11/06 18:00:00</v>
      </c>
      <c r="F52" s="49" t="str">
        <f>IFERROR(__xludf.DUMMYFUNCTION("""COMPUTED_VALUE"""),"7ffa9375-5357-4976-88e6-4619960440aa")</f>
        <v>7ffa9375-5357-4976-88e6-4619960440aa</v>
      </c>
      <c r="G52" s="52">
        <f>IFERROR(__xludf.DUMMYFUNCTION("""COMPUTED_VALUE"""),43775.0)</f>
        <v>43775</v>
      </c>
      <c r="H52" s="53">
        <f>IFERROR(__xludf.DUMMYFUNCTION("""COMPUTED_VALUE"""),0.7083333333333334)</f>
        <v>0.7083333333</v>
      </c>
      <c r="I52" s="52">
        <f>IFERROR(__xludf.DUMMYFUNCTION("""COMPUTED_VALUE"""),43775.0)</f>
        <v>43775</v>
      </c>
      <c r="J52" s="53">
        <f>IFERROR(__xludf.DUMMYFUNCTION("""COMPUTED_VALUE"""),0.75)</f>
        <v>0.75</v>
      </c>
      <c r="K52" s="53">
        <f t="shared" si="1"/>
        <v>0.04166666667</v>
      </c>
      <c r="L52" s="49" t="s">
        <v>240</v>
      </c>
      <c r="M52" s="62" t="s">
        <v>241</v>
      </c>
      <c r="N52" s="62" t="str">
        <f t="shared" si="2"/>
        <v>CS_6_20_7ffa9375-5357-4976-88e6-4619960440aa_000000_000000.mp4</v>
      </c>
      <c r="O52" s="63"/>
      <c r="P52" s="63"/>
      <c r="Q52" s="63"/>
      <c r="R52" s="49"/>
      <c r="S52" s="49"/>
      <c r="T52" s="49"/>
    </row>
    <row r="53">
      <c r="A53" s="49" t="str">
        <f>IFERROR(__xludf.DUMMYFUNCTION("""COMPUTED_VALUE"""),"Breakout startups")</f>
        <v>Breakout startups</v>
      </c>
      <c r="B53" s="49" t="str">
        <f>IFERROR(__xludf.DUMMYFUNCTION("""COMPUTED_VALUE"""),"Centre Stage")</f>
        <v>Centre Stage</v>
      </c>
      <c r="C53" s="51" t="str">
        <f>IFERROR(__xludf.DUMMYFUNCTION("""COMPUTED_VALUE"""),"Daniela Seixas, Elissa Shevinsky, Alexey Moiseenkov, Chetan Venkatesh, Curran McKay, Dave McGibbon, Kate Boyle, Mariano Kostelec, Sarah Sandnes, Dario Galbiati Alborghetti and Hugh Geiger")</f>
        <v>Daniela Seixas, Elissa Shevinsky, Alexey Moiseenkov, Chetan Venkatesh, Curran McKay, Dave McGibbon, Kate Boyle, Mariano Kostelec, Sarah Sandnes, Dario Galbiati Alborghetti and Hugh Geiger</v>
      </c>
      <c r="D53" s="49" t="str">
        <f>IFERROR(__xludf.DUMMYFUNCTION("""COMPUTED_VALUE"""),"2019/11/07 09:30:00")</f>
        <v>2019/11/07 09:30:00</v>
      </c>
      <c r="E53" s="49" t="str">
        <f>IFERROR(__xludf.DUMMYFUNCTION("""COMPUTED_VALUE"""),"2019/11/07 10:15:00")</f>
        <v>2019/11/07 10:15:00</v>
      </c>
      <c r="F53" s="49" t="str">
        <f>IFERROR(__xludf.DUMMYFUNCTION("""COMPUTED_VALUE"""),"270664fa-82ed-43e6-b5dc-82f0ebec2ebd")</f>
        <v>270664fa-82ed-43e6-b5dc-82f0ebec2ebd</v>
      </c>
      <c r="G53" s="52">
        <f>IFERROR(__xludf.DUMMYFUNCTION("""COMPUTED_VALUE"""),43776.0)</f>
        <v>43776</v>
      </c>
      <c r="H53" s="53">
        <f>IFERROR(__xludf.DUMMYFUNCTION("""COMPUTED_VALUE"""),0.3958333333333333)</f>
        <v>0.3958333333</v>
      </c>
      <c r="I53" s="52">
        <f>IFERROR(__xludf.DUMMYFUNCTION("""COMPUTED_VALUE"""),43776.0)</f>
        <v>43776</v>
      </c>
      <c r="J53" s="53">
        <f>IFERROR(__xludf.DUMMYFUNCTION("""COMPUTED_VALUE"""),0.4270833333333333)</f>
        <v>0.4270833333</v>
      </c>
      <c r="K53" s="53">
        <f t="shared" si="1"/>
        <v>0.03125</v>
      </c>
      <c r="L53" s="49" t="s">
        <v>127</v>
      </c>
      <c r="M53" s="62" t="s">
        <v>242</v>
      </c>
      <c r="N53" s="62" t="str">
        <f t="shared" si="2"/>
        <v>CS_7_1_270664fa-82ed-43e6-b5dc-82f0ebec2ebd_000000_000000.mp4</v>
      </c>
      <c r="O53" s="63"/>
      <c r="P53" s="63"/>
      <c r="Q53" s="63"/>
      <c r="R53" s="49"/>
      <c r="S53" s="49"/>
      <c r="T53" s="49"/>
    </row>
    <row r="54">
      <c r="A54" s="49" t="str">
        <f>IFERROR(__xludf.DUMMYFUNCTION("""COMPUTED_VALUE"""),"Opening remarks")</f>
        <v>Opening remarks</v>
      </c>
      <c r="B54" s="49" t="str">
        <f>IFERROR(__xludf.DUMMYFUNCTION("""COMPUTED_VALUE"""),"Centre Stage")</f>
        <v>Centre Stage</v>
      </c>
      <c r="C54" s="51" t="str">
        <f>IFERROR(__xludf.DUMMYFUNCTION("""COMPUTED_VALUE"""),"Paddy Cosgrave")</f>
        <v>Paddy Cosgrave</v>
      </c>
      <c r="D54" s="49" t="str">
        <f>IFERROR(__xludf.DUMMYFUNCTION("""COMPUTED_VALUE"""),"2019/11/07 10:15:00")</f>
        <v>2019/11/07 10:15:00</v>
      </c>
      <c r="E54" s="49" t="str">
        <f>IFERROR(__xludf.DUMMYFUNCTION("""COMPUTED_VALUE"""),"2019/11/07 10:30:00")</f>
        <v>2019/11/07 10:30:00</v>
      </c>
      <c r="F54" s="49" t="str">
        <f>IFERROR(__xludf.DUMMYFUNCTION("""COMPUTED_VALUE"""),"ea03f8f8-84e1-47a9-afee-1829384c3b79")</f>
        <v>ea03f8f8-84e1-47a9-afee-1829384c3b79</v>
      </c>
      <c r="G54" s="52">
        <f>IFERROR(__xludf.DUMMYFUNCTION("""COMPUTED_VALUE"""),43776.0)</f>
        <v>43776</v>
      </c>
      <c r="H54" s="53">
        <f>IFERROR(__xludf.DUMMYFUNCTION("""COMPUTED_VALUE"""),0.4270833333333333)</f>
        <v>0.4270833333</v>
      </c>
      <c r="I54" s="52">
        <f>IFERROR(__xludf.DUMMYFUNCTION("""COMPUTED_VALUE"""),43776.0)</f>
        <v>43776</v>
      </c>
      <c r="J54" s="53">
        <f>IFERROR(__xludf.DUMMYFUNCTION("""COMPUTED_VALUE"""),0.4375)</f>
        <v>0.4375</v>
      </c>
      <c r="K54" s="53">
        <f t="shared" si="1"/>
        <v>0.01041666667</v>
      </c>
      <c r="L54" s="49" t="s">
        <v>118</v>
      </c>
      <c r="M54" s="62" t="s">
        <v>244</v>
      </c>
      <c r="N54" s="62" t="str">
        <f t="shared" si="2"/>
        <v>CS_7_2_ea03f8f8-84e1-47a9-afee-1829384c3b79_000000_000000.mp4</v>
      </c>
      <c r="O54" s="63"/>
      <c r="P54" s="63"/>
      <c r="Q54" s="63"/>
      <c r="R54" s="49"/>
      <c r="S54" s="49"/>
      <c r="T54" s="49"/>
    </row>
    <row r="55">
      <c r="A55" s="49" t="str">
        <f>IFERROR(__xludf.DUMMYFUNCTION("""COMPUTED_VALUE"""),"Building the next great ad empire")</f>
        <v>Building the next great ad empire</v>
      </c>
      <c r="B55" s="49" t="str">
        <f>IFERROR(__xludf.DUMMYFUNCTION("""COMPUTED_VALUE"""),"Centre Stage")</f>
        <v>Centre Stage</v>
      </c>
      <c r="C55" s="51" t="str">
        <f>IFERROR(__xludf.DUMMYFUNCTION("""COMPUTED_VALUE"""),"Sir Martin Sorrell and Charlie Warzel")</f>
        <v>Sir Martin Sorrell and Charlie Warzel</v>
      </c>
      <c r="D55" s="49" t="str">
        <f>IFERROR(__xludf.DUMMYFUNCTION("""COMPUTED_VALUE"""),"2019/11/07 10:30:00")</f>
        <v>2019/11/07 10:30:00</v>
      </c>
      <c r="E55" s="49" t="str">
        <f>IFERROR(__xludf.DUMMYFUNCTION("""COMPUTED_VALUE"""),"2019/11/07 10:50:00")</f>
        <v>2019/11/07 10:50:00</v>
      </c>
      <c r="F55" s="49" t="str">
        <f>IFERROR(__xludf.DUMMYFUNCTION("""COMPUTED_VALUE"""),"67c90a7b-7186-49b5-bfc4-51986b98c4ff")</f>
        <v>67c90a7b-7186-49b5-bfc4-51986b98c4ff</v>
      </c>
      <c r="G55" s="52">
        <f>IFERROR(__xludf.DUMMYFUNCTION("""COMPUTED_VALUE"""),43776.0)</f>
        <v>43776</v>
      </c>
      <c r="H55" s="53">
        <f>IFERROR(__xludf.DUMMYFUNCTION("""COMPUTED_VALUE"""),0.4375)</f>
        <v>0.4375</v>
      </c>
      <c r="I55" s="52">
        <f>IFERROR(__xludf.DUMMYFUNCTION("""COMPUTED_VALUE"""),43776.0)</f>
        <v>43776</v>
      </c>
      <c r="J55" s="53">
        <f>IFERROR(__xludf.DUMMYFUNCTION("""COMPUTED_VALUE"""),0.4513888888888889)</f>
        <v>0.4513888889</v>
      </c>
      <c r="K55" s="53">
        <f t="shared" si="1"/>
        <v>0.01388888889</v>
      </c>
      <c r="L55" s="49" t="s">
        <v>109</v>
      </c>
      <c r="M55" s="62" t="s">
        <v>246</v>
      </c>
      <c r="N55" s="62" t="str">
        <f t="shared" si="2"/>
        <v>CS_7_3_67c90a7b-7186-49b5-bfc4-51986b98c4ff_000000_000000.mp4</v>
      </c>
      <c r="O55" s="63"/>
      <c r="P55" s="63"/>
      <c r="Q55" s="63"/>
      <c r="R55" s="49"/>
      <c r="S55" s="49"/>
      <c r="T55" s="49"/>
    </row>
    <row r="56">
      <c r="A56" s="49" t="str">
        <f>IFERROR(__xludf.DUMMYFUNCTION("""COMPUTED_VALUE"""),"The three things every leader should know")</f>
        <v>The three things every leader should know</v>
      </c>
      <c r="B56" s="49" t="str">
        <f>IFERROR(__xludf.DUMMYFUNCTION("""COMPUTED_VALUE"""),"Centre Stage")</f>
        <v>Centre Stage</v>
      </c>
      <c r="C56" s="51" t="str">
        <f>IFERROR(__xludf.DUMMYFUNCTION("""COMPUTED_VALUE"""),"Yoni Assia, Mitchell Baker, Christina Sass, Jamie Iannone and Mike Butcher")</f>
        <v>Yoni Assia, Mitchell Baker, Christina Sass, Jamie Iannone and Mike Butcher</v>
      </c>
      <c r="D56" s="49" t="str">
        <f>IFERROR(__xludf.DUMMYFUNCTION("""COMPUTED_VALUE"""),"2019/11/07 10:50:00")</f>
        <v>2019/11/07 10:50:00</v>
      </c>
      <c r="E56" s="49" t="str">
        <f>IFERROR(__xludf.DUMMYFUNCTION("""COMPUTED_VALUE"""),"2019/11/07 11:15:00")</f>
        <v>2019/11/07 11:15:00</v>
      </c>
      <c r="F56" s="49" t="str">
        <f>IFERROR(__xludf.DUMMYFUNCTION("""COMPUTED_VALUE"""),"c37ddbc8-871a-4362-af76-1732220ef09a")</f>
        <v>c37ddbc8-871a-4362-af76-1732220ef09a</v>
      </c>
      <c r="G56" s="52">
        <f>IFERROR(__xludf.DUMMYFUNCTION("""COMPUTED_VALUE"""),43776.0)</f>
        <v>43776</v>
      </c>
      <c r="H56" s="53">
        <f>IFERROR(__xludf.DUMMYFUNCTION("""COMPUTED_VALUE"""),0.4513888888888889)</f>
        <v>0.4513888889</v>
      </c>
      <c r="I56" s="52">
        <f>IFERROR(__xludf.DUMMYFUNCTION("""COMPUTED_VALUE"""),43776.0)</f>
        <v>43776</v>
      </c>
      <c r="J56" s="53">
        <f>IFERROR(__xludf.DUMMYFUNCTION("""COMPUTED_VALUE"""),0.46875)</f>
        <v>0.46875</v>
      </c>
      <c r="K56" s="53">
        <f t="shared" si="1"/>
        <v>0.01736111111</v>
      </c>
      <c r="L56" s="49" t="s">
        <v>111</v>
      </c>
      <c r="M56" s="62" t="s">
        <v>248</v>
      </c>
      <c r="N56" s="62" t="str">
        <f t="shared" si="2"/>
        <v>CS_7_4_c37ddbc8-871a-4362-af76-1732220ef09a_000000_000000.mp4</v>
      </c>
      <c r="O56" s="63"/>
      <c r="P56" s="63"/>
      <c r="Q56" s="63"/>
      <c r="R56" s="49"/>
      <c r="S56" s="49"/>
      <c r="T56" s="49"/>
    </row>
    <row r="57">
      <c r="A57" s="49" t="str">
        <f>IFERROR(__xludf.DUMMYFUNCTION("""COMPUTED_VALUE"""),"Designing your brand to disrupt")</f>
        <v>Designing your brand to disrupt</v>
      </c>
      <c r="B57" s="49" t="str">
        <f>IFERROR(__xludf.DUMMYFUNCTION("""COMPUTED_VALUE"""),"Centre Stage")</f>
        <v>Centre Stage</v>
      </c>
      <c r="C57" s="51" t="str">
        <f>IFERROR(__xludf.DUMMYFUNCTION("""COMPUTED_VALUE"""),"Daniel Grieder and Mark Russell")</f>
        <v>Daniel Grieder and Mark Russell</v>
      </c>
      <c r="D57" s="49" t="str">
        <f>IFERROR(__xludf.DUMMYFUNCTION("""COMPUTED_VALUE"""),"2019/11/07 11:15:00")</f>
        <v>2019/11/07 11:15:00</v>
      </c>
      <c r="E57" s="49" t="str">
        <f>IFERROR(__xludf.DUMMYFUNCTION("""COMPUTED_VALUE"""),"2019/11/07 11:30:00")</f>
        <v>2019/11/07 11:30:00</v>
      </c>
      <c r="F57" s="49" t="str">
        <f>IFERROR(__xludf.DUMMYFUNCTION("""COMPUTED_VALUE"""),"36549270-5f20-4a49-915f-aea0b4ff5e37")</f>
        <v>36549270-5f20-4a49-915f-aea0b4ff5e37</v>
      </c>
      <c r="G57" s="52">
        <f>IFERROR(__xludf.DUMMYFUNCTION("""COMPUTED_VALUE"""),43776.0)</f>
        <v>43776</v>
      </c>
      <c r="H57" s="53">
        <f>IFERROR(__xludf.DUMMYFUNCTION("""COMPUTED_VALUE"""),0.46875)</f>
        <v>0.46875</v>
      </c>
      <c r="I57" s="52">
        <f>IFERROR(__xludf.DUMMYFUNCTION("""COMPUTED_VALUE"""),43776.0)</f>
        <v>43776</v>
      </c>
      <c r="J57" s="53">
        <f>IFERROR(__xludf.DUMMYFUNCTION("""COMPUTED_VALUE"""),0.4791666666666667)</f>
        <v>0.4791666667</v>
      </c>
      <c r="K57" s="53">
        <f t="shared" si="1"/>
        <v>0.01041666667</v>
      </c>
      <c r="L57" s="49" t="s">
        <v>118</v>
      </c>
      <c r="M57" s="62" t="s">
        <v>250</v>
      </c>
      <c r="N57" s="62" t="str">
        <f t="shared" si="2"/>
        <v>CS_7_5_36549270-5f20-4a49-915f-aea0b4ff5e37_000000_000000.mp4</v>
      </c>
      <c r="O57" s="63"/>
      <c r="P57" s="63"/>
      <c r="Q57" s="63"/>
      <c r="R57" s="49"/>
      <c r="S57" s="49"/>
      <c r="T57" s="49"/>
    </row>
    <row r="58">
      <c r="A58" s="49" t="str">
        <f>IFERROR(__xludf.DUMMYFUNCTION("""COMPUTED_VALUE"""),"Is Silicon Valley pivoting to profits?")</f>
        <v>Is Silicon Valley pivoting to profits?</v>
      </c>
      <c r="B58" s="49" t="str">
        <f>IFERROR(__xludf.DUMMYFUNCTION("""COMPUTED_VALUE"""),"Centre Stage")</f>
        <v>Centre Stage</v>
      </c>
      <c r="C58" s="51" t="str">
        <f>IFERROR(__xludf.DUMMYFUNCTION("""COMPUTED_VALUE"""),"Ravi Viswanathan, Rytis Vitkauskas and Emil Protalinski")</f>
        <v>Ravi Viswanathan, Rytis Vitkauskas and Emil Protalinski</v>
      </c>
      <c r="D58" s="49" t="str">
        <f>IFERROR(__xludf.DUMMYFUNCTION("""COMPUTED_VALUE"""),"2019/11/07 11:30:00")</f>
        <v>2019/11/07 11:30:00</v>
      </c>
      <c r="E58" s="49" t="str">
        <f>IFERROR(__xludf.DUMMYFUNCTION("""COMPUTED_VALUE"""),"2019/11/07 11:50:00")</f>
        <v>2019/11/07 11:50:00</v>
      </c>
      <c r="F58" s="49" t="str">
        <f>IFERROR(__xludf.DUMMYFUNCTION("""COMPUTED_VALUE"""),"d32b6e13-ca37-46b7-9986-53f27b57dbaf")</f>
        <v>d32b6e13-ca37-46b7-9986-53f27b57dbaf</v>
      </c>
      <c r="G58" s="52">
        <f>IFERROR(__xludf.DUMMYFUNCTION("""COMPUTED_VALUE"""),43776.0)</f>
        <v>43776</v>
      </c>
      <c r="H58" s="53">
        <f>IFERROR(__xludf.DUMMYFUNCTION("""COMPUTED_VALUE"""),0.4791666666666667)</f>
        <v>0.4791666667</v>
      </c>
      <c r="I58" s="52">
        <f>IFERROR(__xludf.DUMMYFUNCTION("""COMPUTED_VALUE"""),43776.0)</f>
        <v>43776</v>
      </c>
      <c r="J58" s="53">
        <f>IFERROR(__xludf.DUMMYFUNCTION("""COMPUTED_VALUE"""),0.4930555555555556)</f>
        <v>0.4930555556</v>
      </c>
      <c r="K58" s="53">
        <f t="shared" si="1"/>
        <v>0.01388888889</v>
      </c>
      <c r="L58" s="49" t="s">
        <v>109</v>
      </c>
      <c r="M58" s="62" t="s">
        <v>252</v>
      </c>
      <c r="N58" s="62" t="str">
        <f t="shared" si="2"/>
        <v>CS_7_6_d32b6e13-ca37-46b7-9986-53f27b57dbaf_000000_000000.mp4</v>
      </c>
      <c r="O58" s="63"/>
      <c r="P58" s="63"/>
      <c r="Q58" s="63"/>
      <c r="R58" s="49"/>
      <c r="S58" s="49"/>
      <c r="T58" s="49"/>
    </row>
    <row r="59">
      <c r="A59" s="49" t="str">
        <f>IFERROR(__xludf.DUMMYFUNCTION("""COMPUTED_VALUE"""),"She’s 'The Man': How superstar Becky Lynch came to dominate the WWE")</f>
        <v>She’s 'The Man': How superstar Becky Lynch came to dominate the WWE</v>
      </c>
      <c r="B59" s="49" t="str">
        <f>IFERROR(__xludf.DUMMYFUNCTION("""COMPUTED_VALUE"""),"Centre Stage")</f>
        <v>Centre Stage</v>
      </c>
      <c r="C59" s="51" t="str">
        <f>IFERROR(__xludf.DUMMYFUNCTION("""COMPUTED_VALUE"""),"Becky Lynch and Emma Paton")</f>
        <v>Becky Lynch and Emma Paton</v>
      </c>
      <c r="D59" s="49" t="str">
        <f>IFERROR(__xludf.DUMMYFUNCTION("""COMPUTED_VALUE"""),"2019/11/07 11:50:00")</f>
        <v>2019/11/07 11:50:00</v>
      </c>
      <c r="E59" s="49" t="str">
        <f>IFERROR(__xludf.DUMMYFUNCTION("""COMPUTED_VALUE"""),"2019/11/07 12:10:00")</f>
        <v>2019/11/07 12:10:00</v>
      </c>
      <c r="F59" s="49" t="str">
        <f>IFERROR(__xludf.DUMMYFUNCTION("""COMPUTED_VALUE"""),"b4367bce-dfa0-455f-8360-60159fbc99a8")</f>
        <v>b4367bce-dfa0-455f-8360-60159fbc99a8</v>
      </c>
      <c r="G59" s="52">
        <f>IFERROR(__xludf.DUMMYFUNCTION("""COMPUTED_VALUE"""),43776.0)</f>
        <v>43776</v>
      </c>
      <c r="H59" s="53">
        <f>IFERROR(__xludf.DUMMYFUNCTION("""COMPUTED_VALUE"""),0.4930555555555556)</f>
        <v>0.4930555556</v>
      </c>
      <c r="I59" s="52">
        <f>IFERROR(__xludf.DUMMYFUNCTION("""COMPUTED_VALUE"""),43776.0)</f>
        <v>43776</v>
      </c>
      <c r="J59" s="53">
        <f>IFERROR(__xludf.DUMMYFUNCTION("""COMPUTED_VALUE"""),0.5069444444444444)</f>
        <v>0.5069444444</v>
      </c>
      <c r="K59" s="53">
        <f t="shared" si="1"/>
        <v>0.01388888889</v>
      </c>
      <c r="L59" s="49" t="s">
        <v>109</v>
      </c>
      <c r="M59" s="62" t="s">
        <v>254</v>
      </c>
      <c r="N59" s="62" t="str">
        <f t="shared" si="2"/>
        <v>CS_7_7_b4367bce-dfa0-455f-8360-60159fbc99a8_000000_000000.mp4</v>
      </c>
      <c r="O59" s="63"/>
      <c r="P59" s="63"/>
      <c r="Q59" s="63"/>
      <c r="R59" s="49"/>
      <c r="S59" s="49"/>
      <c r="T59" s="49"/>
    </row>
    <row r="60">
      <c r="A60" s="49" t="str">
        <f>IFERROR(__xludf.DUMMYFUNCTION("""COMPUTED_VALUE"""),"Cash is dead, what's next to go?")</f>
        <v>Cash is dead, what's next to go?</v>
      </c>
      <c r="B60" s="49" t="str">
        <f>IFERROR(__xludf.DUMMYFUNCTION("""COMPUTED_VALUE"""),"Centre Stage")</f>
        <v>Centre Stage</v>
      </c>
      <c r="C60" s="51" t="str">
        <f>IFERROR(__xludf.DUMMYFUNCTION("""COMPUTED_VALUE"""),"Nikolay Storonsky, Zach Perret, Anne Boden and Felix Salmon")</f>
        <v>Nikolay Storonsky, Zach Perret, Anne Boden and Felix Salmon</v>
      </c>
      <c r="D60" s="49" t="str">
        <f>IFERROR(__xludf.DUMMYFUNCTION("""COMPUTED_VALUE"""),"2019/11/07 12:10:00")</f>
        <v>2019/11/07 12:10:00</v>
      </c>
      <c r="E60" s="49" t="str">
        <f>IFERROR(__xludf.DUMMYFUNCTION("""COMPUTED_VALUE"""),"2019/11/07 12:30:00")</f>
        <v>2019/11/07 12:30:00</v>
      </c>
      <c r="F60" s="49" t="str">
        <f>IFERROR(__xludf.DUMMYFUNCTION("""COMPUTED_VALUE"""),"b2d76271-5c88-4504-8eb4-6f45b3b38de4")</f>
        <v>b2d76271-5c88-4504-8eb4-6f45b3b38de4</v>
      </c>
      <c r="G60" s="52">
        <f>IFERROR(__xludf.DUMMYFUNCTION("""COMPUTED_VALUE"""),43776.0)</f>
        <v>43776</v>
      </c>
      <c r="H60" s="53">
        <f>IFERROR(__xludf.DUMMYFUNCTION("""COMPUTED_VALUE"""),0.5069444444444444)</f>
        <v>0.5069444444</v>
      </c>
      <c r="I60" s="52">
        <f>IFERROR(__xludf.DUMMYFUNCTION("""COMPUTED_VALUE"""),43776.0)</f>
        <v>43776</v>
      </c>
      <c r="J60" s="53">
        <f>IFERROR(__xludf.DUMMYFUNCTION("""COMPUTED_VALUE"""),0.5208333333333334)</f>
        <v>0.5208333333</v>
      </c>
      <c r="K60" s="53">
        <f t="shared" si="1"/>
        <v>0.01388888889</v>
      </c>
      <c r="L60" s="49" t="s">
        <v>109</v>
      </c>
      <c r="M60" s="62" t="s">
        <v>256</v>
      </c>
      <c r="N60" s="62" t="str">
        <f t="shared" si="2"/>
        <v>CS_7_8_b2d76271-5c88-4504-8eb4-6f45b3b38de4_000000_000000.mp4</v>
      </c>
      <c r="O60" s="63"/>
      <c r="P60" s="63"/>
      <c r="Q60" s="63"/>
      <c r="R60" s="49"/>
      <c r="S60" s="49"/>
      <c r="T60" s="49"/>
    </row>
    <row r="61">
      <c r="A61" s="49" t="str">
        <f>IFERROR(__xludf.DUMMYFUNCTION("""COMPUTED_VALUE"""),"PITCH final")</f>
        <v>PITCH final</v>
      </c>
      <c r="B61" s="49" t="str">
        <f>IFERROR(__xludf.DUMMYFUNCTION("""COMPUTED_VALUE"""),"Centre Stage")</f>
        <v>Centre Stage</v>
      </c>
      <c r="C61" s="51" t="str">
        <f>IFERROR(__xludf.DUMMYFUNCTION("""COMPUTED_VALUE"""),"Mada Seghete, Bradley Twohig and Paddy Cosgrave")</f>
        <v>Mada Seghete, Bradley Twohig and Paddy Cosgrave</v>
      </c>
      <c r="D61" s="49" t="str">
        <f>IFERROR(__xludf.DUMMYFUNCTION("""COMPUTED_VALUE"""),"2019/11/07 12:30:00")</f>
        <v>2019/11/07 12:30:00</v>
      </c>
      <c r="E61" s="49" t="str">
        <f>IFERROR(__xludf.DUMMYFUNCTION("""COMPUTED_VALUE"""),"2019/11/07 13:00:00")</f>
        <v>2019/11/07 13:00:00</v>
      </c>
      <c r="F61" s="49" t="str">
        <f>IFERROR(__xludf.DUMMYFUNCTION("""COMPUTED_VALUE"""),"a7d9e021-9883-4e4e-ae22-a38b51b80d16")</f>
        <v>a7d9e021-9883-4e4e-ae22-a38b51b80d16</v>
      </c>
      <c r="G61" s="52">
        <f>IFERROR(__xludf.DUMMYFUNCTION("""COMPUTED_VALUE"""),43776.0)</f>
        <v>43776</v>
      </c>
      <c r="H61" s="53">
        <f>IFERROR(__xludf.DUMMYFUNCTION("""COMPUTED_VALUE"""),0.5208333333333334)</f>
        <v>0.5208333333</v>
      </c>
      <c r="I61" s="52">
        <f>IFERROR(__xludf.DUMMYFUNCTION("""COMPUTED_VALUE"""),43776.0)</f>
        <v>43776</v>
      </c>
      <c r="J61" s="53">
        <f>IFERROR(__xludf.DUMMYFUNCTION("""COMPUTED_VALUE"""),0.5416666666666666)</f>
        <v>0.5416666667</v>
      </c>
      <c r="K61" s="53">
        <f t="shared" si="1"/>
        <v>0.02083333333</v>
      </c>
      <c r="L61" s="49" t="s">
        <v>105</v>
      </c>
      <c r="M61" s="62" t="s">
        <v>257</v>
      </c>
      <c r="N61" s="62" t="str">
        <f t="shared" si="2"/>
        <v>CS_7_9_a7d9e021-9883-4e4e-ae22-a38b51b80d16_000000_000000.mp4</v>
      </c>
      <c r="O61" s="63"/>
      <c r="P61" s="63"/>
      <c r="Q61" s="63"/>
      <c r="R61" s="49"/>
      <c r="S61" s="49"/>
      <c r="T61" s="49"/>
    </row>
    <row r="62">
      <c r="A62" s="49" t="str">
        <f>IFERROR(__xludf.DUMMYFUNCTION("""COMPUTED_VALUE"""),"Lunch break")</f>
        <v>Lunch break</v>
      </c>
      <c r="B62" s="49" t="str">
        <f>IFERROR(__xludf.DUMMYFUNCTION("""COMPUTED_VALUE"""),"Centre Stage")</f>
        <v>Centre Stage</v>
      </c>
      <c r="C62" s="51" t="str">
        <f>IFERROR(__xludf.DUMMYFUNCTION("""COMPUTED_VALUE"""),"")</f>
        <v/>
      </c>
      <c r="D62" s="49" t="str">
        <f>IFERROR(__xludf.DUMMYFUNCTION("""COMPUTED_VALUE"""),"2019/11/07 13:00:00")</f>
        <v>2019/11/07 13:00:00</v>
      </c>
      <c r="E62" s="49" t="str">
        <f>IFERROR(__xludf.DUMMYFUNCTION("""COMPUTED_VALUE"""),"2019/11/07 13:10:00")</f>
        <v>2019/11/07 13:10:00</v>
      </c>
      <c r="F62" s="49" t="str">
        <f>IFERROR(__xludf.DUMMYFUNCTION("""COMPUTED_VALUE"""),"c53f5459-eb20-4aa1-b959-82adbbbf8c22")</f>
        <v>c53f5459-eb20-4aa1-b959-82adbbbf8c22</v>
      </c>
      <c r="G62" s="52">
        <f>IFERROR(__xludf.DUMMYFUNCTION("""COMPUTED_VALUE"""),43776.0)</f>
        <v>43776</v>
      </c>
      <c r="H62" s="53">
        <f>IFERROR(__xludf.DUMMYFUNCTION("""COMPUTED_VALUE"""),0.5416666666666666)</f>
        <v>0.5416666667</v>
      </c>
      <c r="I62" s="52">
        <f>IFERROR(__xludf.DUMMYFUNCTION("""COMPUTED_VALUE"""),43776.0)</f>
        <v>43776</v>
      </c>
      <c r="J62" s="53">
        <f>IFERROR(__xludf.DUMMYFUNCTION("""COMPUTED_VALUE"""),0.5486111111111112)</f>
        <v>0.5486111111</v>
      </c>
      <c r="K62" s="53">
        <f t="shared" si="1"/>
        <v>0.006944444444</v>
      </c>
      <c r="L62" s="49" t="s">
        <v>122</v>
      </c>
      <c r="M62" s="62"/>
      <c r="N62" s="62" t="str">
        <f t="shared" si="2"/>
        <v>_c53f5459-eb20-4aa1-b959-82adbbbf8c22_000000_000000.mp4</v>
      </c>
      <c r="O62" s="63"/>
      <c r="P62" s="63"/>
      <c r="Q62" s="63"/>
      <c r="R62" s="49"/>
      <c r="S62" s="49"/>
      <c r="T62" s="49"/>
    </row>
    <row r="63">
      <c r="A63" s="49" t="str">
        <f>IFERROR(__xludf.DUMMYFUNCTION("""COMPUTED_VALUE"""),"Breakout startups")</f>
        <v>Breakout startups</v>
      </c>
      <c r="B63" s="49" t="str">
        <f>IFERROR(__xludf.DUMMYFUNCTION("""COMPUTED_VALUE"""),"Centre Stage")</f>
        <v>Centre Stage</v>
      </c>
      <c r="C63" s="51" t="str">
        <f>IFERROR(__xludf.DUMMYFUNCTION("""COMPUTED_VALUE"""),"Maria Raga, Susan Kuo, Jean-Stéphane Arcis, André Penha, Lisa Alderson, Dominic Williams, Leah Remfry-Peploe and Nikki Michelsen")</f>
        <v>Maria Raga, Susan Kuo, Jean-Stéphane Arcis, André Penha, Lisa Alderson, Dominic Williams, Leah Remfry-Peploe and Nikki Michelsen</v>
      </c>
      <c r="D63" s="49" t="str">
        <f>IFERROR(__xludf.DUMMYFUNCTION("""COMPUTED_VALUE"""),"2019/11/07 13:10:00")</f>
        <v>2019/11/07 13:10:00</v>
      </c>
      <c r="E63" s="49" t="str">
        <f>IFERROR(__xludf.DUMMYFUNCTION("""COMPUTED_VALUE"""),"2019/11/07 13:45:00")</f>
        <v>2019/11/07 13:45:00</v>
      </c>
      <c r="F63" s="49" t="str">
        <f>IFERROR(__xludf.DUMMYFUNCTION("""COMPUTED_VALUE"""),"d076ec0e-074f-4d55-a1b4-2a3e80f0465f")</f>
        <v>d076ec0e-074f-4d55-a1b4-2a3e80f0465f</v>
      </c>
      <c r="G63" s="52">
        <f>IFERROR(__xludf.DUMMYFUNCTION("""COMPUTED_VALUE"""),43776.0)</f>
        <v>43776</v>
      </c>
      <c r="H63" s="53">
        <f>IFERROR(__xludf.DUMMYFUNCTION("""COMPUTED_VALUE"""),0.5486111111111112)</f>
        <v>0.5486111111</v>
      </c>
      <c r="I63" s="52">
        <f>IFERROR(__xludf.DUMMYFUNCTION("""COMPUTED_VALUE"""),43776.0)</f>
        <v>43776</v>
      </c>
      <c r="J63" s="53">
        <f>IFERROR(__xludf.DUMMYFUNCTION("""COMPUTED_VALUE"""),0.5729166666666666)</f>
        <v>0.5729166667</v>
      </c>
      <c r="K63" s="53">
        <f t="shared" si="1"/>
        <v>0.02430555556</v>
      </c>
      <c r="L63" s="49" t="s">
        <v>158</v>
      </c>
      <c r="M63" s="62" t="s">
        <v>258</v>
      </c>
      <c r="N63" s="62" t="str">
        <f t="shared" si="2"/>
        <v>CS_7_10_d076ec0e-074f-4d55-a1b4-2a3e80f0465f_000000_000000.mp4</v>
      </c>
      <c r="O63" s="63"/>
      <c r="P63" s="63"/>
      <c r="Q63" s="63"/>
      <c r="R63" s="49"/>
      <c r="S63" s="49"/>
      <c r="T63" s="49"/>
    </row>
    <row r="64">
      <c r="A64" s="49" t="str">
        <f>IFERROR(__xludf.DUMMYFUNCTION("""COMPUTED_VALUE"""),"Opening remarks")</f>
        <v>Opening remarks</v>
      </c>
      <c r="B64" s="49" t="str">
        <f>IFERROR(__xludf.DUMMYFUNCTION("""COMPUTED_VALUE"""),"Centre Stage")</f>
        <v>Centre Stage</v>
      </c>
      <c r="C64" s="51" t="str">
        <f>IFERROR(__xludf.DUMMYFUNCTION("""COMPUTED_VALUE"""),"Paddy Cosgrave")</f>
        <v>Paddy Cosgrave</v>
      </c>
      <c r="D64" s="49" t="str">
        <f>IFERROR(__xludf.DUMMYFUNCTION("""COMPUTED_VALUE"""),"2019/11/07 13:45:00")</f>
        <v>2019/11/07 13:45:00</v>
      </c>
      <c r="E64" s="49" t="str">
        <f>IFERROR(__xludf.DUMMYFUNCTION("""COMPUTED_VALUE"""),"2019/11/07 14:00:00")</f>
        <v>2019/11/07 14:00:00</v>
      </c>
      <c r="F64" s="49" t="str">
        <f>IFERROR(__xludf.DUMMYFUNCTION("""COMPUTED_VALUE"""),"b0f35e5b-5938-4f05-89cc-5124038343be")</f>
        <v>b0f35e5b-5938-4f05-89cc-5124038343be</v>
      </c>
      <c r="G64" s="52">
        <f>IFERROR(__xludf.DUMMYFUNCTION("""COMPUTED_VALUE"""),43776.0)</f>
        <v>43776</v>
      </c>
      <c r="H64" s="53">
        <f>IFERROR(__xludf.DUMMYFUNCTION("""COMPUTED_VALUE"""),0.5729166666666666)</f>
        <v>0.5729166667</v>
      </c>
      <c r="I64" s="52">
        <f>IFERROR(__xludf.DUMMYFUNCTION("""COMPUTED_VALUE"""),43776.0)</f>
        <v>43776</v>
      </c>
      <c r="J64" s="53">
        <f>IFERROR(__xludf.DUMMYFUNCTION("""COMPUTED_VALUE"""),0.5833333333333334)</f>
        <v>0.5833333333</v>
      </c>
      <c r="K64" s="53">
        <f t="shared" si="1"/>
        <v>0.01041666667</v>
      </c>
      <c r="L64" s="49" t="s">
        <v>118</v>
      </c>
      <c r="M64" s="62" t="s">
        <v>259</v>
      </c>
      <c r="N64" s="62" t="str">
        <f t="shared" si="2"/>
        <v>CS_7_11_b0f35e5b-5938-4f05-89cc-5124038343be_000000_000000.mp4</v>
      </c>
      <c r="O64" s="63"/>
      <c r="P64" s="63"/>
      <c r="Q64" s="63"/>
      <c r="R64" s="49"/>
      <c r="S64" s="49"/>
      <c r="T64" s="49"/>
    </row>
    <row r="65">
      <c r="A65" s="49" t="str">
        <f>IFERROR(__xludf.DUMMYFUNCTION("""COMPUTED_VALUE"""),"Welcome to the future of mobile robots")</f>
        <v>Welcome to the future of mobile robots</v>
      </c>
      <c r="B65" s="49" t="str">
        <f>IFERROR(__xludf.DUMMYFUNCTION("""COMPUTED_VALUE"""),"Centre Stage")</f>
        <v>Centre Stage</v>
      </c>
      <c r="C65" s="51" t="str">
        <f>IFERROR(__xludf.DUMMYFUNCTION("""COMPUTED_VALUE"""),"Marc Raibert")</f>
        <v>Marc Raibert</v>
      </c>
      <c r="D65" s="49" t="str">
        <f>IFERROR(__xludf.DUMMYFUNCTION("""COMPUTED_VALUE"""),"2019/11/07 14:00:00")</f>
        <v>2019/11/07 14:00:00</v>
      </c>
      <c r="E65" s="49" t="str">
        <f>IFERROR(__xludf.DUMMYFUNCTION("""COMPUTED_VALUE"""),"2019/11/07 14:25:00")</f>
        <v>2019/11/07 14:25:00</v>
      </c>
      <c r="F65" s="49" t="str">
        <f>IFERROR(__xludf.DUMMYFUNCTION("""COMPUTED_VALUE"""),"6c79a820-5adc-475a-b059-378cf1e5e7d0")</f>
        <v>6c79a820-5adc-475a-b059-378cf1e5e7d0</v>
      </c>
      <c r="G65" s="52">
        <f>IFERROR(__xludf.DUMMYFUNCTION("""COMPUTED_VALUE"""),43776.0)</f>
        <v>43776</v>
      </c>
      <c r="H65" s="53">
        <f>IFERROR(__xludf.DUMMYFUNCTION("""COMPUTED_VALUE"""),0.5833333333333334)</f>
        <v>0.5833333333</v>
      </c>
      <c r="I65" s="52">
        <f>IFERROR(__xludf.DUMMYFUNCTION("""COMPUTED_VALUE"""),43776.0)</f>
        <v>43776</v>
      </c>
      <c r="J65" s="53">
        <f>IFERROR(__xludf.DUMMYFUNCTION("""COMPUTED_VALUE"""),0.6006944444444444)</f>
        <v>0.6006944444</v>
      </c>
      <c r="K65" s="53">
        <f t="shared" si="1"/>
        <v>0.01736111111</v>
      </c>
      <c r="L65" s="49" t="s">
        <v>111</v>
      </c>
      <c r="M65" s="62" t="s">
        <v>260</v>
      </c>
      <c r="N65" s="62" t="str">
        <f t="shared" si="2"/>
        <v>CS_7_12_6c79a820-5adc-475a-b059-378cf1e5e7d0_000000_000000.mp4</v>
      </c>
      <c r="O65" s="63"/>
      <c r="P65" s="63"/>
      <c r="Q65" s="63"/>
      <c r="R65" s="49"/>
      <c r="S65" s="49"/>
      <c r="T65" s="49"/>
    </row>
    <row r="66">
      <c r="A66" s="49" t="str">
        <f>IFERROR(__xludf.DUMMYFUNCTION("""COMPUTED_VALUE"""),"Breaking up big tech")</f>
        <v>Breaking up big tech</v>
      </c>
      <c r="B66" s="49" t="str">
        <f>IFERROR(__xludf.DUMMYFUNCTION("""COMPUTED_VALUE"""),"Centre Stage")</f>
        <v>Centre Stage</v>
      </c>
      <c r="C66" s="51" t="str">
        <f>IFERROR(__xludf.DUMMYFUNCTION("""COMPUTED_VALUE"""),"Kumi Naidoo, Věra Jourová and Mark Di Stefano")</f>
        <v>Kumi Naidoo, Věra Jourová and Mark Di Stefano</v>
      </c>
      <c r="D66" s="49" t="str">
        <f>IFERROR(__xludf.DUMMYFUNCTION("""COMPUTED_VALUE"""),"2019/11/07 14:25:00")</f>
        <v>2019/11/07 14:25:00</v>
      </c>
      <c r="E66" s="49" t="str">
        <f>IFERROR(__xludf.DUMMYFUNCTION("""COMPUTED_VALUE"""),"2019/11/07 14:45:00")</f>
        <v>2019/11/07 14:45:00</v>
      </c>
      <c r="F66" s="49" t="str">
        <f>IFERROR(__xludf.DUMMYFUNCTION("""COMPUTED_VALUE"""),"a702a26c-2ebb-4bc7-b621-0c8375f3c7f9")</f>
        <v>a702a26c-2ebb-4bc7-b621-0c8375f3c7f9</v>
      </c>
      <c r="G66" s="52">
        <f>IFERROR(__xludf.DUMMYFUNCTION("""COMPUTED_VALUE"""),43776.0)</f>
        <v>43776</v>
      </c>
      <c r="H66" s="53">
        <f>IFERROR(__xludf.DUMMYFUNCTION("""COMPUTED_VALUE"""),0.6006944444444444)</f>
        <v>0.6006944444</v>
      </c>
      <c r="I66" s="52">
        <f>IFERROR(__xludf.DUMMYFUNCTION("""COMPUTED_VALUE"""),43776.0)</f>
        <v>43776</v>
      </c>
      <c r="J66" s="53">
        <f>IFERROR(__xludf.DUMMYFUNCTION("""COMPUTED_VALUE"""),0.6145833333333334)</f>
        <v>0.6145833333</v>
      </c>
      <c r="K66" s="53">
        <f t="shared" si="1"/>
        <v>0.01388888889</v>
      </c>
      <c r="L66" s="49" t="s">
        <v>109</v>
      </c>
      <c r="M66" s="62" t="s">
        <v>261</v>
      </c>
      <c r="N66" s="62" t="str">
        <f t="shared" si="2"/>
        <v>CS_7_13_a702a26c-2ebb-4bc7-b621-0c8375f3c7f9_000000_000000.mp4</v>
      </c>
      <c r="O66" s="63"/>
      <c r="P66" s="63"/>
      <c r="Q66" s="63"/>
      <c r="R66" s="49"/>
      <c r="S66" s="49"/>
      <c r="T66" s="49"/>
    </row>
    <row r="67">
      <c r="A67" s="49" t="str">
        <f>IFERROR(__xludf.DUMMYFUNCTION("""COMPUTED_VALUE"""),"Starting a revolution: the next wave of tech giants")</f>
        <v>Starting a revolution: the next wave of tech giants</v>
      </c>
      <c r="B67" s="49" t="str">
        <f>IFERROR(__xludf.DUMMYFUNCTION("""COMPUTED_VALUE"""),"Centre Stage")</f>
        <v>Centre Stage</v>
      </c>
      <c r="C67" s="51" t="str">
        <f>IFERROR(__xludf.DUMMYFUNCTION("""COMPUTED_VALUE"""),"Josh Luber, Mada Seghete, Henrique Dubugras and Jonathan Weber")</f>
        <v>Josh Luber, Mada Seghete, Henrique Dubugras and Jonathan Weber</v>
      </c>
      <c r="D67" s="49" t="str">
        <f>IFERROR(__xludf.DUMMYFUNCTION("""COMPUTED_VALUE"""),"2019/11/07 14:45:00")</f>
        <v>2019/11/07 14:45:00</v>
      </c>
      <c r="E67" s="49" t="str">
        <f>IFERROR(__xludf.DUMMYFUNCTION("""COMPUTED_VALUE"""),"2019/11/07 15:10:00")</f>
        <v>2019/11/07 15:10:00</v>
      </c>
      <c r="F67" s="49" t="str">
        <f>IFERROR(__xludf.DUMMYFUNCTION("""COMPUTED_VALUE"""),"c6bee28f-45ea-4fd5-bb11-632d19bbb357")</f>
        <v>c6bee28f-45ea-4fd5-bb11-632d19bbb357</v>
      </c>
      <c r="G67" s="52">
        <f>IFERROR(__xludf.DUMMYFUNCTION("""COMPUTED_VALUE"""),43776.0)</f>
        <v>43776</v>
      </c>
      <c r="H67" s="53">
        <f>IFERROR(__xludf.DUMMYFUNCTION("""COMPUTED_VALUE"""),0.6145833333333334)</f>
        <v>0.6145833333</v>
      </c>
      <c r="I67" s="52">
        <f>IFERROR(__xludf.DUMMYFUNCTION("""COMPUTED_VALUE"""),43776.0)</f>
        <v>43776</v>
      </c>
      <c r="J67" s="53">
        <f>IFERROR(__xludf.DUMMYFUNCTION("""COMPUTED_VALUE"""),0.6319444444444444)</f>
        <v>0.6319444444</v>
      </c>
      <c r="K67" s="53">
        <f t="shared" si="1"/>
        <v>0.01736111111</v>
      </c>
      <c r="L67" s="49" t="s">
        <v>111</v>
      </c>
      <c r="M67" s="62" t="s">
        <v>262</v>
      </c>
      <c r="N67" s="62" t="str">
        <f t="shared" si="2"/>
        <v>CS_7_14_c6bee28f-45ea-4fd5-bb11-632d19bbb357_000000_000000.mp4</v>
      </c>
      <c r="O67" s="63"/>
      <c r="P67" s="63"/>
      <c r="Q67" s="63"/>
      <c r="R67" s="49"/>
      <c r="S67" s="49"/>
      <c r="T67" s="49"/>
    </row>
    <row r="68">
      <c r="A68" s="49" t="str">
        <f>IFERROR(__xludf.DUMMYFUNCTION("""COMPUTED_VALUE"""),"Abandon your black mirror: Conquering tech addiction")</f>
        <v>Abandon your black mirror: Conquering tech addiction</v>
      </c>
      <c r="B68" s="49" t="str">
        <f>IFERROR(__xludf.DUMMYFUNCTION("""COMPUTED_VALUE"""),"Centre Stage")</f>
        <v>Centre Stage</v>
      </c>
      <c r="C68" s="51" t="str">
        <f>IFERROR(__xludf.DUMMYFUNCTION("""COMPUTED_VALUE"""),"Justin McLeod, Dame Til Wykes and Katie Collins")</f>
        <v>Justin McLeod, Dame Til Wykes and Katie Collins</v>
      </c>
      <c r="D68" s="49" t="str">
        <f>IFERROR(__xludf.DUMMYFUNCTION("""COMPUTED_VALUE"""),"2019/11/07 15:10:00")</f>
        <v>2019/11/07 15:10:00</v>
      </c>
      <c r="E68" s="49" t="str">
        <f>IFERROR(__xludf.DUMMYFUNCTION("""COMPUTED_VALUE"""),"2019/11/07 15:35:00")</f>
        <v>2019/11/07 15:35:00</v>
      </c>
      <c r="F68" s="49" t="str">
        <f>IFERROR(__xludf.DUMMYFUNCTION("""COMPUTED_VALUE"""),"b8851ff5-4de5-4971-8890-ea640e4b052f")</f>
        <v>b8851ff5-4de5-4971-8890-ea640e4b052f</v>
      </c>
      <c r="G68" s="52">
        <f>IFERROR(__xludf.DUMMYFUNCTION("""COMPUTED_VALUE"""),43776.0)</f>
        <v>43776</v>
      </c>
      <c r="H68" s="53">
        <f>IFERROR(__xludf.DUMMYFUNCTION("""COMPUTED_VALUE"""),0.6319444444444444)</f>
        <v>0.6319444444</v>
      </c>
      <c r="I68" s="52">
        <f>IFERROR(__xludf.DUMMYFUNCTION("""COMPUTED_VALUE"""),43776.0)</f>
        <v>43776</v>
      </c>
      <c r="J68" s="53">
        <f>IFERROR(__xludf.DUMMYFUNCTION("""COMPUTED_VALUE"""),0.6493055555555556)</f>
        <v>0.6493055556</v>
      </c>
      <c r="K68" s="53">
        <f t="shared" si="1"/>
        <v>0.01736111111</v>
      </c>
      <c r="L68" s="49" t="s">
        <v>111</v>
      </c>
      <c r="M68" s="62" t="s">
        <v>263</v>
      </c>
      <c r="N68" s="62" t="str">
        <f t="shared" si="2"/>
        <v>CS_7_15_b8851ff5-4de5-4971-8890-ea640e4b052f_000000_000000.mp4</v>
      </c>
      <c r="O68" s="63"/>
      <c r="P68" s="63"/>
      <c r="Q68" s="63"/>
      <c r="R68" s="49"/>
      <c r="S68" s="49"/>
      <c r="T68" s="49"/>
    </row>
    <row r="69">
      <c r="A69" s="49" t="str">
        <f>IFERROR(__xludf.DUMMYFUNCTION("""COMPUTED_VALUE"""),"Perspective from The White House")</f>
        <v>Perspective from The White House</v>
      </c>
      <c r="B69" s="49" t="str">
        <f>IFERROR(__xludf.DUMMYFUNCTION("""COMPUTED_VALUE"""),"Centre Stage")</f>
        <v>Centre Stage</v>
      </c>
      <c r="C69" s="51" t="str">
        <f>IFERROR(__xludf.DUMMYFUNCTION("""COMPUTED_VALUE"""),"Michael Kratsios")</f>
        <v>Michael Kratsios</v>
      </c>
      <c r="D69" s="49" t="str">
        <f>IFERROR(__xludf.DUMMYFUNCTION("""COMPUTED_VALUE"""),"2019/11/07 15:35:00")</f>
        <v>2019/11/07 15:35:00</v>
      </c>
      <c r="E69" s="49" t="str">
        <f>IFERROR(__xludf.DUMMYFUNCTION("""COMPUTED_VALUE"""),"2019/11/07 16:00:00")</f>
        <v>2019/11/07 16:00:00</v>
      </c>
      <c r="F69" s="49" t="str">
        <f>IFERROR(__xludf.DUMMYFUNCTION("""COMPUTED_VALUE"""),"b7b8c823-da5d-43a2-8798-71f90d2d18d3")</f>
        <v>b7b8c823-da5d-43a2-8798-71f90d2d18d3</v>
      </c>
      <c r="G69" s="52">
        <f>IFERROR(__xludf.DUMMYFUNCTION("""COMPUTED_VALUE"""),43776.0)</f>
        <v>43776</v>
      </c>
      <c r="H69" s="53">
        <f>IFERROR(__xludf.DUMMYFUNCTION("""COMPUTED_VALUE"""),0.6493055555555556)</f>
        <v>0.6493055556</v>
      </c>
      <c r="I69" s="52">
        <f>IFERROR(__xludf.DUMMYFUNCTION("""COMPUTED_VALUE"""),43776.0)</f>
        <v>43776</v>
      </c>
      <c r="J69" s="53">
        <f>IFERROR(__xludf.DUMMYFUNCTION("""COMPUTED_VALUE"""),0.6666666666666666)</f>
        <v>0.6666666667</v>
      </c>
      <c r="K69" s="53">
        <f t="shared" si="1"/>
        <v>0.01736111111</v>
      </c>
      <c r="L69" s="49" t="s">
        <v>111</v>
      </c>
      <c r="M69" s="62" t="s">
        <v>264</v>
      </c>
      <c r="N69" s="62" t="str">
        <f t="shared" si="2"/>
        <v>CS_7_16_b7b8c823-da5d-43a2-8798-71f90d2d18d3_000000_000000.mp4</v>
      </c>
      <c r="O69" s="63"/>
      <c r="P69" s="63"/>
      <c r="Q69" s="63"/>
      <c r="R69" s="49"/>
      <c r="S69" s="49"/>
      <c r="T69" s="49"/>
    </row>
    <row r="70">
      <c r="A70" s="49" t="str">
        <f>IFERROR(__xludf.DUMMYFUNCTION("""COMPUTED_VALUE"""),"PITCH Winner revealed")</f>
        <v>PITCH Winner revealed</v>
      </c>
      <c r="B70" s="49" t="str">
        <f>IFERROR(__xludf.DUMMYFUNCTION("""COMPUTED_VALUE"""),"Centre Stage")</f>
        <v>Centre Stage</v>
      </c>
      <c r="C70" s="51" t="str">
        <f>IFERROR(__xludf.DUMMYFUNCTION("""COMPUTED_VALUE"""),"Paddy Cosgrave, Pedro Miranda and Mada Seghete")</f>
        <v>Paddy Cosgrave, Pedro Miranda and Mada Seghete</v>
      </c>
      <c r="D70" s="49" t="str">
        <f>IFERROR(__xludf.DUMMYFUNCTION("""COMPUTED_VALUE"""),"2019/11/07 16:25:00")</f>
        <v>2019/11/07 16:25:00</v>
      </c>
      <c r="E70" s="49" t="str">
        <f>IFERROR(__xludf.DUMMYFUNCTION("""COMPUTED_VALUE"""),"2019/11/07 16:30:00")</f>
        <v>2019/11/07 16:30:00</v>
      </c>
      <c r="F70" s="49" t="str">
        <f>IFERROR(__xludf.DUMMYFUNCTION("""COMPUTED_VALUE"""),"19434eb9-68a0-4683-8227-ea6800835e78")</f>
        <v>19434eb9-68a0-4683-8227-ea6800835e78</v>
      </c>
      <c r="G70" s="52">
        <f>IFERROR(__xludf.DUMMYFUNCTION("""COMPUTED_VALUE"""),43776.0)</f>
        <v>43776</v>
      </c>
      <c r="H70" s="53">
        <f>IFERROR(__xludf.DUMMYFUNCTION("""COMPUTED_VALUE"""),0.6840277777777778)</f>
        <v>0.6840277778</v>
      </c>
      <c r="I70" s="52">
        <f>IFERROR(__xludf.DUMMYFUNCTION("""COMPUTED_VALUE"""),43776.0)</f>
        <v>43776</v>
      </c>
      <c r="J70" s="53">
        <f>IFERROR(__xludf.DUMMYFUNCTION("""COMPUTED_VALUE"""),0.6875)</f>
        <v>0.6875</v>
      </c>
      <c r="K70" s="53">
        <f t="shared" si="1"/>
        <v>0.003472222222</v>
      </c>
      <c r="L70" s="49" t="s">
        <v>228</v>
      </c>
      <c r="M70" s="62" t="s">
        <v>265</v>
      </c>
      <c r="N70" s="62" t="str">
        <f t="shared" si="2"/>
        <v>CS_7_17_19434eb9-68a0-4683-8227-ea6800835e78_000000_000000.mp4</v>
      </c>
      <c r="O70" s="63"/>
      <c r="P70" s="63"/>
      <c r="Q70" s="63"/>
      <c r="R70" s="49"/>
      <c r="S70" s="49"/>
      <c r="T70" s="49"/>
    </row>
    <row r="71">
      <c r="A71" s="49" t="str">
        <f>IFERROR(__xludf.DUMMYFUNCTION("""COMPUTED_VALUE"""),"In conversation with Margrethe Vestager")</f>
        <v>In conversation with Margrethe Vestager</v>
      </c>
      <c r="B71" s="49" t="str">
        <f>IFERROR(__xludf.DUMMYFUNCTION("""COMPUTED_VALUE"""),"Centre Stage")</f>
        <v>Centre Stage</v>
      </c>
      <c r="C71" s="51" t="str">
        <f>IFERROR(__xludf.DUMMYFUNCTION("""COMPUTED_VALUE"""),"Margrethe Vestager and Laurie Segall")</f>
        <v>Margrethe Vestager and Laurie Segall</v>
      </c>
      <c r="D71" s="49" t="str">
        <f>IFERROR(__xludf.DUMMYFUNCTION("""COMPUTED_VALUE"""),"2019/11/07 16:30:00")</f>
        <v>2019/11/07 16:30:00</v>
      </c>
      <c r="E71" s="49" t="str">
        <f>IFERROR(__xludf.DUMMYFUNCTION("""COMPUTED_VALUE"""),"2019/11/07 16:55:00")</f>
        <v>2019/11/07 16:55:00</v>
      </c>
      <c r="F71" s="49" t="str">
        <f>IFERROR(__xludf.DUMMYFUNCTION("""COMPUTED_VALUE"""),"e1941c66-7586-42a7-bf1f-b8d777f7a040")</f>
        <v>e1941c66-7586-42a7-bf1f-b8d777f7a040</v>
      </c>
      <c r="G71" s="52">
        <f>IFERROR(__xludf.DUMMYFUNCTION("""COMPUTED_VALUE"""),43776.0)</f>
        <v>43776</v>
      </c>
      <c r="H71" s="53">
        <f>IFERROR(__xludf.DUMMYFUNCTION("""COMPUTED_VALUE"""),0.6875)</f>
        <v>0.6875</v>
      </c>
      <c r="I71" s="52">
        <f>IFERROR(__xludf.DUMMYFUNCTION("""COMPUTED_VALUE"""),43776.0)</f>
        <v>43776</v>
      </c>
      <c r="J71" s="53">
        <f>IFERROR(__xludf.DUMMYFUNCTION("""COMPUTED_VALUE"""),0.7048611111111112)</f>
        <v>0.7048611111</v>
      </c>
      <c r="K71" s="53">
        <f t="shared" si="1"/>
        <v>0.01736111111</v>
      </c>
      <c r="L71" s="49" t="s">
        <v>111</v>
      </c>
      <c r="M71" s="62" t="s">
        <v>266</v>
      </c>
      <c r="N71" s="62" t="str">
        <f t="shared" si="2"/>
        <v>CS_7_18_e1941c66-7586-42a7-bf1f-b8d777f7a040_000000_000000.mp4</v>
      </c>
      <c r="O71" s="63"/>
      <c r="P71" s="63"/>
      <c r="Q71" s="63"/>
      <c r="R71" s="49"/>
      <c r="S71" s="49"/>
      <c r="T71" s="49"/>
    </row>
    <row r="72">
      <c r="A72" s="49" t="str">
        <f>IFERROR(__xludf.DUMMYFUNCTION("""COMPUTED_VALUE"""),"Web Summit Closing Ceremony")</f>
        <v>Web Summit Closing Ceremony</v>
      </c>
      <c r="B72" s="49" t="str">
        <f>IFERROR(__xludf.DUMMYFUNCTION("""COMPUTED_VALUE"""),"Centre Stage")</f>
        <v>Centre Stage</v>
      </c>
      <c r="C72" s="51" t="str">
        <f>IFERROR(__xludf.DUMMYFUNCTION("""COMPUTED_VALUE"""),"Marcelo Rebelo de Sousa and Paddy Cosgrave")</f>
        <v>Marcelo Rebelo de Sousa and Paddy Cosgrave</v>
      </c>
      <c r="D72" s="49" t="str">
        <f>IFERROR(__xludf.DUMMYFUNCTION("""COMPUTED_VALUE"""),"2019/11/07 16:55:00")</f>
        <v>2019/11/07 16:55:00</v>
      </c>
      <c r="E72" s="49" t="str">
        <f>IFERROR(__xludf.DUMMYFUNCTION("""COMPUTED_VALUE"""),"2019/11/07 17:00:00")</f>
        <v>2019/11/07 17:00:00</v>
      </c>
      <c r="F72" s="49" t="str">
        <f>IFERROR(__xludf.DUMMYFUNCTION("""COMPUTED_VALUE"""),"aa094c33-196d-477b-a283-f05025de2dfb")</f>
        <v>aa094c33-196d-477b-a283-f05025de2dfb</v>
      </c>
      <c r="G72" s="52">
        <f>IFERROR(__xludf.DUMMYFUNCTION("""COMPUTED_VALUE"""),43776.0)</f>
        <v>43776</v>
      </c>
      <c r="H72" s="53">
        <f>IFERROR(__xludf.DUMMYFUNCTION("""COMPUTED_VALUE"""),0.7048611111111112)</f>
        <v>0.7048611111</v>
      </c>
      <c r="I72" s="52">
        <f>IFERROR(__xludf.DUMMYFUNCTION("""COMPUTED_VALUE"""),43776.0)</f>
        <v>43776</v>
      </c>
      <c r="J72" s="53">
        <f>IFERROR(__xludf.DUMMYFUNCTION("""COMPUTED_VALUE"""),0.7083333333333334)</f>
        <v>0.7083333333</v>
      </c>
      <c r="K72" s="53">
        <f t="shared" si="1"/>
        <v>0.003472222222</v>
      </c>
      <c r="L72" s="49" t="s">
        <v>228</v>
      </c>
      <c r="M72" s="62" t="s">
        <v>267</v>
      </c>
      <c r="N72" s="62" t="str">
        <f t="shared" si="2"/>
        <v>CS_7_19_aa094c33-196d-477b-a283-f05025de2dfb_000000_000000.mp4</v>
      </c>
      <c r="O72" s="63"/>
      <c r="P72" s="63"/>
      <c r="Q72" s="63"/>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f t="shared" si="1"/>
        <v>0</v>
      </c>
      <c r="L73" s="49" t="s">
        <v>255</v>
      </c>
      <c r="M73" s="62"/>
      <c r="N73" s="49"/>
      <c r="O73" s="63"/>
      <c r="P73" s="63"/>
      <c r="Q73" s="63"/>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f t="shared" si="1"/>
        <v>0</v>
      </c>
      <c r="L74" s="49" t="s">
        <v>255</v>
      </c>
      <c r="M74" s="62"/>
      <c r="N74" s="49"/>
      <c r="O74" s="63"/>
      <c r="P74" s="63"/>
      <c r="Q74" s="63"/>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f t="shared" si="1"/>
        <v>0</v>
      </c>
      <c r="L75" s="49" t="s">
        <v>255</v>
      </c>
      <c r="M75" s="62"/>
      <c r="N75" s="49"/>
      <c r="O75" s="63"/>
      <c r="P75" s="63"/>
      <c r="Q75" s="63"/>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f t="shared" si="1"/>
        <v>0</v>
      </c>
      <c r="L76" s="49" t="s">
        <v>255</v>
      </c>
      <c r="M76" s="62"/>
      <c r="N76" s="49"/>
      <c r="O76" s="63"/>
      <c r="P76" s="63"/>
      <c r="Q76" s="63"/>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f t="shared" si="1"/>
        <v>0</v>
      </c>
      <c r="L77" s="49" t="s">
        <v>255</v>
      </c>
      <c r="M77" s="62"/>
      <c r="N77" s="49"/>
      <c r="O77" s="63"/>
      <c r="P77" s="63"/>
      <c r="Q77" s="63"/>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f t="shared" si="1"/>
        <v>0</v>
      </c>
      <c r="L78" s="49" t="s">
        <v>255</v>
      </c>
      <c r="M78" s="62"/>
      <c r="N78" s="49"/>
      <c r="O78" s="63"/>
      <c r="P78" s="63"/>
      <c r="Q78" s="63"/>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f t="shared" si="1"/>
        <v>0</v>
      </c>
      <c r="L79" s="49" t="s">
        <v>255</v>
      </c>
      <c r="M79" s="62"/>
      <c r="N79" s="49"/>
      <c r="O79" s="63"/>
      <c r="P79" s="63"/>
      <c r="Q79" s="63"/>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f t="shared" si="1"/>
        <v>0</v>
      </c>
      <c r="L80" s="49" t="s">
        <v>255</v>
      </c>
      <c r="M80" s="62"/>
      <c r="N80" s="49"/>
      <c r="O80" s="63"/>
      <c r="P80" s="63"/>
      <c r="Q80" s="63"/>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f t="shared" si="1"/>
        <v>0</v>
      </c>
      <c r="L81" s="49" t="s">
        <v>255</v>
      </c>
      <c r="M81" s="62"/>
      <c r="N81" s="49"/>
      <c r="O81" s="63"/>
      <c r="P81" s="63"/>
      <c r="Q81" s="63"/>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f t="shared" si="1"/>
        <v>0</v>
      </c>
      <c r="L82" s="49" t="s">
        <v>255</v>
      </c>
      <c r="M82" s="62"/>
      <c r="N82" s="49"/>
      <c r="O82" s="63"/>
      <c r="P82" s="63"/>
      <c r="Q82" s="63"/>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f t="shared" si="1"/>
        <v>0</v>
      </c>
      <c r="L83" s="49" t="s">
        <v>255</v>
      </c>
      <c r="M83" s="62"/>
      <c r="N83" s="49"/>
      <c r="O83" s="63"/>
      <c r="P83" s="63"/>
      <c r="Q83" s="63"/>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f t="shared" si="1"/>
        <v>0</v>
      </c>
      <c r="L84" s="49" t="s">
        <v>255</v>
      </c>
      <c r="M84" s="62"/>
      <c r="N84" s="49"/>
      <c r="O84" s="63"/>
      <c r="P84" s="63"/>
      <c r="Q84" s="63"/>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f t="shared" si="1"/>
        <v>0</v>
      </c>
      <c r="L85" s="49" t="s">
        <v>255</v>
      </c>
      <c r="M85" s="62"/>
      <c r="N85" s="49"/>
      <c r="O85" s="63"/>
      <c r="P85" s="63"/>
      <c r="Q85" s="63"/>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f t="shared" si="1"/>
        <v>0</v>
      </c>
      <c r="L86" s="49" t="s">
        <v>255</v>
      </c>
      <c r="M86" s="62"/>
      <c r="N86" s="49"/>
      <c r="O86" s="63"/>
      <c r="P86" s="63"/>
      <c r="Q86" s="63"/>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f t="shared" si="1"/>
        <v>0</v>
      </c>
      <c r="L87" s="49" t="s">
        <v>255</v>
      </c>
      <c r="M87" s="62"/>
      <c r="N87" s="49"/>
      <c r="O87" s="63"/>
      <c r="P87" s="63"/>
      <c r="Q87" s="63"/>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f t="shared" si="1"/>
        <v>0</v>
      </c>
      <c r="L88" s="49" t="s">
        <v>255</v>
      </c>
      <c r="M88" s="62"/>
      <c r="N88" s="49"/>
      <c r="O88" s="63"/>
      <c r="P88" s="63"/>
      <c r="Q88" s="63"/>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f t="shared" si="1"/>
        <v>0</v>
      </c>
      <c r="L89" s="49" t="s">
        <v>255</v>
      </c>
      <c r="M89" s="62"/>
      <c r="N89" s="49"/>
      <c r="O89" s="63"/>
      <c r="P89" s="63"/>
      <c r="Q89" s="63"/>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f t="shared" si="1"/>
        <v>0</v>
      </c>
      <c r="L90" s="49" t="s">
        <v>255</v>
      </c>
      <c r="M90" s="62"/>
      <c r="N90" s="49"/>
      <c r="O90" s="63"/>
      <c r="P90" s="63"/>
      <c r="Q90" s="63"/>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f t="shared" si="1"/>
        <v>0</v>
      </c>
      <c r="L91" s="49" t="s">
        <v>255</v>
      </c>
      <c r="M91" s="62"/>
      <c r="N91" s="49"/>
      <c r="O91" s="63"/>
      <c r="P91" s="63"/>
      <c r="Q91" s="63"/>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f t="shared" si="1"/>
        <v>0</v>
      </c>
      <c r="L92" s="49" t="s">
        <v>255</v>
      </c>
      <c r="M92" s="62"/>
      <c r="N92" s="49"/>
      <c r="O92" s="63"/>
      <c r="P92" s="63"/>
      <c r="Q92" s="63"/>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f t="shared" si="1"/>
        <v>0</v>
      </c>
      <c r="L93" s="49" t="s">
        <v>255</v>
      </c>
      <c r="M93" s="62"/>
      <c r="N93" s="49"/>
      <c r="O93" s="63"/>
      <c r="P93" s="63"/>
      <c r="Q93" s="63"/>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f t="shared" si="1"/>
        <v>0</v>
      </c>
      <c r="L94" s="49" t="s">
        <v>255</v>
      </c>
      <c r="M94" s="62"/>
      <c r="N94" s="49"/>
      <c r="O94" s="63"/>
      <c r="P94" s="63"/>
      <c r="Q94" s="63"/>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f t="shared" si="1"/>
        <v>0</v>
      </c>
      <c r="L95" s="49" t="s">
        <v>255</v>
      </c>
      <c r="M95" s="62"/>
      <c r="N95" s="49"/>
      <c r="O95" s="63"/>
      <c r="P95" s="63"/>
      <c r="Q95" s="63"/>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f t="shared" si="1"/>
        <v>0</v>
      </c>
      <c r="L96" s="49" t="s">
        <v>255</v>
      </c>
      <c r="M96" s="62"/>
      <c r="N96" s="49"/>
      <c r="O96" s="63"/>
      <c r="P96" s="63"/>
      <c r="Q96" s="63"/>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f t="shared" si="1"/>
        <v>0</v>
      </c>
      <c r="L97" s="49" t="s">
        <v>255</v>
      </c>
      <c r="M97" s="62"/>
      <c r="N97" s="49"/>
      <c r="O97" s="63"/>
      <c r="P97" s="63"/>
      <c r="Q97" s="63"/>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f t="shared" si="1"/>
        <v>0</v>
      </c>
      <c r="L98" s="49" t="s">
        <v>255</v>
      </c>
      <c r="M98" s="62"/>
      <c r="N98" s="49"/>
      <c r="O98" s="63"/>
      <c r="P98" s="63"/>
      <c r="Q98" s="63"/>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f t="shared" si="1"/>
        <v>0</v>
      </c>
      <c r="L99" s="49" t="s">
        <v>255</v>
      </c>
      <c r="M99" s="62"/>
      <c r="N99" s="49"/>
      <c r="O99" s="63"/>
      <c r="P99" s="63"/>
      <c r="Q99" s="63"/>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f t="shared" si="1"/>
        <v>0</v>
      </c>
      <c r="L100" s="49" t="s">
        <v>255</v>
      </c>
      <c r="M100" s="62"/>
      <c r="N100" s="49"/>
      <c r="O100" s="63"/>
      <c r="P100" s="63"/>
      <c r="Q100" s="63"/>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f t="shared" si="1"/>
        <v>0</v>
      </c>
      <c r="L101" s="49" t="s">
        <v>255</v>
      </c>
      <c r="M101" s="62"/>
      <c r="N101" s="49"/>
      <c r="O101" s="63"/>
      <c r="P101" s="63"/>
      <c r="Q101" s="63"/>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f t="shared" si="1"/>
        <v>0</v>
      </c>
      <c r="L102" s="49" t="s">
        <v>255</v>
      </c>
      <c r="M102" s="62"/>
      <c r="N102" s="49"/>
      <c r="O102" s="63"/>
      <c r="P102" s="63"/>
      <c r="Q102" s="63"/>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f t="shared" si="1"/>
        <v>0</v>
      </c>
      <c r="L103" s="49" t="s">
        <v>255</v>
      </c>
      <c r="M103" s="62"/>
      <c r="N103" s="49"/>
      <c r="O103" s="63"/>
      <c r="P103" s="63"/>
      <c r="Q103" s="63"/>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f t="shared" si="1"/>
        <v>0</v>
      </c>
      <c r="L104" s="49" t="s">
        <v>255</v>
      </c>
      <c r="M104" s="62"/>
      <c r="N104" s="49"/>
      <c r="O104" s="63"/>
      <c r="P104" s="63"/>
      <c r="Q104" s="63"/>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f t="shared" si="1"/>
        <v>0</v>
      </c>
      <c r="L105" s="49" t="s">
        <v>255</v>
      </c>
      <c r="M105" s="62"/>
      <c r="N105" s="49"/>
      <c r="O105" s="63"/>
      <c r="P105" s="63"/>
      <c r="Q105" s="63"/>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f t="shared" si="1"/>
        <v>0</v>
      </c>
      <c r="L106" s="49" t="s">
        <v>255</v>
      </c>
      <c r="M106" s="62"/>
      <c r="N106" s="49"/>
      <c r="O106" s="63"/>
      <c r="P106" s="63"/>
      <c r="Q106" s="63"/>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f t="shared" si="1"/>
        <v>0</v>
      </c>
      <c r="L107" s="49" t="s">
        <v>255</v>
      </c>
      <c r="M107" s="62"/>
      <c r="N107" s="49"/>
      <c r="O107" s="63"/>
      <c r="P107" s="63"/>
      <c r="Q107" s="63"/>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f t="shared" si="1"/>
        <v>0</v>
      </c>
      <c r="L108" s="49" t="s">
        <v>255</v>
      </c>
      <c r="M108" s="62"/>
      <c r="N108" s="49"/>
      <c r="O108" s="63"/>
      <c r="P108" s="63"/>
      <c r="Q108" s="63"/>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f t="shared" si="1"/>
        <v>0</v>
      </c>
      <c r="L109" s="49" t="s">
        <v>255</v>
      </c>
      <c r="M109" s="62"/>
      <c r="N109" s="49"/>
      <c r="O109" s="63"/>
      <c r="P109" s="63"/>
      <c r="Q109" s="63"/>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f t="shared" si="1"/>
        <v>0</v>
      </c>
      <c r="L110" s="49" t="s">
        <v>255</v>
      </c>
      <c r="M110" s="62"/>
      <c r="N110" s="49"/>
      <c r="O110" s="63"/>
      <c r="P110" s="63"/>
      <c r="Q110" s="63"/>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f t="shared" si="1"/>
        <v>0</v>
      </c>
      <c r="L111" s="49" t="s">
        <v>255</v>
      </c>
      <c r="M111" s="62"/>
      <c r="N111" s="49"/>
      <c r="O111" s="63"/>
      <c r="P111" s="63"/>
      <c r="Q111" s="63"/>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f t="shared" si="1"/>
        <v>0</v>
      </c>
      <c r="L112" s="49" t="s">
        <v>255</v>
      </c>
      <c r="M112" s="62"/>
      <c r="N112" s="49"/>
      <c r="O112" s="63"/>
      <c r="P112" s="63"/>
      <c r="Q112" s="63"/>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f t="shared" si="1"/>
        <v>0</v>
      </c>
      <c r="L113" s="49" t="s">
        <v>255</v>
      </c>
      <c r="M113" s="62"/>
      <c r="N113" s="49"/>
      <c r="O113" s="63"/>
      <c r="P113" s="63"/>
      <c r="Q113" s="63"/>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f t="shared" si="1"/>
        <v>0</v>
      </c>
      <c r="L114" s="49" t="s">
        <v>255</v>
      </c>
      <c r="M114" s="62"/>
      <c r="N114" s="49"/>
      <c r="O114" s="63"/>
      <c r="P114" s="63"/>
      <c r="Q114" s="63"/>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f t="shared" si="1"/>
        <v>0</v>
      </c>
      <c r="L115" s="49" t="s">
        <v>255</v>
      </c>
      <c r="M115" s="62"/>
      <c r="N115" s="49"/>
      <c r="O115" s="63"/>
      <c r="P115" s="63"/>
      <c r="Q115" s="63"/>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f t="shared" si="1"/>
        <v>0</v>
      </c>
      <c r="L116" s="49" t="s">
        <v>255</v>
      </c>
      <c r="M116" s="62"/>
      <c r="N116" s="49"/>
      <c r="O116" s="63"/>
      <c r="P116" s="63"/>
      <c r="Q116" s="63"/>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f t="shared" si="1"/>
        <v>0</v>
      </c>
      <c r="L117" s="49" t="s">
        <v>255</v>
      </c>
      <c r="M117" s="62"/>
      <c r="N117" s="49"/>
      <c r="O117" s="63"/>
      <c r="P117" s="63"/>
      <c r="Q117" s="63"/>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f t="shared" si="1"/>
        <v>0</v>
      </c>
      <c r="L118" s="49" t="s">
        <v>255</v>
      </c>
      <c r="M118" s="62"/>
      <c r="N118" s="49"/>
      <c r="O118" s="63"/>
      <c r="P118" s="63"/>
      <c r="Q118" s="63"/>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f t="shared" si="1"/>
        <v>0</v>
      </c>
      <c r="L119" s="49" t="s">
        <v>255</v>
      </c>
      <c r="M119" s="62"/>
      <c r="N119" s="49"/>
      <c r="O119" s="63"/>
      <c r="P119" s="63"/>
      <c r="Q119" s="63"/>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255</v>
      </c>
      <c r="M120" s="62"/>
      <c r="N120" s="49"/>
      <c r="O120" s="63"/>
      <c r="P120" s="63"/>
      <c r="Q120" s="63"/>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255</v>
      </c>
      <c r="M121" s="62"/>
      <c r="N121" s="49"/>
      <c r="O121" s="63"/>
      <c r="P121" s="63"/>
      <c r="Q121" s="63"/>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255</v>
      </c>
      <c r="M122" s="62"/>
      <c r="N122" s="49"/>
      <c r="O122" s="63"/>
      <c r="P122" s="63"/>
      <c r="Q122" s="63"/>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255</v>
      </c>
      <c r="M123" s="62"/>
      <c r="N123" s="49"/>
      <c r="O123" s="63"/>
      <c r="P123" s="63"/>
      <c r="Q123" s="63"/>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255</v>
      </c>
      <c r="M124" s="62"/>
      <c r="N124" s="49"/>
      <c r="O124" s="63"/>
      <c r="P124" s="63"/>
      <c r="Q124" s="63"/>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255</v>
      </c>
      <c r="M125" s="62"/>
      <c r="N125" s="49"/>
      <c r="O125" s="63"/>
      <c r="P125" s="63"/>
      <c r="Q125" s="63"/>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255</v>
      </c>
      <c r="M126" s="62"/>
      <c r="N126" s="49"/>
      <c r="O126" s="63"/>
      <c r="P126" s="63"/>
      <c r="Q126" s="63"/>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255</v>
      </c>
      <c r="M127" s="62"/>
      <c r="N127" s="49"/>
      <c r="O127" s="63"/>
      <c r="P127" s="63"/>
      <c r="Q127" s="63"/>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255</v>
      </c>
      <c r="M128" s="62"/>
      <c r="N128" s="49"/>
      <c r="O128" s="63"/>
      <c r="P128" s="63"/>
      <c r="Q128" s="63"/>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255</v>
      </c>
      <c r="M129" s="62"/>
      <c r="N129" s="49"/>
      <c r="O129" s="63"/>
      <c r="P129" s="63"/>
      <c r="Q129" s="63"/>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255</v>
      </c>
      <c r="M130" s="62"/>
      <c r="N130" s="49"/>
      <c r="O130" s="63"/>
      <c r="P130" s="63"/>
      <c r="Q130" s="63"/>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255</v>
      </c>
      <c r="M131" s="62"/>
      <c r="N131" s="49"/>
      <c r="O131" s="63"/>
      <c r="P131" s="63"/>
      <c r="Q131" s="63"/>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255</v>
      </c>
      <c r="M132" s="62"/>
      <c r="N132" s="49"/>
      <c r="O132" s="63"/>
      <c r="P132" s="63"/>
      <c r="Q132" s="63"/>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255</v>
      </c>
      <c r="M133" s="62"/>
      <c r="N133" s="49"/>
      <c r="O133" s="63"/>
      <c r="P133" s="63"/>
      <c r="Q133" s="63"/>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255</v>
      </c>
      <c r="M134" s="62"/>
      <c r="N134" s="49"/>
      <c r="O134" s="63"/>
      <c r="P134" s="63"/>
      <c r="Q134" s="63"/>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255</v>
      </c>
      <c r="M135" s="62"/>
      <c r="N135" s="49"/>
      <c r="O135" s="63"/>
      <c r="P135" s="63"/>
      <c r="Q135" s="63"/>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255</v>
      </c>
      <c r="M136" s="62"/>
      <c r="N136" s="49"/>
      <c r="O136" s="63"/>
      <c r="P136" s="63"/>
      <c r="Q136" s="63"/>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255</v>
      </c>
      <c r="M137" s="62"/>
      <c r="N137" s="49"/>
      <c r="O137" s="63"/>
      <c r="P137" s="63"/>
      <c r="Q137" s="63"/>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255</v>
      </c>
      <c r="M138" s="62"/>
      <c r="N138" s="49"/>
      <c r="O138" s="63"/>
      <c r="P138" s="63"/>
      <c r="Q138" s="63"/>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255</v>
      </c>
      <c r="M139" s="62"/>
      <c r="N139" s="49"/>
      <c r="O139" s="63"/>
      <c r="P139" s="63"/>
      <c r="Q139" s="63"/>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255</v>
      </c>
      <c r="M140" s="62"/>
      <c r="N140" s="49"/>
      <c r="O140" s="63"/>
      <c r="P140" s="63"/>
      <c r="Q140" s="63"/>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255</v>
      </c>
      <c r="M141" s="62"/>
      <c r="N141" s="49"/>
      <c r="O141" s="63"/>
      <c r="P141" s="63"/>
      <c r="Q141" s="63"/>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255</v>
      </c>
      <c r="M142" s="62"/>
      <c r="N142" s="49"/>
      <c r="O142" s="63"/>
      <c r="P142" s="63"/>
      <c r="Q142" s="63"/>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255</v>
      </c>
      <c r="M143" s="62"/>
      <c r="N143" s="49"/>
      <c r="O143" s="63"/>
      <c r="P143" s="63"/>
      <c r="Q143" s="63"/>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255</v>
      </c>
      <c r="M144" s="62"/>
      <c r="N144" s="49"/>
      <c r="O144" s="63"/>
      <c r="P144" s="63"/>
      <c r="Q144" s="63"/>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255</v>
      </c>
      <c r="M145" s="62"/>
      <c r="N145" s="49"/>
      <c r="O145" s="63"/>
      <c r="P145" s="63"/>
      <c r="Q145" s="63"/>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255</v>
      </c>
      <c r="M146" s="62"/>
      <c r="N146" s="49"/>
      <c r="O146" s="63"/>
      <c r="P146" s="63"/>
      <c r="Q146" s="63"/>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255</v>
      </c>
      <c r="M147" s="62"/>
      <c r="N147" s="49"/>
      <c r="O147" s="63"/>
      <c r="P147" s="63"/>
      <c r="Q147" s="63"/>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255</v>
      </c>
      <c r="M148" s="62"/>
      <c r="N148" s="49"/>
      <c r="O148" s="63"/>
      <c r="P148" s="63"/>
      <c r="Q148" s="63"/>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255</v>
      </c>
      <c r="M149" s="62"/>
      <c r="N149" s="49"/>
      <c r="O149" s="63"/>
      <c r="P149" s="63"/>
      <c r="Q149" s="63"/>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255</v>
      </c>
      <c r="M150" s="62"/>
      <c r="N150" s="49"/>
      <c r="O150" s="63"/>
      <c r="P150" s="63"/>
      <c r="Q150" s="63"/>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255</v>
      </c>
      <c r="M151" s="62"/>
      <c r="N151" s="49"/>
      <c r="O151" s="63"/>
      <c r="P151" s="63"/>
      <c r="Q151" s="63"/>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255</v>
      </c>
      <c r="M152" s="62"/>
      <c r="N152" s="49"/>
      <c r="O152" s="63"/>
      <c r="P152" s="63"/>
      <c r="Q152" s="63"/>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255</v>
      </c>
      <c r="M153" s="62"/>
      <c r="N153" s="49"/>
      <c r="O153" s="63"/>
      <c r="P153" s="63"/>
      <c r="Q153" s="63"/>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255</v>
      </c>
      <c r="M154" s="62"/>
      <c r="N154" s="49"/>
      <c r="O154" s="63"/>
      <c r="P154" s="63"/>
      <c r="Q154" s="63"/>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255</v>
      </c>
      <c r="M155" s="62"/>
      <c r="N155" s="49"/>
      <c r="O155" s="63"/>
      <c r="P155" s="63"/>
      <c r="Q155" s="63"/>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255</v>
      </c>
      <c r="M156" s="62"/>
      <c r="N156" s="49"/>
      <c r="O156" s="63"/>
      <c r="P156" s="63"/>
      <c r="Q156" s="63"/>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255</v>
      </c>
      <c r="M157" s="62"/>
      <c r="N157" s="49"/>
      <c r="O157" s="63"/>
      <c r="P157" s="63"/>
      <c r="Q157" s="63"/>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255</v>
      </c>
      <c r="M158" s="62"/>
      <c r="N158" s="49"/>
      <c r="O158" s="63"/>
      <c r="P158" s="63"/>
      <c r="Q158" s="63"/>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255</v>
      </c>
      <c r="M159" s="62"/>
      <c r="N159" s="49"/>
      <c r="O159" s="63"/>
      <c r="P159" s="63"/>
      <c r="Q159" s="63"/>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255</v>
      </c>
      <c r="M160" s="62"/>
      <c r="N160" s="49"/>
      <c r="O160" s="63"/>
      <c r="P160" s="63"/>
      <c r="Q160" s="63"/>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255</v>
      </c>
      <c r="M161" s="62"/>
      <c r="N161" s="49"/>
      <c r="O161" s="63"/>
      <c r="P161" s="63"/>
      <c r="Q161" s="63"/>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255</v>
      </c>
      <c r="M162" s="62"/>
      <c r="N162" s="49"/>
      <c r="O162" s="63"/>
      <c r="P162" s="63"/>
      <c r="Q162" s="63"/>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255</v>
      </c>
      <c r="M163" s="62"/>
      <c r="N163" s="49"/>
      <c r="O163" s="63"/>
      <c r="P163" s="63"/>
      <c r="Q163" s="63"/>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255</v>
      </c>
      <c r="M164" s="62"/>
      <c r="N164" s="49"/>
      <c r="O164" s="63"/>
      <c r="P164" s="63"/>
      <c r="Q164" s="63"/>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62"/>
      <c r="N165" s="49"/>
      <c r="O165" s="63"/>
      <c r="P165" s="63"/>
      <c r="Q165" s="63"/>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62"/>
      <c r="N166" s="49"/>
      <c r="O166" s="63"/>
      <c r="P166" s="63"/>
      <c r="Q166" s="63"/>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62"/>
      <c r="N167" s="49"/>
      <c r="O167" s="63"/>
      <c r="P167" s="63"/>
      <c r="Q167" s="63"/>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62"/>
      <c r="N168" s="49"/>
      <c r="O168" s="63"/>
      <c r="P168" s="63"/>
      <c r="Q168" s="63"/>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62"/>
      <c r="N169" s="49"/>
      <c r="O169" s="63"/>
      <c r="P169" s="63"/>
      <c r="Q169" s="63"/>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62"/>
      <c r="N170" s="49"/>
      <c r="O170" s="63"/>
      <c r="P170" s="63"/>
      <c r="Q170" s="63"/>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62"/>
      <c r="N171" s="49"/>
      <c r="O171" s="63"/>
      <c r="P171" s="63"/>
      <c r="Q171" s="63"/>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62"/>
      <c r="N172" s="49"/>
      <c r="O172" s="63"/>
      <c r="P172" s="63"/>
      <c r="Q172" s="63"/>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62"/>
      <c r="N173" s="49"/>
      <c r="O173" s="63"/>
      <c r="P173" s="63"/>
      <c r="Q173" s="63"/>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62"/>
      <c r="N174" s="49"/>
      <c r="O174" s="63"/>
      <c r="P174" s="63"/>
      <c r="Q174" s="63"/>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62"/>
      <c r="N175" s="49"/>
      <c r="O175" s="63"/>
      <c r="P175" s="63"/>
      <c r="Q175" s="63"/>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62"/>
      <c r="N176" s="49"/>
      <c r="O176" s="63"/>
      <c r="P176" s="63"/>
      <c r="Q176" s="63"/>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62"/>
      <c r="N177" s="49"/>
      <c r="O177" s="63"/>
      <c r="P177" s="63"/>
      <c r="Q177" s="63"/>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62"/>
      <c r="N178" s="49"/>
      <c r="O178" s="63"/>
      <c r="P178" s="63"/>
      <c r="Q178" s="63"/>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62"/>
      <c r="N179" s="49"/>
      <c r="O179" s="63"/>
      <c r="P179" s="63"/>
      <c r="Q179" s="63"/>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62"/>
      <c r="N180" s="49"/>
      <c r="O180" s="63"/>
      <c r="P180" s="63"/>
      <c r="Q180" s="63"/>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62"/>
      <c r="N181" s="49"/>
      <c r="O181" s="63"/>
      <c r="P181" s="63"/>
      <c r="Q181" s="63"/>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62"/>
      <c r="N182" s="49"/>
      <c r="O182" s="63"/>
      <c r="P182" s="63"/>
      <c r="Q182" s="63"/>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62"/>
      <c r="N183" s="49"/>
      <c r="O183" s="63"/>
      <c r="P183" s="63"/>
      <c r="Q183" s="63"/>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62"/>
      <c r="N184" s="49"/>
      <c r="O184" s="63"/>
      <c r="P184" s="63"/>
      <c r="Q184" s="63"/>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62"/>
      <c r="N185" s="49"/>
      <c r="O185" s="63"/>
      <c r="P185" s="63"/>
      <c r="Q185" s="63"/>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62"/>
      <c r="N186" s="49"/>
      <c r="O186" s="63"/>
      <c r="P186" s="63"/>
      <c r="Q186" s="63"/>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62"/>
      <c r="N187" s="49"/>
      <c r="O187" s="63"/>
      <c r="P187" s="63"/>
      <c r="Q187" s="63"/>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62"/>
      <c r="N188" s="49"/>
      <c r="O188" s="63"/>
      <c r="P188" s="63"/>
      <c r="Q188" s="63"/>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62"/>
      <c r="N189" s="49"/>
      <c r="O189" s="63"/>
      <c r="P189" s="63"/>
      <c r="Q189" s="63"/>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62"/>
      <c r="N190" s="49"/>
      <c r="O190" s="63"/>
      <c r="P190" s="63"/>
      <c r="Q190" s="63"/>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62"/>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62"/>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62"/>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62"/>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62"/>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62"/>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62"/>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255</v>
      </c>
      <c r="M198" s="62"/>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255</v>
      </c>
      <c r="M199" s="62"/>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255</v>
      </c>
      <c r="M200" s="62"/>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255</v>
      </c>
      <c r="M201" s="62"/>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255</v>
      </c>
      <c r="M202" s="62"/>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255</v>
      </c>
      <c r="M203" s="62"/>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255</v>
      </c>
      <c r="M204" s="62"/>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255</v>
      </c>
      <c r="M205" s="62"/>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255</v>
      </c>
      <c r="M206" s="62"/>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255</v>
      </c>
      <c r="M207" s="62"/>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255</v>
      </c>
      <c r="M208" s="62"/>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255</v>
      </c>
      <c r="M209" s="62"/>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255</v>
      </c>
      <c r="M210" s="62"/>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255</v>
      </c>
      <c r="M211" s="62"/>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255</v>
      </c>
      <c r="M212" s="62"/>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255</v>
      </c>
      <c r="M213" s="62"/>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255</v>
      </c>
      <c r="M214" s="62"/>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255</v>
      </c>
      <c r="M215" s="62"/>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255</v>
      </c>
      <c r="M216" s="62"/>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255</v>
      </c>
      <c r="M217" s="62"/>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255</v>
      </c>
      <c r="M218" s="62"/>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255</v>
      </c>
      <c r="M219" s="62"/>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255</v>
      </c>
      <c r="M220" s="62"/>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255</v>
      </c>
      <c r="M221" s="62"/>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255</v>
      </c>
      <c r="M222" s="62"/>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255</v>
      </c>
      <c r="M223" s="62"/>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255</v>
      </c>
      <c r="M224" s="62"/>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255</v>
      </c>
      <c r="M225" s="62"/>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255</v>
      </c>
      <c r="M226" s="62"/>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255</v>
      </c>
      <c r="M227" s="62"/>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255</v>
      </c>
      <c r="M228" s="62"/>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255</v>
      </c>
      <c r="M229" s="62"/>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255</v>
      </c>
      <c r="M230" s="62"/>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255</v>
      </c>
      <c r="M231" s="62"/>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255</v>
      </c>
      <c r="M232" s="62"/>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255</v>
      </c>
      <c r="M233" s="62"/>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255</v>
      </c>
      <c r="M234" s="62"/>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255</v>
      </c>
      <c r="M235" s="62"/>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255</v>
      </c>
      <c r="M236" s="62"/>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255</v>
      </c>
      <c r="M237" s="62"/>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255</v>
      </c>
      <c r="M238" s="62"/>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255</v>
      </c>
      <c r="M239" s="62"/>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255</v>
      </c>
      <c r="M240" s="62"/>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255</v>
      </c>
      <c r="M241" s="62"/>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255</v>
      </c>
      <c r="M242" s="62"/>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255</v>
      </c>
      <c r="M243" s="62"/>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255</v>
      </c>
      <c r="M244" s="62"/>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255</v>
      </c>
      <c r="M245" s="62"/>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255</v>
      </c>
      <c r="M246" s="62"/>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255</v>
      </c>
      <c r="M247" s="62"/>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255</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255</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255</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255</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255</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255</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255</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255</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255</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255</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255</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255</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255</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255</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255</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255</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255</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255</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255</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255</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255</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255</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255</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255</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255</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255</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255</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255</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255</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255</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255</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255</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255</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255</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255</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255</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255</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255</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255</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255</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255</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255</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255</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255</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255</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255</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255</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255</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255</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255</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255</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255</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255</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255</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255</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255</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255</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255</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255</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255</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255</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255</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255</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255</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255</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255</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255</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255</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255</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255</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255</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255</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255</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255</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255</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255</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255</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255</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255</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255</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255</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255</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255</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255</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255</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255</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255</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255</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255</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255</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255</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255</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255</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255</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255</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255</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255</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255</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255</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255</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255</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255</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255</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255</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255</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255</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255</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255</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255</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255</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255</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255</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255</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255</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255</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255</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255</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255</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255</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255</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255</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255</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255</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255</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255</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255</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255</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255</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255</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255</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255</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255</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255</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255</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255</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255</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255</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255</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255</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255</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255</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255</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255</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255</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255</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255</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255</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255</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255</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255</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255</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255</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255</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255</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255</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255</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255</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255</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255</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255</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255</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255</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255</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255</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255</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255</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255</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255</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255</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255</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255</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255</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255</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255</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255</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255</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255</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255</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255</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255</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255</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255</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255</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255</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255</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255</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255</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255</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255</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255</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255</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255</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255</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255</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255</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255</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255</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255</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255</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255</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255</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255</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255</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255</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255</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255</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255</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255</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255</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255</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255</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255</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255</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255</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255</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255</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255</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255</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255</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255</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255</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255</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255</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255</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255</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255</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255</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255</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255</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255</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255</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255</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255</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255</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255</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255</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255</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255</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255</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255</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255</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255</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255</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255</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255</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255</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255</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255</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255</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255</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255</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255</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255</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255</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255</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255</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255</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255</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255</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255</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255</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255</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255</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255</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255</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255</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255</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255</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255</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255</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255</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255</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255</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255</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255</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255</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255</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255</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255</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255</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255</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255</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255</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255</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255</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255</v>
      </c>
      <c r="M533" s="49"/>
      <c r="N533" s="49"/>
      <c r="O533" s="49"/>
      <c r="P533" s="49"/>
      <c r="Q533" s="49"/>
      <c r="R533" s="49"/>
      <c r="S533" s="49"/>
      <c r="T533" s="49"/>
    </row>
    <row r="534">
      <c r="A534" s="49"/>
      <c r="B534" s="49"/>
      <c r="C534" s="51"/>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255</v>
      </c>
      <c r="M534" s="49"/>
      <c r="N534" s="49"/>
      <c r="O534" s="49"/>
      <c r="P534" s="49"/>
      <c r="Q534" s="49"/>
      <c r="R534" s="49"/>
      <c r="S534" s="49"/>
      <c r="T534" s="49"/>
    </row>
    <row r="535">
      <c r="A535" s="49"/>
      <c r="B535" s="49"/>
      <c r="C535" s="51"/>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255</v>
      </c>
      <c r="M535" s="49"/>
      <c r="N535" s="49"/>
      <c r="O535" s="49"/>
      <c r="P535" s="49"/>
      <c r="Q535" s="49"/>
      <c r="R535" s="49"/>
      <c r="S535" s="49"/>
      <c r="T535" s="49"/>
    </row>
    <row r="536">
      <c r="A536" s="49"/>
      <c r="B536" s="49"/>
      <c r="C536" s="51"/>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255</v>
      </c>
      <c r="M536" s="49"/>
      <c r="N536" s="49"/>
      <c r="O536" s="49"/>
      <c r="P536" s="49"/>
      <c r="Q536" s="49"/>
      <c r="R536" s="49"/>
      <c r="S536" s="49"/>
      <c r="T536" s="49"/>
    </row>
    <row r="537">
      <c r="A537" s="49"/>
      <c r="B537" s="49"/>
      <c r="C537" s="51"/>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255</v>
      </c>
      <c r="M537" s="49"/>
      <c r="N537" s="49"/>
      <c r="O537" s="49"/>
      <c r="P537" s="49"/>
      <c r="Q537" s="49"/>
      <c r="R537" s="49"/>
      <c r="S537" s="49"/>
      <c r="T537" s="49"/>
    </row>
    <row r="538">
      <c r="A538" s="49"/>
      <c r="B538" s="49"/>
      <c r="C538" s="51"/>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255</v>
      </c>
      <c r="M538" s="49"/>
      <c r="N538" s="49"/>
      <c r="O538" s="49"/>
      <c r="P538" s="49"/>
      <c r="Q538" s="49"/>
      <c r="R538" s="49"/>
      <c r="S538" s="49"/>
      <c r="T538" s="49"/>
    </row>
    <row r="539">
      <c r="A539" s="49"/>
      <c r="B539" s="49"/>
      <c r="C539" s="51"/>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255</v>
      </c>
      <c r="M539" s="49"/>
      <c r="N539" s="49"/>
      <c r="O539" s="49"/>
      <c r="P539" s="49"/>
      <c r="Q539" s="49"/>
      <c r="R539" s="49"/>
      <c r="S539" s="49"/>
      <c r="T539" s="49"/>
    </row>
    <row r="540">
      <c r="A540" s="49"/>
      <c r="B540" s="49"/>
      <c r="C540" s="51"/>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255</v>
      </c>
      <c r="M540" s="49"/>
      <c r="N540" s="49"/>
      <c r="O540" s="49"/>
      <c r="P540" s="49"/>
      <c r="Q540" s="49"/>
      <c r="R540" s="49"/>
      <c r="S540" s="49"/>
      <c r="T540" s="49"/>
    </row>
    <row r="541">
      <c r="A541" s="49"/>
      <c r="B541" s="49"/>
      <c r="C541" s="51"/>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255</v>
      </c>
      <c r="M541" s="49"/>
      <c r="N541" s="49"/>
      <c r="O541" s="49"/>
      <c r="P541" s="49"/>
      <c r="Q541" s="49"/>
      <c r="R541" s="49"/>
      <c r="S541" s="49"/>
      <c r="T541" s="49"/>
    </row>
    <row r="542">
      <c r="A542" s="49"/>
      <c r="B542" s="49"/>
      <c r="C542" s="51"/>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255</v>
      </c>
      <c r="M542" s="49"/>
      <c r="N542" s="49"/>
      <c r="O542" s="49"/>
      <c r="P542" s="49"/>
      <c r="Q542" s="49"/>
      <c r="R542" s="49"/>
      <c r="S542" s="49"/>
      <c r="T542" s="49"/>
    </row>
    <row r="543">
      <c r="A543" s="49"/>
      <c r="B543" s="49"/>
      <c r="C543" s="51"/>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255</v>
      </c>
      <c r="M543" s="49"/>
      <c r="N543" s="49"/>
      <c r="O543" s="49"/>
      <c r="P543" s="49"/>
      <c r="Q543" s="49"/>
      <c r="R543" s="49"/>
      <c r="S543" s="49"/>
      <c r="T543" s="49"/>
    </row>
    <row r="544">
      <c r="A544" s="49"/>
      <c r="B544" s="49"/>
      <c r="C544" s="51"/>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255</v>
      </c>
      <c r="M544" s="49"/>
      <c r="N544" s="49"/>
      <c r="O544" s="49"/>
      <c r="P544" s="49"/>
      <c r="Q544" s="49"/>
      <c r="R544" s="49"/>
      <c r="S544" s="49"/>
      <c r="T544" s="49"/>
    </row>
    <row r="545">
      <c r="A545" s="49"/>
      <c r="B545" s="49"/>
      <c r="C545" s="51"/>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255</v>
      </c>
      <c r="M545" s="49"/>
      <c r="N545" s="49"/>
      <c r="O545" s="49"/>
      <c r="P545" s="49"/>
      <c r="Q545" s="49"/>
      <c r="R545" s="49"/>
      <c r="S545" s="49"/>
      <c r="T545" s="49"/>
    </row>
    <row r="546">
      <c r="A546" s="49"/>
      <c r="B546" s="49"/>
      <c r="C546" s="51"/>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255</v>
      </c>
      <c r="M546" s="49"/>
      <c r="N546" s="49"/>
      <c r="O546" s="49"/>
      <c r="P546" s="49"/>
      <c r="Q546" s="49"/>
      <c r="R546" s="49"/>
      <c r="S546" s="49"/>
      <c r="T546" s="49"/>
    </row>
    <row r="547">
      <c r="A547" s="49"/>
      <c r="B547" s="49"/>
      <c r="C547" s="51"/>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255</v>
      </c>
      <c r="M547" s="49"/>
      <c r="N547" s="49"/>
      <c r="O547" s="49"/>
      <c r="P547" s="49"/>
      <c r="Q547" s="49"/>
      <c r="R547" s="49"/>
      <c r="S547" s="49"/>
      <c r="T547" s="49"/>
    </row>
    <row r="548">
      <c r="A548" s="49"/>
      <c r="B548" s="49"/>
      <c r="C548" s="51"/>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255</v>
      </c>
      <c r="M548" s="49"/>
      <c r="N548" s="49"/>
      <c r="O548" s="49"/>
      <c r="P548" s="49"/>
      <c r="Q548" s="49"/>
      <c r="R548" s="49"/>
      <c r="S548" s="49"/>
      <c r="T548" s="49"/>
    </row>
    <row r="549">
      <c r="A549" s="49"/>
      <c r="B549" s="49"/>
      <c r="C549" s="51"/>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255</v>
      </c>
      <c r="M549" s="49"/>
      <c r="N549" s="49"/>
      <c r="O549" s="49"/>
      <c r="P549" s="49"/>
      <c r="Q549" s="49"/>
      <c r="R549" s="49"/>
      <c r="S549" s="49"/>
      <c r="T549" s="49"/>
    </row>
    <row r="550">
      <c r="A550" s="49"/>
      <c r="B550" s="49"/>
      <c r="C550" s="51"/>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255</v>
      </c>
      <c r="M550" s="49"/>
      <c r="N550" s="49"/>
      <c r="O550" s="49"/>
      <c r="P550" s="49"/>
      <c r="Q550" s="49"/>
      <c r="R550" s="49"/>
      <c r="S550" s="49"/>
      <c r="T550" s="49"/>
    </row>
    <row r="551">
      <c r="A551" s="49"/>
      <c r="B551" s="49"/>
      <c r="C551" s="51"/>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255</v>
      </c>
      <c r="M551" s="49"/>
      <c r="N551" s="49"/>
      <c r="O551" s="49"/>
      <c r="P551" s="49"/>
      <c r="Q551" s="49"/>
      <c r="R551" s="49"/>
      <c r="S551" s="49"/>
      <c r="T551" s="49"/>
    </row>
    <row r="552">
      <c r="A552" s="49"/>
      <c r="B552" s="49"/>
      <c r="C552" s="51"/>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255</v>
      </c>
      <c r="M552" s="49"/>
      <c r="N552" s="49"/>
      <c r="O552" s="49"/>
      <c r="P552" s="49"/>
      <c r="Q552" s="49"/>
      <c r="R552" s="49"/>
      <c r="S552" s="49"/>
      <c r="T552" s="49"/>
    </row>
    <row r="553">
      <c r="A553" s="49"/>
      <c r="B553" s="49"/>
      <c r="C553" s="51"/>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255</v>
      </c>
      <c r="M553" s="49"/>
      <c r="N553" s="49"/>
      <c r="O553" s="49"/>
      <c r="P553" s="49"/>
      <c r="Q553" s="49"/>
      <c r="R553" s="49"/>
      <c r="S553" s="49"/>
      <c r="T553" s="49"/>
    </row>
    <row r="554">
      <c r="A554" s="49"/>
      <c r="B554" s="49"/>
      <c r="C554" s="51"/>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255</v>
      </c>
      <c r="M554" s="49"/>
      <c r="N554" s="49"/>
      <c r="O554" s="49"/>
      <c r="P554" s="49"/>
      <c r="Q554" s="49"/>
      <c r="R554" s="49"/>
      <c r="S554" s="49"/>
      <c r="T554" s="49"/>
    </row>
    <row r="555">
      <c r="A555" s="49"/>
      <c r="B555" s="49"/>
      <c r="C555" s="51"/>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255</v>
      </c>
      <c r="M555" s="49"/>
      <c r="N555" s="49"/>
      <c r="O555" s="49"/>
      <c r="P555" s="49"/>
      <c r="Q555" s="49"/>
      <c r="R555" s="49"/>
      <c r="S555" s="49"/>
      <c r="T555" s="49"/>
    </row>
    <row r="556">
      <c r="A556" s="49"/>
      <c r="B556" s="49"/>
      <c r="C556" s="51"/>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255</v>
      </c>
      <c r="M556" s="49"/>
      <c r="N556" s="49"/>
      <c r="O556" s="49"/>
      <c r="P556" s="49"/>
      <c r="Q556" s="49"/>
      <c r="R556" s="49"/>
      <c r="S556" s="49"/>
      <c r="T556" s="49"/>
    </row>
    <row r="557">
      <c r="A557" s="49"/>
      <c r="B557" s="49"/>
      <c r="C557" s="51"/>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255</v>
      </c>
      <c r="M557" s="49"/>
      <c r="N557" s="49"/>
      <c r="O557" s="49"/>
      <c r="P557" s="49"/>
      <c r="Q557" s="49"/>
      <c r="R557" s="49"/>
      <c r="S557" s="49"/>
      <c r="T557" s="49"/>
    </row>
    <row r="558">
      <c r="A558" s="49"/>
      <c r="B558" s="49"/>
      <c r="C558" s="51"/>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255</v>
      </c>
      <c r="M558" s="49"/>
      <c r="N558" s="49"/>
      <c r="O558" s="49"/>
      <c r="P558" s="49"/>
      <c r="Q558" s="49"/>
      <c r="R558" s="49"/>
      <c r="S558" s="49"/>
      <c r="T558" s="49"/>
    </row>
    <row r="559">
      <c r="A559" s="49"/>
      <c r="B559" s="49"/>
      <c r="C559" s="51"/>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255</v>
      </c>
      <c r="M559" s="49"/>
      <c r="N559" s="49"/>
      <c r="O559" s="49"/>
      <c r="P559" s="49"/>
      <c r="Q559" s="49"/>
      <c r="R559" s="49"/>
      <c r="S559" s="49"/>
      <c r="T559" s="49"/>
    </row>
    <row r="560">
      <c r="A560" s="49"/>
      <c r="B560" s="49"/>
      <c r="C560" s="51"/>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255</v>
      </c>
      <c r="M560" s="49"/>
      <c r="N560" s="49"/>
      <c r="O560" s="49"/>
      <c r="P560" s="49"/>
      <c r="Q560" s="49"/>
      <c r="R560" s="49"/>
      <c r="S560" s="49"/>
      <c r="T560" s="49"/>
    </row>
    <row r="561">
      <c r="A561" s="49"/>
      <c r="B561" s="49"/>
      <c r="C561" s="51"/>
      <c r="D561" s="49"/>
      <c r="E561" s="49"/>
      <c r="F561" s="49"/>
      <c r="G561" s="49" t="str">
        <f>IFERROR(__xludf.DUMMYFUNCTION("""COMPUTED_VALUE"""),"#VALUE!")</f>
        <v>#VALUE!</v>
      </c>
      <c r="H561" s="49" t="str">
        <f>IFERROR(__xludf.DUMMYFUNCTION("""COMPUTED_VALUE"""),"")</f>
        <v/>
      </c>
      <c r="I561" s="49" t="str">
        <f>IFERROR(__xludf.DUMMYFUNCTION("""COMPUTED_VALUE"""),"#VALUE!")</f>
        <v>#VALUE!</v>
      </c>
      <c r="J561" s="49" t="str">
        <f>IFERROR(__xludf.DUMMYFUNCTION("""COMPUTED_VALUE"""),"")</f>
        <v/>
      </c>
      <c r="K561" s="49"/>
      <c r="L561" s="49" t="s">
        <v>255</v>
      </c>
      <c r="M561" s="49"/>
      <c r="N561" s="49"/>
      <c r="O561" s="49"/>
      <c r="P561" s="49"/>
      <c r="Q561" s="49"/>
      <c r="R561" s="49"/>
      <c r="S561" s="49"/>
      <c r="T561" s="49"/>
    </row>
    <row r="562">
      <c r="A562" s="49"/>
      <c r="B562" s="49"/>
      <c r="C562" s="51"/>
      <c r="D562" s="49"/>
      <c r="E562" s="49"/>
      <c r="F562" s="49"/>
      <c r="G562" s="49" t="str">
        <f>IFERROR(__xludf.DUMMYFUNCTION("""COMPUTED_VALUE"""),"#VALUE!")</f>
        <v>#VALUE!</v>
      </c>
      <c r="H562" s="49" t="str">
        <f>IFERROR(__xludf.DUMMYFUNCTION("""COMPUTED_VALUE"""),"")</f>
        <v/>
      </c>
      <c r="I562" s="49" t="str">
        <f>IFERROR(__xludf.DUMMYFUNCTION("""COMPUTED_VALUE"""),"#VALUE!")</f>
        <v>#VALUE!</v>
      </c>
      <c r="J562" s="49" t="str">
        <f>IFERROR(__xludf.DUMMYFUNCTION("""COMPUTED_VALUE"""),"")</f>
        <v/>
      </c>
      <c r="K562" s="49"/>
      <c r="L562" s="49" t="s">
        <v>255</v>
      </c>
      <c r="M562" s="49"/>
      <c r="N562" s="49"/>
      <c r="O562" s="49"/>
      <c r="P562" s="49"/>
      <c r="Q562" s="49"/>
      <c r="R562" s="49"/>
      <c r="S562" s="49"/>
      <c r="T562" s="49"/>
    </row>
    <row r="563">
      <c r="A563" s="49"/>
      <c r="B563" s="49"/>
      <c r="C563" s="51"/>
      <c r="D563" s="49"/>
      <c r="E563" s="49"/>
      <c r="F563" s="49"/>
      <c r="G563" s="49" t="str">
        <f>IFERROR(__xludf.DUMMYFUNCTION("""COMPUTED_VALUE"""),"#VALUE!")</f>
        <v>#VALUE!</v>
      </c>
      <c r="H563" s="49" t="str">
        <f>IFERROR(__xludf.DUMMYFUNCTION("""COMPUTED_VALUE"""),"")</f>
        <v/>
      </c>
      <c r="I563" s="49" t="str">
        <f>IFERROR(__xludf.DUMMYFUNCTION("""COMPUTED_VALUE"""),"#VALUE!")</f>
        <v>#VALUE!</v>
      </c>
      <c r="J563" s="49" t="str">
        <f>IFERROR(__xludf.DUMMYFUNCTION("""COMPUTED_VALUE"""),"")</f>
        <v/>
      </c>
      <c r="K563" s="49"/>
      <c r="L563" s="49" t="s">
        <v>255</v>
      </c>
      <c r="M563" s="49"/>
      <c r="N563" s="49"/>
      <c r="O563" s="49"/>
      <c r="P563" s="49"/>
      <c r="Q563" s="49"/>
      <c r="R563" s="49"/>
      <c r="S563" s="49"/>
      <c r="T563" s="49"/>
    </row>
    <row r="564">
      <c r="A564" s="49"/>
      <c r="B564" s="49"/>
      <c r="C564" s="51"/>
      <c r="D564" s="49"/>
      <c r="E564" s="49"/>
      <c r="F564" s="49"/>
      <c r="G564" s="49" t="str">
        <f>IFERROR(__xludf.DUMMYFUNCTION("""COMPUTED_VALUE"""),"#VALUE!")</f>
        <v>#VALUE!</v>
      </c>
      <c r="H564" s="49" t="str">
        <f>IFERROR(__xludf.DUMMYFUNCTION("""COMPUTED_VALUE"""),"")</f>
        <v/>
      </c>
      <c r="I564" s="49" t="str">
        <f>IFERROR(__xludf.DUMMYFUNCTION("""COMPUTED_VALUE"""),"#VALUE!")</f>
        <v>#VALUE!</v>
      </c>
      <c r="J564" s="49" t="str">
        <f>IFERROR(__xludf.DUMMYFUNCTION("""COMPUTED_VALUE"""),"")</f>
        <v/>
      </c>
      <c r="K564" s="49"/>
      <c r="L564" s="49" t="s">
        <v>255</v>
      </c>
      <c r="M564" s="49"/>
      <c r="N564" s="49"/>
      <c r="O564" s="49"/>
      <c r="P564" s="49"/>
      <c r="Q564" s="49"/>
      <c r="R564" s="49"/>
      <c r="S564" s="49"/>
      <c r="T564" s="49"/>
    </row>
    <row r="565">
      <c r="A565" s="49"/>
      <c r="B565" s="49"/>
      <c r="C565" s="51"/>
      <c r="D565" s="49"/>
      <c r="E565" s="49"/>
      <c r="F565" s="49"/>
      <c r="G565" s="49" t="str">
        <f>IFERROR(__xludf.DUMMYFUNCTION("""COMPUTED_VALUE"""),"#VALUE!")</f>
        <v>#VALUE!</v>
      </c>
      <c r="H565" s="49" t="str">
        <f>IFERROR(__xludf.DUMMYFUNCTION("""COMPUTED_VALUE"""),"")</f>
        <v/>
      </c>
      <c r="I565" s="49" t="str">
        <f>IFERROR(__xludf.DUMMYFUNCTION("""COMPUTED_VALUE"""),"#VALUE!")</f>
        <v>#VALUE!</v>
      </c>
      <c r="J565" s="49" t="str">
        <f>IFERROR(__xludf.DUMMYFUNCTION("""COMPUTED_VALUE"""),"")</f>
        <v/>
      </c>
      <c r="K565" s="49"/>
      <c r="L565" s="49" t="s">
        <v>255</v>
      </c>
      <c r="M565" s="49"/>
      <c r="N565" s="49"/>
      <c r="O565" s="49"/>
      <c r="P565" s="49"/>
      <c r="Q565" s="49"/>
      <c r="R565" s="49"/>
      <c r="S565" s="49"/>
      <c r="T565" s="49"/>
    </row>
    <row r="566">
      <c r="A566" s="49"/>
      <c r="B566" s="49"/>
      <c r="C566" s="51"/>
      <c r="D566" s="49"/>
      <c r="E566" s="49"/>
      <c r="F566" s="49"/>
      <c r="G566" s="49" t="str">
        <f>IFERROR(__xludf.DUMMYFUNCTION("""COMPUTED_VALUE"""),"#VALUE!")</f>
        <v>#VALUE!</v>
      </c>
      <c r="H566" s="49" t="str">
        <f>IFERROR(__xludf.DUMMYFUNCTION("""COMPUTED_VALUE"""),"")</f>
        <v/>
      </c>
      <c r="I566" s="49" t="str">
        <f>IFERROR(__xludf.DUMMYFUNCTION("""COMPUTED_VALUE"""),"#VALUE!")</f>
        <v>#VALUE!</v>
      </c>
      <c r="J566" s="49" t="str">
        <f>IFERROR(__xludf.DUMMYFUNCTION("""COMPUTED_VALUE"""),"")</f>
        <v/>
      </c>
      <c r="K566" s="49"/>
      <c r="L566" s="49" t="s">
        <v>255</v>
      </c>
      <c r="M566" s="49"/>
      <c r="N566" s="49"/>
      <c r="O566" s="49"/>
      <c r="P566" s="49"/>
      <c r="Q566" s="49"/>
      <c r="R566" s="49"/>
      <c r="S566" s="49"/>
      <c r="T566" s="49"/>
    </row>
    <row r="567">
      <c r="A567" s="49"/>
      <c r="B567" s="49"/>
      <c r="C567" s="51"/>
      <c r="D567" s="49"/>
      <c r="E567" s="49"/>
      <c r="F567" s="49"/>
      <c r="G567" s="49" t="str">
        <f>IFERROR(__xludf.DUMMYFUNCTION("""COMPUTED_VALUE"""),"#VALUE!")</f>
        <v>#VALUE!</v>
      </c>
      <c r="H567" s="49" t="str">
        <f>IFERROR(__xludf.DUMMYFUNCTION("""COMPUTED_VALUE"""),"")</f>
        <v/>
      </c>
      <c r="I567" s="49" t="str">
        <f>IFERROR(__xludf.DUMMYFUNCTION("""COMPUTED_VALUE"""),"#VALUE!")</f>
        <v>#VALUE!</v>
      </c>
      <c r="J567" s="49" t="str">
        <f>IFERROR(__xludf.DUMMYFUNCTION("""COMPUTED_VALUE"""),"")</f>
        <v/>
      </c>
      <c r="K567" s="49"/>
      <c r="L567" s="49" t="s">
        <v>255</v>
      </c>
      <c r="M567" s="49"/>
      <c r="N567" s="49"/>
      <c r="O567" s="49"/>
      <c r="P567" s="49"/>
      <c r="Q567" s="49"/>
      <c r="R567" s="49"/>
      <c r="S567" s="49"/>
      <c r="T567" s="49"/>
    </row>
    <row r="568">
      <c r="A568" s="49"/>
      <c r="B568" s="49"/>
      <c r="C568" s="51"/>
      <c r="D568" s="49"/>
      <c r="E568" s="49"/>
      <c r="F568" s="49"/>
      <c r="G568" s="49" t="str">
        <f>IFERROR(__xludf.DUMMYFUNCTION("""COMPUTED_VALUE"""),"#VALUE!")</f>
        <v>#VALUE!</v>
      </c>
      <c r="H568" s="49" t="str">
        <f>IFERROR(__xludf.DUMMYFUNCTION("""COMPUTED_VALUE"""),"")</f>
        <v/>
      </c>
      <c r="I568" s="49" t="str">
        <f>IFERROR(__xludf.DUMMYFUNCTION("""COMPUTED_VALUE"""),"#VALUE!")</f>
        <v>#VALUE!</v>
      </c>
      <c r="J568" s="49" t="str">
        <f>IFERROR(__xludf.DUMMYFUNCTION("""COMPUTED_VALUE"""),"")</f>
        <v/>
      </c>
      <c r="K568" s="49"/>
      <c r="L568" s="49" t="s">
        <v>255</v>
      </c>
      <c r="M568" s="49"/>
      <c r="N568" s="49"/>
      <c r="O568" s="49"/>
      <c r="P568" s="49"/>
      <c r="Q568" s="49"/>
      <c r="R568" s="49"/>
      <c r="S568" s="49"/>
      <c r="T568" s="49"/>
    </row>
    <row r="569">
      <c r="A569" s="49"/>
      <c r="B569" s="49"/>
      <c r="C569" s="51"/>
      <c r="D569" s="49"/>
      <c r="E569" s="49"/>
      <c r="F569" s="49"/>
      <c r="G569" s="49" t="str">
        <f>IFERROR(__xludf.DUMMYFUNCTION("""COMPUTED_VALUE"""),"#VALUE!")</f>
        <v>#VALUE!</v>
      </c>
      <c r="H569" s="49" t="str">
        <f>IFERROR(__xludf.DUMMYFUNCTION("""COMPUTED_VALUE"""),"")</f>
        <v/>
      </c>
      <c r="I569" s="49" t="str">
        <f>IFERROR(__xludf.DUMMYFUNCTION("""COMPUTED_VALUE"""),"#VALUE!")</f>
        <v>#VALUE!</v>
      </c>
      <c r="J569" s="49" t="str">
        <f>IFERROR(__xludf.DUMMYFUNCTION("""COMPUTED_VALUE"""),"")</f>
        <v/>
      </c>
      <c r="K569" s="49"/>
      <c r="L569" s="49" t="s">
        <v>255</v>
      </c>
      <c r="M569" s="49"/>
      <c r="N569" s="49"/>
      <c r="O569" s="49"/>
      <c r="P569" s="49"/>
      <c r="Q569" s="49"/>
      <c r="R569" s="49"/>
      <c r="S569" s="49"/>
      <c r="T569" s="49"/>
    </row>
    <row r="570">
      <c r="A570" s="49"/>
      <c r="B570" s="49"/>
      <c r="C570" s="51"/>
      <c r="D570" s="49"/>
      <c r="E570" s="49"/>
      <c r="F570" s="49"/>
      <c r="G570" s="49" t="str">
        <f>IFERROR(__xludf.DUMMYFUNCTION("""COMPUTED_VALUE"""),"#VALUE!")</f>
        <v>#VALUE!</v>
      </c>
      <c r="H570" s="49" t="str">
        <f>IFERROR(__xludf.DUMMYFUNCTION("""COMPUTED_VALUE"""),"")</f>
        <v/>
      </c>
      <c r="I570" s="49" t="str">
        <f>IFERROR(__xludf.DUMMYFUNCTION("""COMPUTED_VALUE"""),"#VALUE!")</f>
        <v>#VALUE!</v>
      </c>
      <c r="J570" s="49" t="str">
        <f>IFERROR(__xludf.DUMMYFUNCTION("""COMPUTED_VALUE"""),"")</f>
        <v/>
      </c>
      <c r="K570" s="49"/>
      <c r="L570" s="49" t="s">
        <v>255</v>
      </c>
      <c r="M570" s="49"/>
      <c r="N570" s="49"/>
      <c r="O570" s="49"/>
      <c r="P570" s="49"/>
      <c r="Q570" s="49"/>
      <c r="R570" s="49"/>
      <c r="S570" s="49"/>
      <c r="T570" s="49"/>
    </row>
    <row r="571">
      <c r="A571" s="49"/>
      <c r="B571" s="49"/>
      <c r="C571" s="51"/>
      <c r="D571" s="49"/>
      <c r="E571" s="49"/>
      <c r="F571" s="49"/>
      <c r="G571" s="49" t="str">
        <f>IFERROR(__xludf.DUMMYFUNCTION("""COMPUTED_VALUE"""),"#VALUE!")</f>
        <v>#VALUE!</v>
      </c>
      <c r="H571" s="49" t="str">
        <f>IFERROR(__xludf.DUMMYFUNCTION("""COMPUTED_VALUE"""),"")</f>
        <v/>
      </c>
      <c r="I571" s="49" t="str">
        <f>IFERROR(__xludf.DUMMYFUNCTION("""COMPUTED_VALUE"""),"#VALUE!")</f>
        <v>#VALUE!</v>
      </c>
      <c r="J571" s="49" t="str">
        <f>IFERROR(__xludf.DUMMYFUNCTION("""COMPUTED_VALUE"""),"")</f>
        <v/>
      </c>
      <c r="K571" s="49"/>
      <c r="L571" s="49" t="s">
        <v>255</v>
      </c>
      <c r="M571" s="49"/>
      <c r="N571" s="49"/>
      <c r="O571" s="49"/>
      <c r="P571" s="49"/>
      <c r="Q571" s="49"/>
      <c r="R571" s="49"/>
      <c r="S571" s="49"/>
      <c r="T571" s="49"/>
    </row>
    <row r="572">
      <c r="A572" s="49"/>
      <c r="B572" s="49"/>
      <c r="C572" s="51"/>
      <c r="D572" s="49"/>
      <c r="E572" s="49"/>
      <c r="F572" s="49"/>
      <c r="G572" s="49" t="str">
        <f>IFERROR(__xludf.DUMMYFUNCTION("""COMPUTED_VALUE"""),"#VALUE!")</f>
        <v>#VALUE!</v>
      </c>
      <c r="H572" s="49" t="str">
        <f>IFERROR(__xludf.DUMMYFUNCTION("""COMPUTED_VALUE"""),"")</f>
        <v/>
      </c>
      <c r="I572" s="49" t="str">
        <f>IFERROR(__xludf.DUMMYFUNCTION("""COMPUTED_VALUE"""),"#VALUE!")</f>
        <v>#VALUE!</v>
      </c>
      <c r="J572" s="49" t="str">
        <f>IFERROR(__xludf.DUMMYFUNCTION("""COMPUTED_VALUE"""),"")</f>
        <v/>
      </c>
      <c r="K572" s="49"/>
      <c r="L572" s="49" t="s">
        <v>255</v>
      </c>
      <c r="M572" s="49"/>
      <c r="N572" s="49"/>
      <c r="O572" s="49"/>
      <c r="P572" s="49"/>
      <c r="Q572" s="49"/>
      <c r="R572" s="49"/>
      <c r="S572" s="49"/>
      <c r="T572" s="49"/>
    </row>
    <row r="573">
      <c r="A573" s="49"/>
      <c r="B573" s="49"/>
      <c r="C573" s="51"/>
      <c r="D573" s="49"/>
      <c r="E573" s="49"/>
      <c r="F573" s="49"/>
      <c r="G573" s="49" t="str">
        <f>IFERROR(__xludf.DUMMYFUNCTION("""COMPUTED_VALUE"""),"#VALUE!")</f>
        <v>#VALUE!</v>
      </c>
      <c r="H573" s="49" t="str">
        <f>IFERROR(__xludf.DUMMYFUNCTION("""COMPUTED_VALUE"""),"")</f>
        <v/>
      </c>
      <c r="I573" s="49" t="str">
        <f>IFERROR(__xludf.DUMMYFUNCTION("""COMPUTED_VALUE"""),"#VALUE!")</f>
        <v>#VALUE!</v>
      </c>
      <c r="J573" s="49" t="str">
        <f>IFERROR(__xludf.DUMMYFUNCTION("""COMPUTED_VALUE"""),"")</f>
        <v/>
      </c>
      <c r="K573" s="49"/>
      <c r="L573" s="49" t="s">
        <v>255</v>
      </c>
      <c r="M573" s="49"/>
      <c r="N573" s="49"/>
      <c r="O573" s="49"/>
      <c r="P573" s="49"/>
      <c r="Q573" s="49"/>
      <c r="R573" s="49"/>
      <c r="S573" s="49"/>
      <c r="T573" s="49"/>
    </row>
    <row r="574">
      <c r="A574" s="49"/>
      <c r="B574" s="49"/>
      <c r="C574" s="51"/>
      <c r="D574" s="49"/>
      <c r="E574" s="49"/>
      <c r="F574" s="49"/>
      <c r="G574" s="49" t="str">
        <f>IFERROR(__xludf.DUMMYFUNCTION("""COMPUTED_VALUE"""),"#VALUE!")</f>
        <v>#VALUE!</v>
      </c>
      <c r="H574" s="49" t="str">
        <f>IFERROR(__xludf.DUMMYFUNCTION("""COMPUTED_VALUE"""),"")</f>
        <v/>
      </c>
      <c r="I574" s="49" t="str">
        <f>IFERROR(__xludf.DUMMYFUNCTION("""COMPUTED_VALUE"""),"#VALUE!")</f>
        <v>#VALUE!</v>
      </c>
      <c r="J574" s="49" t="str">
        <f>IFERROR(__xludf.DUMMYFUNCTION("""COMPUTED_VALUE"""),"")</f>
        <v/>
      </c>
      <c r="K574" s="49"/>
      <c r="L574" s="49" t="s">
        <v>255</v>
      </c>
      <c r="M574" s="49"/>
      <c r="N574" s="49"/>
      <c r="O574" s="49"/>
      <c r="P574" s="49"/>
      <c r="Q574" s="49"/>
      <c r="R574" s="49"/>
      <c r="S574" s="49"/>
      <c r="T574" s="49"/>
    </row>
    <row r="575">
      <c r="A575" s="49"/>
      <c r="B575" s="49"/>
      <c r="C575" s="51"/>
      <c r="D575" s="49"/>
      <c r="E575" s="49"/>
      <c r="F575" s="49"/>
      <c r="G575" s="49" t="str">
        <f>IFERROR(__xludf.DUMMYFUNCTION("""COMPUTED_VALUE"""),"#VALUE!")</f>
        <v>#VALUE!</v>
      </c>
      <c r="H575" s="49" t="str">
        <f>IFERROR(__xludf.DUMMYFUNCTION("""COMPUTED_VALUE"""),"")</f>
        <v/>
      </c>
      <c r="I575" s="49" t="str">
        <f>IFERROR(__xludf.DUMMYFUNCTION("""COMPUTED_VALUE"""),"#VALUE!")</f>
        <v>#VALUE!</v>
      </c>
      <c r="J575" s="49" t="str">
        <f>IFERROR(__xludf.DUMMYFUNCTION("""COMPUTED_VALUE"""),"")</f>
        <v/>
      </c>
      <c r="K575" s="49"/>
      <c r="L575" s="49" t="s">
        <v>255</v>
      </c>
      <c r="M575" s="49"/>
      <c r="N575" s="49"/>
      <c r="O575" s="49"/>
      <c r="P575" s="49"/>
      <c r="Q575" s="49"/>
      <c r="R575" s="49"/>
      <c r="S575" s="49"/>
      <c r="T575" s="49"/>
    </row>
    <row r="576">
      <c r="A576" s="49"/>
      <c r="B576" s="49"/>
      <c r="C576" s="51"/>
      <c r="D576" s="49"/>
      <c r="E576" s="49"/>
      <c r="F576" s="49"/>
      <c r="G576" s="49" t="str">
        <f>IFERROR(__xludf.DUMMYFUNCTION("""COMPUTED_VALUE"""),"#VALUE!")</f>
        <v>#VALUE!</v>
      </c>
      <c r="H576" s="49" t="str">
        <f>IFERROR(__xludf.DUMMYFUNCTION("""COMPUTED_VALUE"""),"")</f>
        <v/>
      </c>
      <c r="I576" s="49" t="str">
        <f>IFERROR(__xludf.DUMMYFUNCTION("""COMPUTED_VALUE"""),"#VALUE!")</f>
        <v>#VALUE!</v>
      </c>
      <c r="J576" s="49" t="str">
        <f>IFERROR(__xludf.DUMMYFUNCTION("""COMPUTED_VALUE"""),"")</f>
        <v/>
      </c>
      <c r="K576" s="49"/>
      <c r="L576" s="49" t="s">
        <v>255</v>
      </c>
      <c r="M576" s="49"/>
      <c r="N576" s="49"/>
      <c r="O576" s="49"/>
      <c r="P576" s="49"/>
      <c r="Q576" s="49"/>
      <c r="R576" s="49"/>
      <c r="S576" s="49"/>
      <c r="T576" s="49"/>
    </row>
    <row r="577">
      <c r="A577" s="49"/>
      <c r="B577" s="49"/>
      <c r="C577" s="51"/>
      <c r="D577" s="49"/>
      <c r="E577" s="49"/>
      <c r="F577" s="49"/>
      <c r="G577" s="49" t="str">
        <f>IFERROR(__xludf.DUMMYFUNCTION("""COMPUTED_VALUE"""),"#VALUE!")</f>
        <v>#VALUE!</v>
      </c>
      <c r="H577" s="49" t="str">
        <f>IFERROR(__xludf.DUMMYFUNCTION("""COMPUTED_VALUE"""),"")</f>
        <v/>
      </c>
      <c r="I577" s="49" t="str">
        <f>IFERROR(__xludf.DUMMYFUNCTION("""COMPUTED_VALUE"""),"#VALUE!")</f>
        <v>#VALUE!</v>
      </c>
      <c r="J577" s="49" t="str">
        <f>IFERROR(__xludf.DUMMYFUNCTION("""COMPUTED_VALUE"""),"")</f>
        <v/>
      </c>
      <c r="K577" s="49"/>
      <c r="L577" s="49" t="s">
        <v>255</v>
      </c>
      <c r="M577" s="49"/>
      <c r="N577" s="49"/>
      <c r="O577" s="49"/>
      <c r="P577" s="49"/>
      <c r="Q577" s="49"/>
      <c r="R577" s="49"/>
      <c r="S577" s="49"/>
      <c r="T577" s="49"/>
    </row>
    <row r="578">
      <c r="A578" s="49"/>
      <c r="B578" s="49"/>
      <c r="C578" s="51"/>
      <c r="D578" s="49"/>
      <c r="E578" s="49"/>
      <c r="F578" s="49"/>
      <c r="G578" s="49" t="str">
        <f>IFERROR(__xludf.DUMMYFUNCTION("""COMPUTED_VALUE"""),"#VALUE!")</f>
        <v>#VALUE!</v>
      </c>
      <c r="H578" s="49" t="str">
        <f>IFERROR(__xludf.DUMMYFUNCTION("""COMPUTED_VALUE"""),"")</f>
        <v/>
      </c>
      <c r="I578" s="49" t="str">
        <f>IFERROR(__xludf.DUMMYFUNCTION("""COMPUTED_VALUE"""),"#VALUE!")</f>
        <v>#VALUE!</v>
      </c>
      <c r="J578" s="49" t="str">
        <f>IFERROR(__xludf.DUMMYFUNCTION("""COMPUTED_VALUE"""),"")</f>
        <v/>
      </c>
      <c r="K578" s="49"/>
      <c r="L578" s="49" t="s">
        <v>255</v>
      </c>
      <c r="M578" s="49"/>
      <c r="N578" s="49"/>
      <c r="O578" s="49"/>
      <c r="P578" s="49"/>
      <c r="Q578" s="49"/>
      <c r="R578" s="49"/>
      <c r="S578" s="49"/>
      <c r="T578" s="49"/>
    </row>
    <row r="579">
      <c r="A579" s="49"/>
      <c r="B579" s="49"/>
      <c r="C579" s="51"/>
      <c r="D579" s="49"/>
      <c r="E579" s="49"/>
      <c r="F579" s="49"/>
      <c r="G579" s="49" t="str">
        <f>IFERROR(__xludf.DUMMYFUNCTION("""COMPUTED_VALUE"""),"#VALUE!")</f>
        <v>#VALUE!</v>
      </c>
      <c r="H579" s="49" t="str">
        <f>IFERROR(__xludf.DUMMYFUNCTION("""COMPUTED_VALUE"""),"")</f>
        <v/>
      </c>
      <c r="I579" s="49" t="str">
        <f>IFERROR(__xludf.DUMMYFUNCTION("""COMPUTED_VALUE"""),"#VALUE!")</f>
        <v>#VALUE!</v>
      </c>
      <c r="J579" s="49" t="str">
        <f>IFERROR(__xludf.DUMMYFUNCTION("""COMPUTED_VALUE"""),"")</f>
        <v/>
      </c>
      <c r="K579" s="49"/>
      <c r="L579" s="49" t="s">
        <v>255</v>
      </c>
      <c r="M579" s="49"/>
      <c r="N579" s="49"/>
      <c r="O579" s="49"/>
      <c r="P579" s="49"/>
      <c r="Q579" s="49"/>
      <c r="R579" s="49"/>
      <c r="S579" s="49"/>
      <c r="T579" s="49"/>
    </row>
    <row r="580">
      <c r="A580" s="49"/>
      <c r="B580" s="49"/>
      <c r="C580" s="51"/>
      <c r="D580" s="49"/>
      <c r="E580" s="49"/>
      <c r="F580" s="49"/>
      <c r="G580" s="49" t="str">
        <f>IFERROR(__xludf.DUMMYFUNCTION("""COMPUTED_VALUE"""),"#VALUE!")</f>
        <v>#VALUE!</v>
      </c>
      <c r="H580" s="49" t="str">
        <f>IFERROR(__xludf.DUMMYFUNCTION("""COMPUTED_VALUE"""),"")</f>
        <v/>
      </c>
      <c r="I580" s="49" t="str">
        <f>IFERROR(__xludf.DUMMYFUNCTION("""COMPUTED_VALUE"""),"#VALUE!")</f>
        <v>#VALUE!</v>
      </c>
      <c r="J580" s="49" t="str">
        <f>IFERROR(__xludf.DUMMYFUNCTION("""COMPUTED_VALUE"""),"")</f>
        <v/>
      </c>
      <c r="K580" s="49"/>
      <c r="L580" s="49" t="s">
        <v>255</v>
      </c>
      <c r="M580" s="49"/>
      <c r="N580" s="49"/>
      <c r="O580" s="49"/>
      <c r="P580" s="49"/>
      <c r="Q580" s="49"/>
      <c r="R580" s="49"/>
      <c r="S580" s="49"/>
      <c r="T580" s="49"/>
    </row>
    <row r="581">
      <c r="A581" s="49"/>
      <c r="B581" s="49"/>
      <c r="C581" s="51"/>
      <c r="D581" s="49"/>
      <c r="E581" s="49"/>
      <c r="F581" s="49"/>
      <c r="G581" s="49" t="str">
        <f>IFERROR(__xludf.DUMMYFUNCTION("""COMPUTED_VALUE"""),"#VALUE!")</f>
        <v>#VALUE!</v>
      </c>
      <c r="H581" s="49" t="str">
        <f>IFERROR(__xludf.DUMMYFUNCTION("""COMPUTED_VALUE"""),"")</f>
        <v/>
      </c>
      <c r="I581" s="49" t="str">
        <f>IFERROR(__xludf.DUMMYFUNCTION("""COMPUTED_VALUE"""),"#VALUE!")</f>
        <v>#VALUE!</v>
      </c>
      <c r="J581" s="49" t="str">
        <f>IFERROR(__xludf.DUMMYFUNCTION("""COMPUTED_VALUE"""),"")</f>
        <v/>
      </c>
      <c r="K581" s="49"/>
      <c r="L581" s="49" t="s">
        <v>255</v>
      </c>
      <c r="M581" s="49"/>
      <c r="N581" s="49"/>
      <c r="O581" s="49"/>
      <c r="P581" s="49"/>
      <c r="Q581" s="49"/>
      <c r="R581" s="49"/>
      <c r="S581" s="49"/>
      <c r="T581" s="49"/>
    </row>
    <row r="582">
      <c r="A582" s="49"/>
      <c r="B582" s="49"/>
      <c r="C582" s="51"/>
      <c r="D582" s="49"/>
      <c r="E582" s="49"/>
      <c r="F582" s="49"/>
      <c r="G582" s="49" t="str">
        <f>IFERROR(__xludf.DUMMYFUNCTION("""COMPUTED_VALUE"""),"#VALUE!")</f>
        <v>#VALUE!</v>
      </c>
      <c r="H582" s="49" t="str">
        <f>IFERROR(__xludf.DUMMYFUNCTION("""COMPUTED_VALUE"""),"")</f>
        <v/>
      </c>
      <c r="I582" s="49" t="str">
        <f>IFERROR(__xludf.DUMMYFUNCTION("""COMPUTED_VALUE"""),"#VALUE!")</f>
        <v>#VALUE!</v>
      </c>
      <c r="J582" s="49" t="str">
        <f>IFERROR(__xludf.DUMMYFUNCTION("""COMPUTED_VALUE"""),"")</f>
        <v/>
      </c>
      <c r="K582" s="49"/>
      <c r="L582" s="49" t="s">
        <v>255</v>
      </c>
      <c r="M582" s="49"/>
      <c r="N582" s="49"/>
      <c r="O582" s="49"/>
      <c r="P582" s="49"/>
      <c r="Q582" s="49"/>
      <c r="R582" s="49"/>
      <c r="S582" s="49"/>
      <c r="T582" s="49"/>
    </row>
    <row r="583">
      <c r="A583" s="49"/>
      <c r="B583" s="49"/>
      <c r="C583" s="51"/>
      <c r="D583" s="49"/>
      <c r="E583" s="49"/>
      <c r="F583" s="49"/>
      <c r="G583" s="49" t="str">
        <f>IFERROR(__xludf.DUMMYFUNCTION("""COMPUTED_VALUE"""),"#VALUE!")</f>
        <v>#VALUE!</v>
      </c>
      <c r="H583" s="49" t="str">
        <f>IFERROR(__xludf.DUMMYFUNCTION("""COMPUTED_VALUE"""),"")</f>
        <v/>
      </c>
      <c r="I583" s="49" t="str">
        <f>IFERROR(__xludf.DUMMYFUNCTION("""COMPUTED_VALUE"""),"#VALUE!")</f>
        <v>#VALUE!</v>
      </c>
      <c r="J583" s="49" t="str">
        <f>IFERROR(__xludf.DUMMYFUNCTION("""COMPUTED_VALUE"""),"")</f>
        <v/>
      </c>
      <c r="K583" s="49"/>
      <c r="L583" s="49" t="s">
        <v>255</v>
      </c>
      <c r="M583" s="49"/>
      <c r="N583" s="49"/>
      <c r="O583" s="49"/>
      <c r="P583" s="49"/>
      <c r="Q583" s="49"/>
      <c r="R583" s="49"/>
      <c r="S583" s="49"/>
      <c r="T583" s="49"/>
    </row>
    <row r="584">
      <c r="A584" s="49"/>
      <c r="B584" s="49"/>
      <c r="C584" s="51"/>
      <c r="D584" s="49"/>
      <c r="E584" s="49"/>
      <c r="F584" s="49"/>
      <c r="G584" s="49" t="str">
        <f>IFERROR(__xludf.DUMMYFUNCTION("""COMPUTED_VALUE"""),"#VALUE!")</f>
        <v>#VALUE!</v>
      </c>
      <c r="H584" s="49" t="str">
        <f>IFERROR(__xludf.DUMMYFUNCTION("""COMPUTED_VALUE"""),"")</f>
        <v/>
      </c>
      <c r="I584" s="49" t="str">
        <f>IFERROR(__xludf.DUMMYFUNCTION("""COMPUTED_VALUE"""),"#VALUE!")</f>
        <v>#VALUE!</v>
      </c>
      <c r="J584" s="49" t="str">
        <f>IFERROR(__xludf.DUMMYFUNCTION("""COMPUTED_VALUE"""),"")</f>
        <v/>
      </c>
      <c r="K584" s="49"/>
      <c r="L584" s="49" t="s">
        <v>255</v>
      </c>
      <c r="M584" s="49"/>
      <c r="N584" s="49"/>
      <c r="O584" s="49"/>
      <c r="P584" s="49"/>
      <c r="Q584" s="49"/>
      <c r="R584" s="49"/>
      <c r="S584" s="49"/>
      <c r="T584" s="49"/>
    </row>
    <row r="585">
      <c r="A585" s="49"/>
      <c r="B585" s="49"/>
      <c r="C585" s="51"/>
      <c r="D585" s="49"/>
      <c r="E585" s="49"/>
      <c r="F585" s="49"/>
      <c r="G585" s="49" t="str">
        <f>IFERROR(__xludf.DUMMYFUNCTION("""COMPUTED_VALUE"""),"#VALUE!")</f>
        <v>#VALUE!</v>
      </c>
      <c r="H585" s="49" t="str">
        <f>IFERROR(__xludf.DUMMYFUNCTION("""COMPUTED_VALUE"""),"")</f>
        <v/>
      </c>
      <c r="I585" s="49" t="str">
        <f>IFERROR(__xludf.DUMMYFUNCTION("""COMPUTED_VALUE"""),"#VALUE!")</f>
        <v>#VALUE!</v>
      </c>
      <c r="J585" s="49" t="str">
        <f>IFERROR(__xludf.DUMMYFUNCTION("""COMPUTED_VALUE"""),"")</f>
        <v/>
      </c>
      <c r="K585" s="49"/>
      <c r="L585" s="49" t="s">
        <v>255</v>
      </c>
      <c r="M585" s="49"/>
      <c r="N585" s="49"/>
      <c r="O585" s="49"/>
      <c r="P585" s="49"/>
      <c r="Q585" s="49"/>
      <c r="R585" s="49"/>
      <c r="S585" s="49"/>
      <c r="T585" s="49"/>
    </row>
    <row r="586">
      <c r="A586" s="49"/>
      <c r="B586" s="49"/>
      <c r="C586" s="51"/>
      <c r="D586" s="49"/>
      <c r="E586" s="49"/>
      <c r="F586" s="49"/>
      <c r="G586" s="49" t="str">
        <f>IFERROR(__xludf.DUMMYFUNCTION("""COMPUTED_VALUE"""),"#VALUE!")</f>
        <v>#VALUE!</v>
      </c>
      <c r="H586" s="49" t="str">
        <f>IFERROR(__xludf.DUMMYFUNCTION("""COMPUTED_VALUE"""),"")</f>
        <v/>
      </c>
      <c r="I586" s="49" t="str">
        <f>IFERROR(__xludf.DUMMYFUNCTION("""COMPUTED_VALUE"""),"#VALUE!")</f>
        <v>#VALUE!</v>
      </c>
      <c r="J586" s="49" t="str">
        <f>IFERROR(__xludf.DUMMYFUNCTION("""COMPUTED_VALUE"""),"")</f>
        <v/>
      </c>
      <c r="K586" s="49"/>
      <c r="L586" s="49" t="s">
        <v>255</v>
      </c>
      <c r="M586" s="49"/>
      <c r="N586" s="49"/>
      <c r="O586" s="49"/>
      <c r="P586" s="49"/>
      <c r="Q586" s="49"/>
      <c r="R586" s="49"/>
      <c r="S586" s="49"/>
      <c r="T586" s="49"/>
    </row>
    <row r="587">
      <c r="A587" s="49"/>
      <c r="B587" s="49"/>
      <c r="C587" s="51"/>
      <c r="D587" s="49"/>
      <c r="E587" s="49"/>
      <c r="F587" s="49"/>
      <c r="G587" s="49" t="str">
        <f>IFERROR(__xludf.DUMMYFUNCTION("""COMPUTED_VALUE"""),"#VALUE!")</f>
        <v>#VALUE!</v>
      </c>
      <c r="H587" s="49" t="str">
        <f>IFERROR(__xludf.DUMMYFUNCTION("""COMPUTED_VALUE"""),"")</f>
        <v/>
      </c>
      <c r="I587" s="49" t="str">
        <f>IFERROR(__xludf.DUMMYFUNCTION("""COMPUTED_VALUE"""),"#VALUE!")</f>
        <v>#VALUE!</v>
      </c>
      <c r="J587" s="49" t="str">
        <f>IFERROR(__xludf.DUMMYFUNCTION("""COMPUTED_VALUE"""),"")</f>
        <v/>
      </c>
      <c r="K587" s="49"/>
      <c r="L587" s="49" t="s">
        <v>255</v>
      </c>
      <c r="M587" s="49"/>
      <c r="N587" s="49"/>
      <c r="O587" s="49"/>
      <c r="P587" s="49"/>
      <c r="Q587" s="49"/>
      <c r="R587" s="49"/>
      <c r="S587" s="49"/>
      <c r="T587" s="49"/>
    </row>
    <row r="588">
      <c r="A588" s="49"/>
      <c r="B588" s="49"/>
      <c r="C588" s="51"/>
      <c r="D588" s="49"/>
      <c r="E588" s="49"/>
      <c r="F588" s="49"/>
      <c r="G588" s="49" t="str">
        <f>IFERROR(__xludf.DUMMYFUNCTION("""COMPUTED_VALUE"""),"#VALUE!")</f>
        <v>#VALUE!</v>
      </c>
      <c r="H588" s="49" t="str">
        <f>IFERROR(__xludf.DUMMYFUNCTION("""COMPUTED_VALUE"""),"")</f>
        <v/>
      </c>
      <c r="I588" s="49" t="str">
        <f>IFERROR(__xludf.DUMMYFUNCTION("""COMPUTED_VALUE"""),"#VALUE!")</f>
        <v>#VALUE!</v>
      </c>
      <c r="J588" s="49" t="str">
        <f>IFERROR(__xludf.DUMMYFUNCTION("""COMPUTED_VALUE"""),"")</f>
        <v/>
      </c>
      <c r="K588" s="49"/>
      <c r="L588" s="49" t="s">
        <v>255</v>
      </c>
      <c r="M588" s="49"/>
      <c r="N588" s="49"/>
      <c r="O588" s="49"/>
      <c r="P588" s="49"/>
      <c r="Q588" s="49"/>
      <c r="R588" s="49"/>
      <c r="S588" s="49"/>
      <c r="T588" s="49"/>
    </row>
    <row r="589">
      <c r="A589" s="49"/>
      <c r="B589" s="49"/>
      <c r="C589" s="51"/>
      <c r="D589" s="49"/>
      <c r="E589" s="49"/>
      <c r="F589" s="49"/>
      <c r="G589" s="49" t="str">
        <f>IFERROR(__xludf.DUMMYFUNCTION("""COMPUTED_VALUE"""),"#VALUE!")</f>
        <v>#VALUE!</v>
      </c>
      <c r="H589" s="49" t="str">
        <f>IFERROR(__xludf.DUMMYFUNCTION("""COMPUTED_VALUE"""),"")</f>
        <v/>
      </c>
      <c r="I589" s="49" t="str">
        <f>IFERROR(__xludf.DUMMYFUNCTION("""COMPUTED_VALUE"""),"#VALUE!")</f>
        <v>#VALUE!</v>
      </c>
      <c r="J589" s="49" t="str">
        <f>IFERROR(__xludf.DUMMYFUNCTION("""COMPUTED_VALUE"""),"")</f>
        <v/>
      </c>
      <c r="K589" s="49"/>
      <c r="L589" s="49" t="s">
        <v>255</v>
      </c>
      <c r="M589" s="49"/>
      <c r="N589" s="49"/>
      <c r="O589" s="49"/>
      <c r="P589" s="49"/>
      <c r="Q589" s="49"/>
      <c r="R589" s="49"/>
      <c r="S589" s="49"/>
      <c r="T589" s="49"/>
    </row>
    <row r="590">
      <c r="A590" s="49"/>
      <c r="B590" s="49"/>
      <c r="C590" s="51"/>
      <c r="D590" s="49"/>
      <c r="E590" s="49"/>
      <c r="F590" s="49"/>
      <c r="G590" s="49" t="str">
        <f>IFERROR(__xludf.DUMMYFUNCTION("""COMPUTED_VALUE"""),"#VALUE!")</f>
        <v>#VALUE!</v>
      </c>
      <c r="H590" s="49" t="str">
        <f>IFERROR(__xludf.DUMMYFUNCTION("""COMPUTED_VALUE"""),"")</f>
        <v/>
      </c>
      <c r="I590" s="49" t="str">
        <f>IFERROR(__xludf.DUMMYFUNCTION("""COMPUTED_VALUE"""),"#VALUE!")</f>
        <v>#VALUE!</v>
      </c>
      <c r="J590" s="49" t="str">
        <f>IFERROR(__xludf.DUMMYFUNCTION("""COMPUTED_VALUE"""),"")</f>
        <v/>
      </c>
      <c r="K590" s="49"/>
      <c r="L590" s="49" t="s">
        <v>255</v>
      </c>
      <c r="M590" s="49"/>
      <c r="N590" s="49"/>
      <c r="O590" s="49"/>
      <c r="P590" s="49"/>
      <c r="Q590" s="49"/>
      <c r="R590" s="49"/>
      <c r="S590" s="49"/>
      <c r="T590" s="49"/>
    </row>
    <row r="591">
      <c r="A591" s="49"/>
      <c r="B591" s="49"/>
      <c r="C591" s="51"/>
      <c r="D591" s="49"/>
      <c r="E591" s="49"/>
      <c r="F591" s="49"/>
      <c r="G591" s="49" t="str">
        <f>IFERROR(__xludf.DUMMYFUNCTION("""COMPUTED_VALUE"""),"#VALUE!")</f>
        <v>#VALUE!</v>
      </c>
      <c r="H591" s="49" t="str">
        <f>IFERROR(__xludf.DUMMYFUNCTION("""COMPUTED_VALUE"""),"")</f>
        <v/>
      </c>
      <c r="I591" s="49" t="str">
        <f>IFERROR(__xludf.DUMMYFUNCTION("""COMPUTED_VALUE"""),"#VALUE!")</f>
        <v>#VALUE!</v>
      </c>
      <c r="J591" s="49" t="str">
        <f>IFERROR(__xludf.DUMMYFUNCTION("""COMPUTED_VALUE"""),"")</f>
        <v/>
      </c>
      <c r="K591" s="49"/>
      <c r="L591" s="49" t="s">
        <v>255</v>
      </c>
      <c r="M591" s="49"/>
      <c r="N591" s="49"/>
      <c r="O591" s="49"/>
      <c r="P591" s="49"/>
      <c r="Q591" s="49"/>
      <c r="R591" s="49"/>
      <c r="S591" s="49"/>
      <c r="T591" s="49"/>
    </row>
    <row r="592">
      <c r="A592" s="49"/>
      <c r="B592" s="49"/>
      <c r="C592" s="51"/>
      <c r="D592" s="49"/>
      <c r="E592" s="49"/>
      <c r="F592" s="49"/>
      <c r="G592" s="49" t="str">
        <f>IFERROR(__xludf.DUMMYFUNCTION("""COMPUTED_VALUE"""),"#VALUE!")</f>
        <v>#VALUE!</v>
      </c>
      <c r="H592" s="49" t="str">
        <f>IFERROR(__xludf.DUMMYFUNCTION("""COMPUTED_VALUE"""),"")</f>
        <v/>
      </c>
      <c r="I592" s="49" t="str">
        <f>IFERROR(__xludf.DUMMYFUNCTION("""COMPUTED_VALUE"""),"#VALUE!")</f>
        <v>#VALUE!</v>
      </c>
      <c r="J592" s="49" t="str">
        <f>IFERROR(__xludf.DUMMYFUNCTION("""COMPUTED_VALUE"""),"")</f>
        <v/>
      </c>
      <c r="K592" s="49"/>
      <c r="L592" s="49" t="s">
        <v>255</v>
      </c>
      <c r="M592" s="49"/>
      <c r="N592" s="49"/>
      <c r="O592" s="49"/>
      <c r="P592" s="49"/>
      <c r="Q592" s="49"/>
      <c r="R592" s="49"/>
      <c r="S592" s="49"/>
      <c r="T592" s="49"/>
    </row>
    <row r="593">
      <c r="A593" s="49"/>
      <c r="B593" s="49"/>
      <c r="C593" s="51"/>
      <c r="D593" s="49"/>
      <c r="E593" s="49"/>
      <c r="F593" s="49"/>
      <c r="G593" s="49" t="str">
        <f>IFERROR(__xludf.DUMMYFUNCTION("""COMPUTED_VALUE"""),"#VALUE!")</f>
        <v>#VALUE!</v>
      </c>
      <c r="H593" s="49" t="str">
        <f>IFERROR(__xludf.DUMMYFUNCTION("""COMPUTED_VALUE"""),"")</f>
        <v/>
      </c>
      <c r="I593" s="49" t="str">
        <f>IFERROR(__xludf.DUMMYFUNCTION("""COMPUTED_VALUE"""),"#VALUE!")</f>
        <v>#VALUE!</v>
      </c>
      <c r="J593" s="49" t="str">
        <f>IFERROR(__xludf.DUMMYFUNCTION("""COMPUTED_VALUE"""),"")</f>
        <v/>
      </c>
      <c r="K593" s="49"/>
      <c r="L593" s="49" t="s">
        <v>255</v>
      </c>
      <c r="M593" s="49"/>
      <c r="N593" s="49"/>
      <c r="O593" s="49"/>
      <c r="P593" s="49"/>
      <c r="Q593" s="49"/>
      <c r="R593" s="49"/>
      <c r="S593" s="49"/>
      <c r="T593" s="49"/>
    </row>
    <row r="594">
      <c r="A594" s="49"/>
      <c r="B594" s="49"/>
      <c r="C594" s="51"/>
      <c r="D594" s="49"/>
      <c r="E594" s="49"/>
      <c r="F594" s="49"/>
      <c r="G594" s="49" t="str">
        <f>IFERROR(__xludf.DUMMYFUNCTION("""COMPUTED_VALUE"""),"#VALUE!")</f>
        <v>#VALUE!</v>
      </c>
      <c r="H594" s="49" t="str">
        <f>IFERROR(__xludf.DUMMYFUNCTION("""COMPUTED_VALUE"""),"")</f>
        <v/>
      </c>
      <c r="I594" s="49" t="str">
        <f>IFERROR(__xludf.DUMMYFUNCTION("""COMPUTED_VALUE"""),"#VALUE!")</f>
        <v>#VALUE!</v>
      </c>
      <c r="J594" s="49" t="str">
        <f>IFERROR(__xludf.DUMMYFUNCTION("""COMPUTED_VALUE"""),"")</f>
        <v/>
      </c>
      <c r="K594" s="49"/>
      <c r="L594" s="49" t="s">
        <v>255</v>
      </c>
      <c r="M594" s="49"/>
      <c r="N594" s="49"/>
      <c r="O594" s="49"/>
      <c r="P594" s="49"/>
      <c r="Q594" s="49"/>
      <c r="R594" s="49"/>
      <c r="S594" s="49"/>
      <c r="T594" s="49"/>
    </row>
    <row r="595">
      <c r="A595" s="49"/>
      <c r="B595" s="49"/>
      <c r="C595" s="51"/>
      <c r="D595" s="49"/>
      <c r="E595" s="49"/>
      <c r="F595" s="49"/>
      <c r="G595" s="49" t="str">
        <f>IFERROR(__xludf.DUMMYFUNCTION("""COMPUTED_VALUE"""),"#VALUE!")</f>
        <v>#VALUE!</v>
      </c>
      <c r="H595" s="49" t="str">
        <f>IFERROR(__xludf.DUMMYFUNCTION("""COMPUTED_VALUE"""),"")</f>
        <v/>
      </c>
      <c r="I595" s="49" t="str">
        <f>IFERROR(__xludf.DUMMYFUNCTION("""COMPUTED_VALUE"""),"#VALUE!")</f>
        <v>#VALUE!</v>
      </c>
      <c r="J595" s="49" t="str">
        <f>IFERROR(__xludf.DUMMYFUNCTION("""COMPUTED_VALUE"""),"")</f>
        <v/>
      </c>
      <c r="K595" s="49"/>
      <c r="L595" s="49" t="s">
        <v>255</v>
      </c>
      <c r="M595" s="49"/>
      <c r="N595" s="49"/>
      <c r="O595" s="49"/>
      <c r="P595" s="49"/>
      <c r="Q595" s="49"/>
      <c r="R595" s="49"/>
      <c r="S595" s="49"/>
      <c r="T595" s="49"/>
    </row>
    <row r="596">
      <c r="A596" s="49"/>
      <c r="B596" s="49"/>
      <c r="C596" s="51"/>
      <c r="D596" s="49"/>
      <c r="E596" s="49"/>
      <c r="F596" s="49"/>
      <c r="G596" s="49" t="str">
        <f>IFERROR(__xludf.DUMMYFUNCTION("""COMPUTED_VALUE"""),"#VALUE!")</f>
        <v>#VALUE!</v>
      </c>
      <c r="H596" s="49" t="str">
        <f>IFERROR(__xludf.DUMMYFUNCTION("""COMPUTED_VALUE"""),"")</f>
        <v/>
      </c>
      <c r="I596" s="49" t="str">
        <f>IFERROR(__xludf.DUMMYFUNCTION("""COMPUTED_VALUE"""),"#VALUE!")</f>
        <v>#VALUE!</v>
      </c>
      <c r="J596" s="49" t="str">
        <f>IFERROR(__xludf.DUMMYFUNCTION("""COMPUTED_VALUE"""),"")</f>
        <v/>
      </c>
      <c r="K596" s="49"/>
      <c r="L596" s="49" t="s">
        <v>255</v>
      </c>
      <c r="M596" s="49"/>
      <c r="N596" s="49"/>
      <c r="O596" s="49"/>
      <c r="P596" s="49"/>
      <c r="Q596" s="49"/>
      <c r="R596" s="49"/>
      <c r="S596" s="49"/>
      <c r="T596" s="49"/>
    </row>
    <row r="597">
      <c r="A597" s="49"/>
      <c r="B597" s="49"/>
      <c r="C597" s="51"/>
      <c r="D597" s="49"/>
      <c r="E597" s="49"/>
      <c r="F597" s="49"/>
      <c r="G597" s="49" t="str">
        <f>IFERROR(__xludf.DUMMYFUNCTION("""COMPUTED_VALUE"""),"#VALUE!")</f>
        <v>#VALUE!</v>
      </c>
      <c r="H597" s="49" t="str">
        <f>IFERROR(__xludf.DUMMYFUNCTION("""COMPUTED_VALUE"""),"")</f>
        <v/>
      </c>
      <c r="I597" s="49" t="str">
        <f>IFERROR(__xludf.DUMMYFUNCTION("""COMPUTED_VALUE"""),"#VALUE!")</f>
        <v>#VALUE!</v>
      </c>
      <c r="J597" s="49" t="str">
        <f>IFERROR(__xludf.DUMMYFUNCTION("""COMPUTED_VALUE"""),"")</f>
        <v/>
      </c>
      <c r="K597" s="49"/>
      <c r="L597" s="49" t="s">
        <v>255</v>
      </c>
      <c r="M597" s="49"/>
      <c r="N597" s="49"/>
      <c r="O597" s="49"/>
      <c r="P597" s="49"/>
      <c r="Q597" s="49"/>
      <c r="R597" s="49"/>
      <c r="S597" s="49"/>
      <c r="T597" s="49"/>
    </row>
    <row r="598">
      <c r="A598" s="49"/>
      <c r="B598" s="49"/>
      <c r="C598" s="51"/>
      <c r="D598" s="49"/>
      <c r="E598" s="49"/>
      <c r="F598" s="49"/>
      <c r="G598" s="49" t="str">
        <f>IFERROR(__xludf.DUMMYFUNCTION("""COMPUTED_VALUE"""),"#VALUE!")</f>
        <v>#VALUE!</v>
      </c>
      <c r="H598" s="49" t="str">
        <f>IFERROR(__xludf.DUMMYFUNCTION("""COMPUTED_VALUE"""),"")</f>
        <v/>
      </c>
      <c r="I598" s="49" t="str">
        <f>IFERROR(__xludf.DUMMYFUNCTION("""COMPUTED_VALUE"""),"#VALUE!")</f>
        <v>#VALUE!</v>
      </c>
      <c r="J598" s="49" t="str">
        <f>IFERROR(__xludf.DUMMYFUNCTION("""COMPUTED_VALUE"""),"")</f>
        <v/>
      </c>
      <c r="K598" s="49"/>
      <c r="L598" s="49" t="s">
        <v>255</v>
      </c>
      <c r="M598" s="49"/>
      <c r="N598" s="49"/>
      <c r="O598" s="49"/>
      <c r="P598" s="49"/>
      <c r="Q598" s="49"/>
      <c r="R598" s="49"/>
      <c r="S598" s="49"/>
      <c r="T598" s="49"/>
    </row>
    <row r="599">
      <c r="A599" s="49"/>
      <c r="B599" s="49"/>
      <c r="C599" s="51"/>
      <c r="D599" s="49"/>
      <c r="E599" s="49"/>
      <c r="F599" s="49"/>
      <c r="G599" s="49" t="str">
        <f>IFERROR(__xludf.DUMMYFUNCTION("""COMPUTED_VALUE"""),"#VALUE!")</f>
        <v>#VALUE!</v>
      </c>
      <c r="H599" s="49" t="str">
        <f>IFERROR(__xludf.DUMMYFUNCTION("""COMPUTED_VALUE"""),"")</f>
        <v/>
      </c>
      <c r="I599" s="49" t="str">
        <f>IFERROR(__xludf.DUMMYFUNCTION("""COMPUTED_VALUE"""),"#VALUE!")</f>
        <v>#VALUE!</v>
      </c>
      <c r="J599" s="49" t="str">
        <f>IFERROR(__xludf.DUMMYFUNCTION("""COMPUTED_VALUE"""),"")</f>
        <v/>
      </c>
      <c r="K599" s="49"/>
      <c r="L599" s="49" t="s">
        <v>255</v>
      </c>
      <c r="M599" s="49"/>
      <c r="N599" s="49"/>
      <c r="O599" s="49"/>
      <c r="P599" s="49"/>
      <c r="Q599" s="49"/>
      <c r="R599" s="49"/>
      <c r="S599" s="49"/>
      <c r="T599" s="49"/>
    </row>
    <row r="600">
      <c r="A600" s="49"/>
      <c r="B600" s="49"/>
      <c r="C600" s="51"/>
      <c r="D600" s="49"/>
      <c r="E600" s="49"/>
      <c r="F600" s="49"/>
      <c r="G600" s="49" t="str">
        <f>IFERROR(__xludf.DUMMYFUNCTION("""COMPUTED_VALUE"""),"#VALUE!")</f>
        <v>#VALUE!</v>
      </c>
      <c r="H600" s="49" t="str">
        <f>IFERROR(__xludf.DUMMYFUNCTION("""COMPUTED_VALUE"""),"")</f>
        <v/>
      </c>
      <c r="I600" s="49" t="str">
        <f>IFERROR(__xludf.DUMMYFUNCTION("""COMPUTED_VALUE"""),"#VALUE!")</f>
        <v>#VALUE!</v>
      </c>
      <c r="J600" s="49" t="str">
        <f>IFERROR(__xludf.DUMMYFUNCTION("""COMPUTED_VALUE"""),"")</f>
        <v/>
      </c>
      <c r="K600" s="49"/>
      <c r="L600" s="49" t="s">
        <v>255</v>
      </c>
      <c r="M600" s="49"/>
      <c r="N600" s="49"/>
      <c r="O600" s="49"/>
      <c r="P600" s="49"/>
      <c r="Q600" s="49"/>
      <c r="R600" s="49"/>
      <c r="S600" s="49"/>
      <c r="T600" s="49"/>
    </row>
    <row r="601">
      <c r="A601" s="49"/>
      <c r="B601" s="49"/>
      <c r="C601" s="51"/>
      <c r="D601" s="49"/>
      <c r="E601" s="49"/>
      <c r="F601" s="49"/>
      <c r="G601" s="49" t="str">
        <f>IFERROR(__xludf.DUMMYFUNCTION("""COMPUTED_VALUE"""),"#VALUE!")</f>
        <v>#VALUE!</v>
      </c>
      <c r="H601" s="49" t="str">
        <f>IFERROR(__xludf.DUMMYFUNCTION("""COMPUTED_VALUE"""),"")</f>
        <v/>
      </c>
      <c r="I601" s="49" t="str">
        <f>IFERROR(__xludf.DUMMYFUNCTION("""COMPUTED_VALUE"""),"#VALUE!")</f>
        <v>#VALUE!</v>
      </c>
      <c r="J601" s="49" t="str">
        <f>IFERROR(__xludf.DUMMYFUNCTION("""COMPUTED_VALUE"""),"")</f>
        <v/>
      </c>
      <c r="K601" s="49"/>
      <c r="L601" s="49" t="s">
        <v>255</v>
      </c>
      <c r="M601" s="49"/>
      <c r="N601" s="49"/>
      <c r="O601" s="49"/>
      <c r="P601" s="49"/>
      <c r="Q601" s="49"/>
      <c r="R601" s="49"/>
      <c r="S601" s="49"/>
      <c r="T601" s="49"/>
    </row>
    <row r="602">
      <c r="A602" s="49"/>
      <c r="B602" s="49"/>
      <c r="C602" s="51"/>
      <c r="D602" s="49"/>
      <c r="E602" s="49"/>
      <c r="F602" s="49"/>
      <c r="G602" s="49" t="str">
        <f>IFERROR(__xludf.DUMMYFUNCTION("""COMPUTED_VALUE"""),"#VALUE!")</f>
        <v>#VALUE!</v>
      </c>
      <c r="H602" s="49" t="str">
        <f>IFERROR(__xludf.DUMMYFUNCTION("""COMPUTED_VALUE"""),"")</f>
        <v/>
      </c>
      <c r="I602" s="49" t="str">
        <f>IFERROR(__xludf.DUMMYFUNCTION("""COMPUTED_VALUE"""),"#VALUE!")</f>
        <v>#VALUE!</v>
      </c>
      <c r="J602" s="49" t="str">
        <f>IFERROR(__xludf.DUMMYFUNCTION("""COMPUTED_VALUE"""),"")</f>
        <v/>
      </c>
      <c r="K602" s="49"/>
      <c r="L602" s="49" t="s">
        <v>255</v>
      </c>
      <c r="M602" s="49"/>
      <c r="N602" s="49"/>
      <c r="O602" s="49"/>
      <c r="P602" s="49"/>
      <c r="Q602" s="49"/>
      <c r="R602" s="49"/>
      <c r="S602" s="49"/>
      <c r="T602" s="49"/>
    </row>
    <row r="603">
      <c r="A603" s="49"/>
      <c r="B603" s="49"/>
      <c r="C603" s="51"/>
      <c r="D603" s="49"/>
      <c r="E603" s="49"/>
      <c r="F603" s="49"/>
      <c r="G603" s="49" t="str">
        <f>IFERROR(__xludf.DUMMYFUNCTION("""COMPUTED_VALUE"""),"#VALUE!")</f>
        <v>#VALUE!</v>
      </c>
      <c r="H603" s="49" t="str">
        <f>IFERROR(__xludf.DUMMYFUNCTION("""COMPUTED_VALUE"""),"")</f>
        <v/>
      </c>
      <c r="I603" s="49" t="str">
        <f>IFERROR(__xludf.DUMMYFUNCTION("""COMPUTED_VALUE"""),"#VALUE!")</f>
        <v>#VALUE!</v>
      </c>
      <c r="J603" s="49" t="str">
        <f>IFERROR(__xludf.DUMMYFUNCTION("""COMPUTED_VALUE"""),"")</f>
        <v/>
      </c>
      <c r="K603" s="49"/>
      <c r="L603" s="49" t="s">
        <v>255</v>
      </c>
      <c r="M603" s="49"/>
      <c r="N603" s="49"/>
      <c r="O603" s="49"/>
      <c r="P603" s="49"/>
      <c r="Q603" s="49"/>
      <c r="R603" s="49"/>
      <c r="S603" s="49"/>
      <c r="T603" s="49"/>
    </row>
    <row r="604">
      <c r="A604" s="49"/>
      <c r="B604" s="49"/>
      <c r="C604" s="51"/>
      <c r="D604" s="49"/>
      <c r="E604" s="49"/>
      <c r="F604" s="49"/>
      <c r="G604" s="49" t="str">
        <f>IFERROR(__xludf.DUMMYFUNCTION("""COMPUTED_VALUE"""),"#VALUE!")</f>
        <v>#VALUE!</v>
      </c>
      <c r="H604" s="49" t="str">
        <f>IFERROR(__xludf.DUMMYFUNCTION("""COMPUTED_VALUE"""),"")</f>
        <v/>
      </c>
      <c r="I604" s="49" t="str">
        <f>IFERROR(__xludf.DUMMYFUNCTION("""COMPUTED_VALUE"""),"#VALUE!")</f>
        <v>#VALUE!</v>
      </c>
      <c r="J604" s="49" t="str">
        <f>IFERROR(__xludf.DUMMYFUNCTION("""COMPUTED_VALUE"""),"")</f>
        <v/>
      </c>
      <c r="K604" s="49"/>
      <c r="L604" s="49" t="s">
        <v>255</v>
      </c>
      <c r="M604" s="49"/>
      <c r="N604" s="49"/>
      <c r="O604" s="49"/>
      <c r="P604" s="49"/>
      <c r="Q604" s="49"/>
      <c r="R604" s="49"/>
      <c r="S604" s="49"/>
      <c r="T604" s="49"/>
    </row>
    <row r="605">
      <c r="A605" s="49"/>
      <c r="B605" s="49"/>
      <c r="C605" s="51"/>
      <c r="D605" s="49"/>
      <c r="E605" s="49"/>
      <c r="F605" s="49"/>
      <c r="G605" s="49" t="str">
        <f>IFERROR(__xludf.DUMMYFUNCTION("""COMPUTED_VALUE"""),"#VALUE!")</f>
        <v>#VALUE!</v>
      </c>
      <c r="H605" s="49" t="str">
        <f>IFERROR(__xludf.DUMMYFUNCTION("""COMPUTED_VALUE"""),"")</f>
        <v/>
      </c>
      <c r="I605" s="49" t="str">
        <f>IFERROR(__xludf.DUMMYFUNCTION("""COMPUTED_VALUE"""),"#VALUE!")</f>
        <v>#VALUE!</v>
      </c>
      <c r="J605" s="49" t="str">
        <f>IFERROR(__xludf.DUMMYFUNCTION("""COMPUTED_VALUE"""),"")</f>
        <v/>
      </c>
      <c r="K605" s="49"/>
      <c r="L605" s="49" t="s">
        <v>255</v>
      </c>
      <c r="M605" s="49"/>
      <c r="N605" s="49"/>
      <c r="O605" s="49"/>
      <c r="P605" s="49"/>
      <c r="Q605" s="49"/>
      <c r="R605" s="49"/>
      <c r="S605" s="49"/>
      <c r="T605" s="49"/>
    </row>
    <row r="606">
      <c r="A606" s="49"/>
      <c r="B606" s="49"/>
      <c r="C606" s="51"/>
      <c r="D606" s="49"/>
      <c r="E606" s="49"/>
      <c r="F606" s="49"/>
      <c r="G606" s="49" t="str">
        <f>IFERROR(__xludf.DUMMYFUNCTION("""COMPUTED_VALUE"""),"#VALUE!")</f>
        <v>#VALUE!</v>
      </c>
      <c r="H606" s="49" t="str">
        <f>IFERROR(__xludf.DUMMYFUNCTION("""COMPUTED_VALUE"""),"")</f>
        <v/>
      </c>
      <c r="I606" s="49" t="str">
        <f>IFERROR(__xludf.DUMMYFUNCTION("""COMPUTED_VALUE"""),"#VALUE!")</f>
        <v>#VALUE!</v>
      </c>
      <c r="J606" s="49" t="str">
        <f>IFERROR(__xludf.DUMMYFUNCTION("""COMPUTED_VALUE"""),"")</f>
        <v/>
      </c>
      <c r="K606" s="49"/>
      <c r="L606" s="49" t="s">
        <v>255</v>
      </c>
      <c r="M606" s="49"/>
      <c r="N606" s="49"/>
      <c r="O606" s="49"/>
      <c r="P606" s="49"/>
      <c r="Q606" s="49"/>
      <c r="R606" s="49"/>
      <c r="S606" s="49"/>
      <c r="T606" s="49"/>
    </row>
    <row r="607">
      <c r="A607" s="49"/>
      <c r="B607" s="49"/>
      <c r="C607" s="51"/>
      <c r="D607" s="49"/>
      <c r="E607" s="49"/>
      <c r="F607" s="49"/>
      <c r="G607" s="49" t="str">
        <f>IFERROR(__xludf.DUMMYFUNCTION("""COMPUTED_VALUE"""),"#VALUE!")</f>
        <v>#VALUE!</v>
      </c>
      <c r="H607" s="49" t="str">
        <f>IFERROR(__xludf.DUMMYFUNCTION("""COMPUTED_VALUE"""),"")</f>
        <v/>
      </c>
      <c r="I607" s="49" t="str">
        <f>IFERROR(__xludf.DUMMYFUNCTION("""COMPUTED_VALUE"""),"#VALUE!")</f>
        <v>#VALUE!</v>
      </c>
      <c r="J607" s="49" t="str">
        <f>IFERROR(__xludf.DUMMYFUNCTION("""COMPUTED_VALUE"""),"")</f>
        <v/>
      </c>
      <c r="K607" s="49"/>
      <c r="L607" s="49" t="s">
        <v>255</v>
      </c>
      <c r="M607" s="49"/>
      <c r="N607" s="49"/>
      <c r="O607" s="49"/>
      <c r="P607" s="49"/>
      <c r="Q607" s="49"/>
      <c r="R607" s="49"/>
      <c r="S607" s="49"/>
      <c r="T607" s="49"/>
    </row>
    <row r="608">
      <c r="A608" s="49"/>
      <c r="B608" s="49"/>
      <c r="C608" s="51"/>
      <c r="D608" s="49"/>
      <c r="E608" s="49"/>
      <c r="F608" s="49"/>
      <c r="G608" s="49" t="str">
        <f>IFERROR(__xludf.DUMMYFUNCTION("""COMPUTED_VALUE"""),"#VALUE!")</f>
        <v>#VALUE!</v>
      </c>
      <c r="H608" s="49" t="str">
        <f>IFERROR(__xludf.DUMMYFUNCTION("""COMPUTED_VALUE"""),"")</f>
        <v/>
      </c>
      <c r="I608" s="49" t="str">
        <f>IFERROR(__xludf.DUMMYFUNCTION("""COMPUTED_VALUE"""),"#VALUE!")</f>
        <v>#VALUE!</v>
      </c>
      <c r="J608" s="49" t="str">
        <f>IFERROR(__xludf.DUMMYFUNCTION("""COMPUTED_VALUE"""),"")</f>
        <v/>
      </c>
      <c r="K608" s="49"/>
      <c r="L608" s="49" t="s">
        <v>255</v>
      </c>
      <c r="M608" s="49"/>
      <c r="N608" s="49"/>
      <c r="O608" s="49"/>
      <c r="P608" s="49"/>
      <c r="Q608" s="49"/>
      <c r="R608" s="49"/>
      <c r="S608" s="49"/>
      <c r="T608" s="49"/>
    </row>
    <row r="609">
      <c r="A609" s="49"/>
      <c r="B609" s="49"/>
      <c r="C609" s="51"/>
      <c r="D609" s="49"/>
      <c r="E609" s="49"/>
      <c r="F609" s="49"/>
      <c r="G609" s="49" t="str">
        <f>IFERROR(__xludf.DUMMYFUNCTION("""COMPUTED_VALUE"""),"#VALUE!")</f>
        <v>#VALUE!</v>
      </c>
      <c r="H609" s="49" t="str">
        <f>IFERROR(__xludf.DUMMYFUNCTION("""COMPUTED_VALUE"""),"")</f>
        <v/>
      </c>
      <c r="I609" s="49" t="str">
        <f>IFERROR(__xludf.DUMMYFUNCTION("""COMPUTED_VALUE"""),"#VALUE!")</f>
        <v>#VALUE!</v>
      </c>
      <c r="J609" s="49" t="str">
        <f>IFERROR(__xludf.DUMMYFUNCTION("""COMPUTED_VALUE"""),"")</f>
        <v/>
      </c>
      <c r="K609" s="49"/>
      <c r="L609" s="49" t="s">
        <v>255</v>
      </c>
      <c r="M609" s="49"/>
      <c r="N609" s="49"/>
      <c r="O609" s="49"/>
      <c r="P609" s="49"/>
      <c r="Q609" s="49"/>
      <c r="R609" s="49"/>
      <c r="S609" s="49"/>
      <c r="T609" s="49"/>
    </row>
    <row r="610">
      <c r="A610" s="49"/>
      <c r="B610" s="49"/>
      <c r="C610" s="51"/>
      <c r="D610" s="49"/>
      <c r="E610" s="49"/>
      <c r="F610" s="49"/>
      <c r="G610" s="49" t="str">
        <f>IFERROR(__xludf.DUMMYFUNCTION("""COMPUTED_VALUE"""),"#VALUE!")</f>
        <v>#VALUE!</v>
      </c>
      <c r="H610" s="49" t="str">
        <f>IFERROR(__xludf.DUMMYFUNCTION("""COMPUTED_VALUE"""),"")</f>
        <v/>
      </c>
      <c r="I610" s="49" t="str">
        <f>IFERROR(__xludf.DUMMYFUNCTION("""COMPUTED_VALUE"""),"#VALUE!")</f>
        <v>#VALUE!</v>
      </c>
      <c r="J610" s="49" t="str">
        <f>IFERROR(__xludf.DUMMYFUNCTION("""COMPUTED_VALUE"""),"")</f>
        <v/>
      </c>
      <c r="K610" s="49"/>
      <c r="L610" s="49" t="s">
        <v>255</v>
      </c>
      <c r="M610" s="49"/>
      <c r="N610" s="49"/>
      <c r="O610" s="49"/>
      <c r="P610" s="49"/>
      <c r="Q610" s="49"/>
      <c r="R610" s="49"/>
      <c r="S610" s="49"/>
      <c r="T610" s="49"/>
    </row>
    <row r="611">
      <c r="A611" s="49"/>
      <c r="B611" s="49"/>
      <c r="C611" s="51"/>
      <c r="D611" s="49"/>
      <c r="E611" s="49"/>
      <c r="F611" s="49"/>
      <c r="G611" s="49" t="str">
        <f>IFERROR(__xludf.DUMMYFUNCTION("""COMPUTED_VALUE"""),"#VALUE!")</f>
        <v>#VALUE!</v>
      </c>
      <c r="H611" s="49" t="str">
        <f>IFERROR(__xludf.DUMMYFUNCTION("""COMPUTED_VALUE"""),"")</f>
        <v/>
      </c>
      <c r="I611" s="49" t="str">
        <f>IFERROR(__xludf.DUMMYFUNCTION("""COMPUTED_VALUE"""),"#VALUE!")</f>
        <v>#VALUE!</v>
      </c>
      <c r="J611" s="49" t="str">
        <f>IFERROR(__xludf.DUMMYFUNCTION("""COMPUTED_VALUE"""),"")</f>
        <v/>
      </c>
      <c r="K611" s="49"/>
      <c r="L611" s="49" t="s">
        <v>255</v>
      </c>
      <c r="M611" s="49"/>
      <c r="N611" s="49"/>
      <c r="O611" s="49"/>
      <c r="P611" s="49"/>
      <c r="Q611" s="49"/>
      <c r="R611" s="49"/>
      <c r="S611" s="49"/>
      <c r="T611" s="49"/>
    </row>
    <row r="612">
      <c r="A612" s="49"/>
      <c r="B612" s="49"/>
      <c r="C612" s="51"/>
      <c r="D612" s="49"/>
      <c r="E612" s="49"/>
      <c r="F612" s="49"/>
      <c r="G612" s="49" t="str">
        <f>IFERROR(__xludf.DUMMYFUNCTION("""COMPUTED_VALUE"""),"#VALUE!")</f>
        <v>#VALUE!</v>
      </c>
      <c r="H612" s="49" t="str">
        <f>IFERROR(__xludf.DUMMYFUNCTION("""COMPUTED_VALUE"""),"")</f>
        <v/>
      </c>
      <c r="I612" s="49" t="str">
        <f>IFERROR(__xludf.DUMMYFUNCTION("""COMPUTED_VALUE"""),"#VALUE!")</f>
        <v>#VALUE!</v>
      </c>
      <c r="J612" s="49" t="str">
        <f>IFERROR(__xludf.DUMMYFUNCTION("""COMPUTED_VALUE"""),"")</f>
        <v/>
      </c>
      <c r="K612" s="49"/>
      <c r="L612" s="49" t="s">
        <v>255</v>
      </c>
      <c r="M612" s="49"/>
      <c r="N612" s="49"/>
      <c r="O612" s="49"/>
      <c r="P612" s="49"/>
      <c r="Q612" s="49"/>
      <c r="R612" s="49"/>
      <c r="S612" s="49"/>
      <c r="T612" s="49"/>
    </row>
    <row r="613">
      <c r="A613" s="49"/>
      <c r="B613" s="49"/>
      <c r="C613" s="51"/>
      <c r="D613" s="49"/>
      <c r="E613" s="49"/>
      <c r="F613" s="49"/>
      <c r="G613" s="49" t="str">
        <f>IFERROR(__xludf.DUMMYFUNCTION("""COMPUTED_VALUE"""),"#VALUE!")</f>
        <v>#VALUE!</v>
      </c>
      <c r="H613" s="49" t="str">
        <f>IFERROR(__xludf.DUMMYFUNCTION("""COMPUTED_VALUE"""),"")</f>
        <v/>
      </c>
      <c r="I613" s="49" t="str">
        <f>IFERROR(__xludf.DUMMYFUNCTION("""COMPUTED_VALUE"""),"#VALUE!")</f>
        <v>#VALUE!</v>
      </c>
      <c r="J613" s="49" t="str">
        <f>IFERROR(__xludf.DUMMYFUNCTION("""COMPUTED_VALUE"""),"")</f>
        <v/>
      </c>
      <c r="K613" s="49"/>
      <c r="L613" s="49" t="s">
        <v>255</v>
      </c>
      <c r="M613" s="49"/>
      <c r="N613" s="49"/>
      <c r="O613" s="49"/>
      <c r="P613" s="49"/>
      <c r="Q613" s="49"/>
      <c r="R613" s="49"/>
      <c r="S613" s="49"/>
      <c r="T613" s="49"/>
    </row>
    <row r="614">
      <c r="A614" s="49"/>
      <c r="B614" s="49"/>
      <c r="C614" s="51"/>
      <c r="D614" s="49"/>
      <c r="E614" s="49"/>
      <c r="F614" s="49"/>
      <c r="G614" s="49" t="str">
        <f>IFERROR(__xludf.DUMMYFUNCTION("""COMPUTED_VALUE"""),"#VALUE!")</f>
        <v>#VALUE!</v>
      </c>
      <c r="H614" s="49" t="str">
        <f>IFERROR(__xludf.DUMMYFUNCTION("""COMPUTED_VALUE"""),"")</f>
        <v/>
      </c>
      <c r="I614" s="49" t="str">
        <f>IFERROR(__xludf.DUMMYFUNCTION("""COMPUTED_VALUE"""),"#VALUE!")</f>
        <v>#VALUE!</v>
      </c>
      <c r="J614" s="49" t="str">
        <f>IFERROR(__xludf.DUMMYFUNCTION("""COMPUTED_VALUE"""),"")</f>
        <v/>
      </c>
      <c r="K614" s="49"/>
      <c r="L614" s="49" t="s">
        <v>255</v>
      </c>
      <c r="M614" s="49"/>
      <c r="N614" s="49"/>
      <c r="O614" s="49"/>
      <c r="P614" s="49"/>
      <c r="Q614" s="49"/>
      <c r="R614" s="49"/>
      <c r="S614" s="49"/>
      <c r="T614" s="49"/>
    </row>
    <row r="615">
      <c r="A615" s="49"/>
      <c r="B615" s="49"/>
      <c r="C615" s="51"/>
      <c r="D615" s="49"/>
      <c r="E615" s="49"/>
      <c r="F615" s="49"/>
      <c r="G615" s="49" t="str">
        <f>IFERROR(__xludf.DUMMYFUNCTION("""COMPUTED_VALUE"""),"#VALUE!")</f>
        <v>#VALUE!</v>
      </c>
      <c r="H615" s="49" t="str">
        <f>IFERROR(__xludf.DUMMYFUNCTION("""COMPUTED_VALUE"""),"")</f>
        <v/>
      </c>
      <c r="I615" s="49" t="str">
        <f>IFERROR(__xludf.DUMMYFUNCTION("""COMPUTED_VALUE"""),"#VALUE!")</f>
        <v>#VALUE!</v>
      </c>
      <c r="J615" s="49" t="str">
        <f>IFERROR(__xludf.DUMMYFUNCTION("""COMPUTED_VALUE"""),"")</f>
        <v/>
      </c>
      <c r="K615" s="49"/>
      <c r="L615" s="49" t="s">
        <v>255</v>
      </c>
      <c r="M615" s="49"/>
      <c r="N615" s="49"/>
      <c r="O615" s="49"/>
      <c r="P615" s="49"/>
      <c r="Q615" s="49"/>
      <c r="R615" s="49"/>
      <c r="S615" s="49"/>
      <c r="T615" s="49"/>
    </row>
    <row r="616">
      <c r="A616" s="49"/>
      <c r="B616" s="49"/>
      <c r="C616" s="51"/>
      <c r="D616" s="49"/>
      <c r="E616" s="49"/>
      <c r="F616" s="49"/>
      <c r="G616" s="49" t="str">
        <f>IFERROR(__xludf.DUMMYFUNCTION("""COMPUTED_VALUE"""),"#VALUE!")</f>
        <v>#VALUE!</v>
      </c>
      <c r="H616" s="49" t="str">
        <f>IFERROR(__xludf.DUMMYFUNCTION("""COMPUTED_VALUE"""),"")</f>
        <v/>
      </c>
      <c r="I616" s="49" t="str">
        <f>IFERROR(__xludf.DUMMYFUNCTION("""COMPUTED_VALUE"""),"#VALUE!")</f>
        <v>#VALUE!</v>
      </c>
      <c r="J616" s="49" t="str">
        <f>IFERROR(__xludf.DUMMYFUNCTION("""COMPUTED_VALUE"""),"")</f>
        <v/>
      </c>
      <c r="K616" s="49"/>
      <c r="L616" s="49" t="s">
        <v>255</v>
      </c>
      <c r="M616" s="49"/>
      <c r="N616" s="49"/>
      <c r="O616" s="49"/>
      <c r="P616" s="49"/>
      <c r="Q616" s="49"/>
      <c r="R616" s="49"/>
      <c r="S616" s="49"/>
      <c r="T616" s="49"/>
    </row>
    <row r="617">
      <c r="A617" s="49"/>
      <c r="B617" s="49"/>
      <c r="C617" s="51"/>
      <c r="D617" s="49"/>
      <c r="E617" s="49"/>
      <c r="F617" s="49"/>
      <c r="G617" s="49" t="str">
        <f>IFERROR(__xludf.DUMMYFUNCTION("""COMPUTED_VALUE"""),"#VALUE!")</f>
        <v>#VALUE!</v>
      </c>
      <c r="H617" s="49" t="str">
        <f>IFERROR(__xludf.DUMMYFUNCTION("""COMPUTED_VALUE"""),"")</f>
        <v/>
      </c>
      <c r="I617" s="49" t="str">
        <f>IFERROR(__xludf.DUMMYFUNCTION("""COMPUTED_VALUE"""),"#VALUE!")</f>
        <v>#VALUE!</v>
      </c>
      <c r="J617" s="49" t="str">
        <f>IFERROR(__xludf.DUMMYFUNCTION("""COMPUTED_VALUE"""),"")</f>
        <v/>
      </c>
      <c r="K617" s="49"/>
      <c r="L617" s="49" t="s">
        <v>255</v>
      </c>
      <c r="M617" s="49"/>
      <c r="N617" s="49"/>
      <c r="O617" s="49"/>
      <c r="P617" s="49"/>
      <c r="Q617" s="49"/>
      <c r="R617" s="49"/>
      <c r="S617" s="49"/>
      <c r="T617" s="49"/>
    </row>
    <row r="618">
      <c r="A618" s="49"/>
      <c r="B618" s="49"/>
      <c r="C618" s="51"/>
      <c r="D618" s="49"/>
      <c r="E618" s="49"/>
      <c r="F618" s="49"/>
      <c r="G618" s="49" t="str">
        <f>IFERROR(__xludf.DUMMYFUNCTION("""COMPUTED_VALUE"""),"#VALUE!")</f>
        <v>#VALUE!</v>
      </c>
      <c r="H618" s="49" t="str">
        <f>IFERROR(__xludf.DUMMYFUNCTION("""COMPUTED_VALUE"""),"")</f>
        <v/>
      </c>
      <c r="I618" s="49" t="str">
        <f>IFERROR(__xludf.DUMMYFUNCTION("""COMPUTED_VALUE"""),"#VALUE!")</f>
        <v>#VALUE!</v>
      </c>
      <c r="J618" s="49" t="str">
        <f>IFERROR(__xludf.DUMMYFUNCTION("""COMPUTED_VALUE"""),"")</f>
        <v/>
      </c>
      <c r="K618" s="49"/>
      <c r="L618" s="49" t="s">
        <v>255</v>
      </c>
      <c r="M618" s="49"/>
      <c r="N618" s="49"/>
      <c r="O618" s="49"/>
      <c r="P618" s="49"/>
      <c r="Q618" s="49"/>
      <c r="R618" s="49"/>
      <c r="S618" s="49"/>
      <c r="T618" s="49"/>
    </row>
    <row r="619">
      <c r="A619" s="49"/>
      <c r="B619" s="49"/>
      <c r="C619" s="51"/>
      <c r="D619" s="49"/>
      <c r="E619" s="49"/>
      <c r="F619" s="49"/>
      <c r="G619" s="49" t="str">
        <f>IFERROR(__xludf.DUMMYFUNCTION("""COMPUTED_VALUE"""),"#VALUE!")</f>
        <v>#VALUE!</v>
      </c>
      <c r="H619" s="49" t="str">
        <f>IFERROR(__xludf.DUMMYFUNCTION("""COMPUTED_VALUE"""),"")</f>
        <v/>
      </c>
      <c r="I619" s="49" t="str">
        <f>IFERROR(__xludf.DUMMYFUNCTION("""COMPUTED_VALUE"""),"#VALUE!")</f>
        <v>#VALUE!</v>
      </c>
      <c r="J619" s="49" t="str">
        <f>IFERROR(__xludf.DUMMYFUNCTION("""COMPUTED_VALUE"""),"")</f>
        <v/>
      </c>
      <c r="K619" s="49"/>
      <c r="L619" s="49" t="s">
        <v>255</v>
      </c>
      <c r="M619" s="49"/>
      <c r="N619" s="49"/>
      <c r="O619" s="49"/>
      <c r="P619" s="49"/>
      <c r="Q619" s="49"/>
      <c r="R619" s="49"/>
      <c r="S619" s="49"/>
      <c r="T619" s="49"/>
    </row>
    <row r="620">
      <c r="A620" s="49"/>
      <c r="B620" s="49"/>
      <c r="C620" s="51"/>
      <c r="D620" s="49"/>
      <c r="E620" s="49"/>
      <c r="F620" s="49"/>
      <c r="G620" s="49" t="str">
        <f>IFERROR(__xludf.DUMMYFUNCTION("""COMPUTED_VALUE"""),"#VALUE!")</f>
        <v>#VALUE!</v>
      </c>
      <c r="H620" s="49" t="str">
        <f>IFERROR(__xludf.DUMMYFUNCTION("""COMPUTED_VALUE"""),"")</f>
        <v/>
      </c>
      <c r="I620" s="49" t="str">
        <f>IFERROR(__xludf.DUMMYFUNCTION("""COMPUTED_VALUE"""),"#VALUE!")</f>
        <v>#VALUE!</v>
      </c>
      <c r="J620" s="49" t="str">
        <f>IFERROR(__xludf.DUMMYFUNCTION("""COMPUTED_VALUE"""),"")</f>
        <v/>
      </c>
      <c r="K620" s="49"/>
      <c r="L620" s="49" t="s">
        <v>255</v>
      </c>
      <c r="M620" s="49"/>
      <c r="N620" s="49"/>
      <c r="O620" s="49"/>
      <c r="P620" s="49"/>
      <c r="Q620" s="49"/>
      <c r="R620" s="49"/>
      <c r="S620" s="49"/>
      <c r="T620" s="49"/>
    </row>
    <row r="621">
      <c r="A621" s="49"/>
      <c r="B621" s="49"/>
      <c r="C621" s="51"/>
      <c r="D621" s="49"/>
      <c r="E621" s="49"/>
      <c r="F621" s="49"/>
      <c r="G621" s="49" t="str">
        <f>IFERROR(__xludf.DUMMYFUNCTION("""COMPUTED_VALUE"""),"#VALUE!")</f>
        <v>#VALUE!</v>
      </c>
      <c r="H621" s="49" t="str">
        <f>IFERROR(__xludf.DUMMYFUNCTION("""COMPUTED_VALUE"""),"")</f>
        <v/>
      </c>
      <c r="I621" s="49" t="str">
        <f>IFERROR(__xludf.DUMMYFUNCTION("""COMPUTED_VALUE"""),"#VALUE!")</f>
        <v>#VALUE!</v>
      </c>
      <c r="J621" s="49" t="str">
        <f>IFERROR(__xludf.DUMMYFUNCTION("""COMPUTED_VALUE"""),"")</f>
        <v/>
      </c>
      <c r="K621" s="49"/>
      <c r="L621" s="49" t="s">
        <v>255</v>
      </c>
      <c r="M621" s="49"/>
      <c r="N621" s="49"/>
      <c r="O621" s="49"/>
      <c r="P621" s="49"/>
      <c r="Q621" s="49"/>
      <c r="R621" s="49"/>
      <c r="S621" s="49"/>
      <c r="T621" s="49"/>
    </row>
  </sheetData>
  <conditionalFormatting sqref="O2:O354">
    <cfRule type="containsText" dxfId="4" priority="1" operator="containsText" text="YES">
      <formula>NOT(ISERROR(SEARCH(("YES"),(O2))))</formula>
    </cfRule>
  </conditionalFormatting>
  <conditionalFormatting sqref="O2:O354">
    <cfRule type="cellIs" dxfId="5" priority="2" operator="equal">
      <formula>"NO"</formula>
    </cfRule>
  </conditionalFormatting>
  <conditionalFormatting sqref="P2:P30">
    <cfRule type="cellIs" dxfId="4" priority="3" operator="equal">
      <formula>"AVAILABLE"</formula>
    </cfRule>
  </conditionalFormatting>
  <conditionalFormatting sqref="P2:P30">
    <cfRule type="cellIs" dxfId="5" priority="4" operator="equal">
      <formula>"NOT AVAILABLE"</formula>
    </cfRule>
  </conditionalFormatting>
  <conditionalFormatting sqref="Q2:Q92">
    <cfRule type="cellIs" dxfId="4" priority="5" operator="equal">
      <formula>"AVAILABLE"</formula>
    </cfRule>
  </conditionalFormatting>
  <conditionalFormatting sqref="Q2:Q92">
    <cfRule type="cellIs" dxfId="6" priority="6" operator="equal">
      <formula>"UPLOADING"</formula>
    </cfRule>
  </conditionalFormatting>
  <conditionalFormatting sqref="Q2:Q92">
    <cfRule type="cellIs" dxfId="5" priority="7" operator="equal">
      <formula>"NOT AVAILABLE"</formula>
    </cfRule>
  </conditionalFormatting>
  <dataValidations>
    <dataValidation type="list" allowBlank="1" sqref="O2:O340">
      <formula1>"YES,NO"</formula1>
    </dataValidation>
    <dataValidation type="list" allowBlank="1" sqref="P2:P340">
      <formula1>"AVAILABLE,NOT AVAILABLE"</formula1>
    </dataValidation>
    <dataValidation type="list" allowBlank="1" sqref="Q2:Q92">
      <formula1>"AVAILABLE,UPLOADING,NOT AVAILABLE"</formula1>
    </dataValidation>
  </dataValidations>
  <hyperlinks>
    <hyperlink r:id="rId1" ref="A51"/>
  </hyperlinks>
  <printOptions gridLines="1" horizontalCentered="1"/>
  <pageMargins bottom="0.75" footer="0.0" header="0.0" left="0.7" right="0.7" top="0.75"/>
  <pageSetup fitToHeight="0" cellComments="atEnd" orientation="landscape" pageOrder="overThenDown"/>
  <drawing r:id="rId2"/>
  <tableParts count="1">
    <tablePart r:id="rId4"/>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sheetViews>
  <sheetFormatPr customHeight="1" defaultColWidth="14.43" defaultRowHeight="15.75"/>
  <cols>
    <col customWidth="1" min="1" max="1" width="67.86"/>
    <col customWidth="1" min="3" max="3" width="63.0"/>
    <col hidden="1" min="4" max="5" width="14.43"/>
    <col hidden="1" min="9" max="9" width="14.43"/>
    <col customWidth="1" min="14" max="14" width="37.43"/>
  </cols>
  <sheetData>
    <row r="1">
      <c r="A1" s="55" t="s">
        <v>79</v>
      </c>
      <c r="B1" s="55" t="s">
        <v>80</v>
      </c>
      <c r="C1" s="56" t="s">
        <v>81</v>
      </c>
      <c r="D1" s="55" t="s">
        <v>82</v>
      </c>
      <c r="E1" s="55" t="s">
        <v>83</v>
      </c>
      <c r="F1" s="55" t="s">
        <v>84</v>
      </c>
      <c r="G1" s="55" t="s">
        <v>85</v>
      </c>
      <c r="H1" s="55" t="s">
        <v>86</v>
      </c>
      <c r="I1" s="55" t="s">
        <v>87</v>
      </c>
      <c r="J1" s="55" t="s">
        <v>88</v>
      </c>
      <c r="K1" s="55" t="s">
        <v>89</v>
      </c>
      <c r="L1" s="55" t="s">
        <v>90</v>
      </c>
      <c r="M1" s="46" t="s">
        <v>91</v>
      </c>
      <c r="N1" s="46" t="s">
        <v>92</v>
      </c>
      <c r="O1" s="48" t="s">
        <v>93</v>
      </c>
      <c r="P1" s="48" t="s">
        <v>94</v>
      </c>
      <c r="Q1" s="48" t="s">
        <v>95</v>
      </c>
    </row>
    <row r="2">
      <c r="A2" s="57" t="s">
        <v>96</v>
      </c>
      <c r="B2" s="57" t="s">
        <v>97</v>
      </c>
      <c r="C2" s="58" t="s">
        <v>98</v>
      </c>
      <c r="D2" s="59">
        <v>0.5</v>
      </c>
      <c r="E2" s="59">
        <v>0.5208333333333334</v>
      </c>
      <c r="G2" s="60">
        <v>43774.0</v>
      </c>
      <c r="H2" s="59">
        <v>0.5</v>
      </c>
      <c r="I2" s="60">
        <v>43774.0</v>
      </c>
      <c r="J2" s="59">
        <v>0.5208333333333334</v>
      </c>
      <c r="K2" s="61">
        <f t="shared" ref="K2:K18" si="1">J2-H2</f>
        <v>0.02083333333</v>
      </c>
      <c r="L2" s="8" t="str">
        <f t="array" ref="L2:L18">TEXT(K2:K18,"hhmmss")</f>
        <v>003000</v>
      </c>
      <c r="M2" s="62" t="s">
        <v>100</v>
      </c>
      <c r="N2" s="62" t="str">
        <f t="shared" ref="N2:N18" si="2">CONCATENATE(M2,"_",F2,"_","000000_000000.mp4")</f>
        <v>PS_5_1__000000_000000.mp4</v>
      </c>
      <c r="O2" s="48"/>
      <c r="P2" s="48"/>
      <c r="Q2" s="63"/>
    </row>
    <row r="3">
      <c r="A3" s="64" t="s">
        <v>103</v>
      </c>
      <c r="B3" s="64" t="s">
        <v>97</v>
      </c>
      <c r="C3" s="58" t="s">
        <v>104</v>
      </c>
      <c r="D3" s="59">
        <v>0.5208333333333334</v>
      </c>
      <c r="E3" s="59">
        <v>0.5416666666666666</v>
      </c>
      <c r="G3" s="60">
        <v>43774.0</v>
      </c>
      <c r="H3" s="59">
        <v>0.5208333333333334</v>
      </c>
      <c r="I3" s="60">
        <v>43774.0</v>
      </c>
      <c r="J3" s="59">
        <v>0.5416666666666666</v>
      </c>
      <c r="K3" s="61">
        <f t="shared" si="1"/>
        <v>0.02083333333</v>
      </c>
      <c r="L3" s="10" t="s">
        <v>105</v>
      </c>
      <c r="M3" s="62" t="s">
        <v>106</v>
      </c>
      <c r="N3" s="62" t="str">
        <f t="shared" si="2"/>
        <v>PS_5_2__000000_000000.mp4</v>
      </c>
      <c r="O3" s="48"/>
      <c r="P3" s="48"/>
      <c r="Q3" s="63"/>
    </row>
    <row r="4">
      <c r="A4" s="57" t="s">
        <v>107</v>
      </c>
      <c r="B4" s="57" t="s">
        <v>97</v>
      </c>
      <c r="C4" s="58" t="s">
        <v>108</v>
      </c>
      <c r="D4" s="59">
        <v>0.6041666666666666</v>
      </c>
      <c r="E4" s="59">
        <v>0.6180555555555556</v>
      </c>
      <c r="G4" s="60">
        <v>43774.0</v>
      </c>
      <c r="H4" s="59">
        <v>0.6041666666666666</v>
      </c>
      <c r="I4" s="60">
        <v>43774.0</v>
      </c>
      <c r="J4" s="59">
        <v>0.6180555555555556</v>
      </c>
      <c r="K4" s="61">
        <f t="shared" si="1"/>
        <v>0.01388888889</v>
      </c>
      <c r="L4" s="10" t="s">
        <v>109</v>
      </c>
      <c r="M4" s="62" t="s">
        <v>110</v>
      </c>
      <c r="N4" s="62" t="str">
        <f t="shared" si="2"/>
        <v>PS_5_3__000000_000000.mp4</v>
      </c>
      <c r="O4" s="48"/>
      <c r="P4" s="48"/>
      <c r="Q4" s="63"/>
    </row>
    <row r="5">
      <c r="A5" s="57" t="s">
        <v>113</v>
      </c>
      <c r="B5" s="64" t="s">
        <v>97</v>
      </c>
      <c r="C5" s="58" t="s">
        <v>114</v>
      </c>
      <c r="D5" s="59">
        <v>0.625</v>
      </c>
      <c r="E5" s="59">
        <v>0.6458333333333334</v>
      </c>
      <c r="G5" s="60">
        <v>43774.0</v>
      </c>
      <c r="H5" s="59">
        <v>0.625</v>
      </c>
      <c r="I5" s="60">
        <v>43774.0</v>
      </c>
      <c r="J5" s="59">
        <v>0.6458333333333334</v>
      </c>
      <c r="K5" s="61">
        <f t="shared" si="1"/>
        <v>0.02083333333</v>
      </c>
      <c r="L5" s="10" t="s">
        <v>105</v>
      </c>
      <c r="M5" s="62" t="s">
        <v>115</v>
      </c>
      <c r="N5" s="62" t="str">
        <f t="shared" si="2"/>
        <v>PS_5_4__000000_000000.mp4</v>
      </c>
      <c r="O5" s="48"/>
      <c r="P5" s="48"/>
      <c r="Q5" s="63"/>
    </row>
    <row r="6">
      <c r="A6" s="57" t="s">
        <v>116</v>
      </c>
      <c r="B6" s="57" t="s">
        <v>97</v>
      </c>
      <c r="C6" s="58" t="s">
        <v>117</v>
      </c>
      <c r="D6" s="59">
        <v>0.6458333333333334</v>
      </c>
      <c r="E6" s="59">
        <v>0.65625</v>
      </c>
      <c r="G6" s="60">
        <v>43774.0</v>
      </c>
      <c r="H6" s="59">
        <v>0.6458333333333334</v>
      </c>
      <c r="I6" s="60">
        <v>43774.0</v>
      </c>
      <c r="J6" s="59">
        <v>0.65625</v>
      </c>
      <c r="K6" s="61">
        <f t="shared" si="1"/>
        <v>0.01041666667</v>
      </c>
      <c r="L6" s="10" t="s">
        <v>118</v>
      </c>
      <c r="M6" s="62" t="s">
        <v>119</v>
      </c>
      <c r="N6" s="62" t="str">
        <f t="shared" si="2"/>
        <v>PS_5_5__000000_000000.mp4</v>
      </c>
      <c r="O6" s="48"/>
      <c r="P6" s="48"/>
      <c r="Q6" s="63"/>
    </row>
    <row r="7">
      <c r="A7" s="57" t="s">
        <v>120</v>
      </c>
      <c r="B7" s="57" t="s">
        <v>97</v>
      </c>
      <c r="C7" s="58" t="s">
        <v>121</v>
      </c>
      <c r="D7" s="59">
        <v>0.6701388888888888</v>
      </c>
      <c r="E7" s="59">
        <v>0.6770833333333334</v>
      </c>
      <c r="G7" s="60">
        <v>43774.0</v>
      </c>
      <c r="H7" s="59">
        <v>0.6701388888888888</v>
      </c>
      <c r="I7" s="60">
        <v>43774.0</v>
      </c>
      <c r="J7" s="59">
        <v>0.6770833333333334</v>
      </c>
      <c r="K7" s="61">
        <f t="shared" si="1"/>
        <v>0.006944444444</v>
      </c>
      <c r="L7" s="10" t="s">
        <v>122</v>
      </c>
      <c r="M7" s="62" t="s">
        <v>124</v>
      </c>
      <c r="N7" s="62" t="str">
        <f t="shared" si="2"/>
        <v>PS_5_6__000000_000000.mp4</v>
      </c>
      <c r="O7" s="48"/>
      <c r="P7" s="48"/>
      <c r="Q7" s="63"/>
    </row>
    <row r="8">
      <c r="A8" s="57" t="s">
        <v>125</v>
      </c>
      <c r="B8" s="64" t="s">
        <v>97</v>
      </c>
      <c r="C8" s="65" t="s">
        <v>126</v>
      </c>
      <c r="D8" s="59">
        <v>0.6979166666666666</v>
      </c>
      <c r="E8" s="59">
        <v>0.7291666666666666</v>
      </c>
      <c r="G8" s="60">
        <v>43774.0</v>
      </c>
      <c r="H8" s="59">
        <v>0.6979166666666666</v>
      </c>
      <c r="I8" s="60">
        <v>43774.0</v>
      </c>
      <c r="J8" s="59">
        <v>0.7291666666666666</v>
      </c>
      <c r="K8" s="61">
        <f t="shared" si="1"/>
        <v>0.03125</v>
      </c>
      <c r="L8" s="10" t="s">
        <v>127</v>
      </c>
      <c r="M8" s="62" t="s">
        <v>128</v>
      </c>
      <c r="N8" s="62" t="str">
        <f t="shared" si="2"/>
        <v>PS_5_7__000000_000000.mp4</v>
      </c>
      <c r="O8" s="48"/>
      <c r="P8" s="48"/>
      <c r="Q8" s="63"/>
    </row>
    <row r="9">
      <c r="A9" s="57" t="s">
        <v>130</v>
      </c>
      <c r="B9" s="57" t="s">
        <v>97</v>
      </c>
      <c r="C9" s="58" t="s">
        <v>131</v>
      </c>
      <c r="D9" s="59">
        <v>0.4375</v>
      </c>
      <c r="E9" s="59">
        <v>0.4513888888888889</v>
      </c>
      <c r="G9" s="60">
        <v>43775.0</v>
      </c>
      <c r="H9" s="59">
        <v>0.4375</v>
      </c>
      <c r="I9" s="60">
        <v>43775.0</v>
      </c>
      <c r="J9" s="59">
        <v>0.4513888888888889</v>
      </c>
      <c r="K9" s="61">
        <f t="shared" si="1"/>
        <v>0.01388888889</v>
      </c>
      <c r="L9" s="10" t="s">
        <v>109</v>
      </c>
      <c r="M9" s="57" t="s">
        <v>132</v>
      </c>
      <c r="N9" s="62" t="str">
        <f t="shared" si="2"/>
        <v>PS_6_1__000000_000000.mp4</v>
      </c>
      <c r="O9" s="48"/>
      <c r="P9" s="48"/>
      <c r="Q9" s="63"/>
    </row>
    <row r="10">
      <c r="A10" s="57" t="s">
        <v>133</v>
      </c>
      <c r="B10" s="64" t="s">
        <v>97</v>
      </c>
      <c r="C10" s="58" t="s">
        <v>134</v>
      </c>
      <c r="D10" s="59">
        <v>0.5</v>
      </c>
      <c r="E10" s="59">
        <v>0.5208333333333334</v>
      </c>
      <c r="G10" s="60">
        <v>43775.0</v>
      </c>
      <c r="H10" s="59">
        <v>0.5</v>
      </c>
      <c r="J10" s="59">
        <v>0.5208333333333334</v>
      </c>
      <c r="K10" s="61">
        <f t="shared" si="1"/>
        <v>0.02083333333</v>
      </c>
      <c r="L10" s="10" t="s">
        <v>105</v>
      </c>
      <c r="M10" s="57" t="s">
        <v>137</v>
      </c>
      <c r="N10" s="62" t="str">
        <f t="shared" si="2"/>
        <v>PS_6_2__000000_000000.mp4</v>
      </c>
      <c r="O10" s="48"/>
      <c r="P10" s="48"/>
      <c r="Q10" s="63"/>
    </row>
    <row r="11">
      <c r="A11" s="57" t="s">
        <v>138</v>
      </c>
      <c r="B11" s="57" t="s">
        <v>97</v>
      </c>
      <c r="C11" s="58" t="s">
        <v>139</v>
      </c>
      <c r="D11" s="59">
        <v>0.5208333333333334</v>
      </c>
      <c r="E11" s="59">
        <v>0.5416666666666666</v>
      </c>
      <c r="G11" s="60">
        <v>43775.0</v>
      </c>
      <c r="H11" s="59">
        <v>0.5208333333333334</v>
      </c>
      <c r="J11" s="59">
        <v>0.5416666666666666</v>
      </c>
      <c r="K11" s="61">
        <f t="shared" si="1"/>
        <v>0.02083333333</v>
      </c>
      <c r="L11" s="10" t="s">
        <v>105</v>
      </c>
      <c r="M11" s="57" t="s">
        <v>140</v>
      </c>
      <c r="N11" s="62" t="str">
        <f t="shared" si="2"/>
        <v>PS_6_3__000000_000000.mp4</v>
      </c>
      <c r="O11" s="48"/>
      <c r="P11" s="48"/>
      <c r="Q11" s="63"/>
    </row>
    <row r="12">
      <c r="A12" s="57" t="s">
        <v>141</v>
      </c>
      <c r="B12" s="64" t="s">
        <v>97</v>
      </c>
      <c r="C12" s="58" t="s">
        <v>142</v>
      </c>
      <c r="D12" s="59">
        <v>0.5625</v>
      </c>
      <c r="E12" s="59">
        <v>0.5833333333333334</v>
      </c>
      <c r="G12" s="60">
        <v>43775.0</v>
      </c>
      <c r="H12" s="59">
        <v>0.5625</v>
      </c>
      <c r="J12" s="59">
        <v>0.5833333333333334</v>
      </c>
      <c r="K12" s="61">
        <f t="shared" si="1"/>
        <v>0.02083333333</v>
      </c>
      <c r="L12" s="10" t="s">
        <v>105</v>
      </c>
      <c r="M12" s="57" t="s">
        <v>144</v>
      </c>
      <c r="N12" s="62" t="str">
        <f t="shared" si="2"/>
        <v>PS_6_4__000000_000000.mp4</v>
      </c>
      <c r="O12" s="48"/>
      <c r="P12" s="48"/>
      <c r="Q12" s="63"/>
    </row>
    <row r="13">
      <c r="A13" s="57" t="s">
        <v>145</v>
      </c>
      <c r="B13" s="57" t="s">
        <v>97</v>
      </c>
      <c r="C13" s="58" t="s">
        <v>146</v>
      </c>
      <c r="D13" s="59">
        <v>0.5833333333333334</v>
      </c>
      <c r="E13" s="59">
        <v>0.5972222222222222</v>
      </c>
      <c r="G13" s="60">
        <v>43775.0</v>
      </c>
      <c r="H13" s="59">
        <v>0.5833333333333334</v>
      </c>
      <c r="J13" s="59">
        <v>0.5972222222222222</v>
      </c>
      <c r="K13" s="61">
        <f t="shared" si="1"/>
        <v>0.01388888889</v>
      </c>
      <c r="L13" s="10" t="s">
        <v>109</v>
      </c>
      <c r="M13" s="57" t="s">
        <v>147</v>
      </c>
      <c r="N13" s="62" t="str">
        <f t="shared" si="2"/>
        <v>PS_6_5__000000_000000.mp4</v>
      </c>
      <c r="O13" s="48"/>
      <c r="P13" s="48"/>
      <c r="Q13" s="63"/>
    </row>
    <row r="14">
      <c r="A14" s="57" t="s">
        <v>150</v>
      </c>
      <c r="B14" s="57" t="s">
        <v>97</v>
      </c>
      <c r="C14" s="58" t="s">
        <v>151</v>
      </c>
      <c r="D14" s="59">
        <v>0.6458333333333334</v>
      </c>
      <c r="E14" s="59">
        <v>0.6666666666666666</v>
      </c>
      <c r="G14" s="60">
        <v>43775.0</v>
      </c>
      <c r="H14" s="59">
        <v>0.6458333333333334</v>
      </c>
      <c r="J14" s="59">
        <v>0.6666666666666666</v>
      </c>
      <c r="K14" s="61">
        <f t="shared" si="1"/>
        <v>0.02083333333</v>
      </c>
      <c r="L14" s="10" t="s">
        <v>105</v>
      </c>
      <c r="M14" s="57" t="s">
        <v>152</v>
      </c>
      <c r="N14" s="62" t="str">
        <f t="shared" si="2"/>
        <v>PS_6_6__000000_000000.mp4</v>
      </c>
      <c r="O14" s="48"/>
      <c r="P14" s="48"/>
      <c r="Q14" s="63"/>
    </row>
    <row r="15">
      <c r="A15" s="57" t="s">
        <v>154</v>
      </c>
      <c r="B15" s="57" t="s">
        <v>97</v>
      </c>
      <c r="C15" s="58" t="s">
        <v>155</v>
      </c>
      <c r="G15" s="60">
        <v>43775.0</v>
      </c>
      <c r="H15" s="59">
        <v>0.6666666666666666</v>
      </c>
      <c r="J15" s="59">
        <v>0.6875</v>
      </c>
      <c r="K15" s="61">
        <f t="shared" si="1"/>
        <v>0.02083333333</v>
      </c>
      <c r="L15" s="10" t="s">
        <v>105</v>
      </c>
      <c r="M15" s="57" t="s">
        <v>156</v>
      </c>
      <c r="N15" s="62" t="str">
        <f t="shared" si="2"/>
        <v>PS_6_7__000000_000000.mp4</v>
      </c>
      <c r="O15" s="48"/>
      <c r="P15" s="48"/>
      <c r="Q15" s="63"/>
    </row>
    <row r="16">
      <c r="A16" s="57" t="s">
        <v>157</v>
      </c>
      <c r="B16" s="57" t="s">
        <v>97</v>
      </c>
      <c r="C16" s="58" t="s">
        <v>159</v>
      </c>
      <c r="G16" s="60">
        <v>43776.0</v>
      </c>
      <c r="H16" s="59">
        <v>0.5</v>
      </c>
      <c r="J16" s="59">
        <v>0.5208333333333334</v>
      </c>
      <c r="K16" s="61">
        <f t="shared" si="1"/>
        <v>0.02083333333</v>
      </c>
      <c r="L16" s="10" t="s">
        <v>105</v>
      </c>
      <c r="M16" s="57" t="s">
        <v>161</v>
      </c>
      <c r="N16" s="62" t="str">
        <f t="shared" si="2"/>
        <v>PS_7_1__000000_000000.mp4</v>
      </c>
      <c r="O16" s="48"/>
      <c r="P16" s="48"/>
      <c r="Q16" s="63"/>
    </row>
    <row r="17">
      <c r="A17" s="57" t="s">
        <v>162</v>
      </c>
      <c r="B17" s="57" t="s">
        <v>97</v>
      </c>
      <c r="C17" s="66" t="s">
        <v>163</v>
      </c>
      <c r="G17" s="60">
        <v>43776.0</v>
      </c>
      <c r="H17" s="59">
        <v>0.5833333333333334</v>
      </c>
      <c r="J17" s="59">
        <v>0.5972222222222222</v>
      </c>
      <c r="K17" s="61">
        <f t="shared" si="1"/>
        <v>0.01388888889</v>
      </c>
      <c r="L17" s="10" t="s">
        <v>109</v>
      </c>
      <c r="M17" s="57" t="s">
        <v>165</v>
      </c>
      <c r="N17" s="62" t="str">
        <f t="shared" si="2"/>
        <v>PS_7_2__000000_000000.mp4</v>
      </c>
      <c r="O17" s="48"/>
      <c r="P17" s="48"/>
      <c r="Q17" s="63"/>
    </row>
    <row r="18">
      <c r="A18" s="57" t="s">
        <v>167</v>
      </c>
      <c r="B18" s="64" t="s">
        <v>97</v>
      </c>
      <c r="C18" s="58" t="s">
        <v>168</v>
      </c>
      <c r="G18" s="60">
        <v>43776.0</v>
      </c>
      <c r="H18" s="59">
        <v>0.6111111111111112</v>
      </c>
      <c r="J18" s="59">
        <v>0.6180555555555556</v>
      </c>
      <c r="K18" s="61">
        <f t="shared" si="1"/>
        <v>0.006944444444</v>
      </c>
      <c r="L18" s="10" t="s">
        <v>122</v>
      </c>
      <c r="M18" s="57" t="s">
        <v>169</v>
      </c>
      <c r="N18" s="62" t="str">
        <f t="shared" si="2"/>
        <v>PS_7_3__000000_000000.mp4</v>
      </c>
      <c r="O18" s="48"/>
      <c r="P18" s="48"/>
      <c r="Q18" s="63"/>
    </row>
  </sheetData>
  <conditionalFormatting sqref="O2:O18">
    <cfRule type="containsText" dxfId="4" priority="1" operator="containsText" text="YES">
      <formula>NOT(ISERROR(SEARCH(("YES"),(O2))))</formula>
    </cfRule>
  </conditionalFormatting>
  <conditionalFormatting sqref="O2:O18">
    <cfRule type="cellIs" dxfId="5" priority="2" operator="equal">
      <formula>"NO"</formula>
    </cfRule>
  </conditionalFormatting>
  <conditionalFormatting sqref="P2:Q18">
    <cfRule type="cellIs" dxfId="4" priority="3" operator="equal">
      <formula>"AVAILABLE"</formula>
    </cfRule>
  </conditionalFormatting>
  <conditionalFormatting sqref="P2:Q18">
    <cfRule type="cellIs" dxfId="5" priority="4" operator="equal">
      <formula>"NOT AVAILABLE"</formula>
    </cfRule>
  </conditionalFormatting>
  <conditionalFormatting sqref="Q2:Q18">
    <cfRule type="cellIs" dxfId="4" priority="5" operator="equal">
      <formula>"AVAILABLE"</formula>
    </cfRule>
  </conditionalFormatting>
  <conditionalFormatting sqref="Q2:Q18">
    <cfRule type="cellIs" dxfId="6" priority="6" operator="equal">
      <formula>"UPLOADING"</formula>
    </cfRule>
  </conditionalFormatting>
  <conditionalFormatting sqref="Q2:Q18">
    <cfRule type="cellIs" dxfId="5" priority="7" operator="equal">
      <formula>"NOT AVAILABLE"</formula>
    </cfRule>
  </conditionalFormatting>
  <dataValidations>
    <dataValidation type="list" allowBlank="1" sqref="O2:O18">
      <formula1>"YES,NO"</formula1>
    </dataValidation>
    <dataValidation type="list" allowBlank="1" sqref="P2:P18">
      <formula1>"AVAILABLE,NOT AVAILABLE"</formula1>
    </dataValidation>
    <dataValidation type="list" allowBlank="1" sqref="Q2:Q18">
      <formula1>"AVAILABLE,UPLOADING,NOT AVAILABLE"</formula1>
    </dataValidation>
  </dataValidation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sheetViews>
  <sheetFormatPr customHeight="1" defaultColWidth="14.43" defaultRowHeight="15.75"/>
  <cols>
    <col customWidth="1" min="1" max="1" width="40.14"/>
    <col customWidth="1" min="3" max="3" width="17.29"/>
    <col hidden="1" min="4" max="5" width="14.43"/>
    <col hidden="1" min="9" max="9" width="14.43"/>
  </cols>
  <sheetData>
    <row r="1">
      <c r="A1" s="55" t="s">
        <v>79</v>
      </c>
      <c r="B1" s="55" t="s">
        <v>80</v>
      </c>
      <c r="C1" s="67" t="s">
        <v>81</v>
      </c>
      <c r="D1" s="55" t="s">
        <v>82</v>
      </c>
      <c r="E1" s="55" t="s">
        <v>83</v>
      </c>
      <c r="F1" s="55" t="s">
        <v>84</v>
      </c>
      <c r="G1" s="55" t="s">
        <v>85</v>
      </c>
      <c r="H1" s="55" t="s">
        <v>86</v>
      </c>
      <c r="I1" s="55" t="s">
        <v>87</v>
      </c>
      <c r="J1" s="55" t="s">
        <v>88</v>
      </c>
      <c r="K1" s="55" t="s">
        <v>89</v>
      </c>
      <c r="L1" s="55" t="s">
        <v>90</v>
      </c>
      <c r="M1" s="46" t="s">
        <v>91</v>
      </c>
      <c r="N1" s="46" t="s">
        <v>92</v>
      </c>
      <c r="O1" s="48" t="s">
        <v>93</v>
      </c>
      <c r="P1" s="48" t="s">
        <v>94</v>
      </c>
      <c r="Q1" s="48" t="s">
        <v>95</v>
      </c>
    </row>
    <row r="2">
      <c r="A2" s="57" t="s">
        <v>177</v>
      </c>
      <c r="B2" s="57" t="s">
        <v>178</v>
      </c>
      <c r="C2" s="68" t="s">
        <v>179</v>
      </c>
      <c r="G2" s="60">
        <v>43774.0</v>
      </c>
      <c r="H2" s="59">
        <v>0.5208333333333334</v>
      </c>
      <c r="J2" s="59">
        <v>0.53125</v>
      </c>
      <c r="K2" s="61">
        <f t="shared" ref="K2:K7" si="1">J2-H2</f>
        <v>0.01041666667</v>
      </c>
      <c r="L2" s="8" t="str">
        <f t="array" ref="L2:L7">TEXT(K2:K7,"hhmmss")</f>
        <v>001500</v>
      </c>
      <c r="M2" s="62" t="s">
        <v>181</v>
      </c>
      <c r="N2" s="62" t="str">
        <f t="shared" ref="N2:N7" si="2">CONCATENATE(M2,"_",F2,"_","000000_000000.mp4")</f>
        <v>QA_5_1__000000_000000.mp4</v>
      </c>
      <c r="O2" s="48"/>
      <c r="P2" s="48"/>
      <c r="Q2" s="63"/>
    </row>
    <row r="3">
      <c r="A3" s="57" t="s">
        <v>183</v>
      </c>
      <c r="B3" s="57" t="s">
        <v>178</v>
      </c>
      <c r="C3" s="68" t="s">
        <v>184</v>
      </c>
      <c r="G3" s="60">
        <v>43774.0</v>
      </c>
      <c r="H3" s="59">
        <v>0.6041666666666666</v>
      </c>
      <c r="J3" s="59">
        <v>0.6145833333333334</v>
      </c>
      <c r="K3" s="61">
        <f t="shared" si="1"/>
        <v>0.01041666667</v>
      </c>
      <c r="L3" s="10" t="s">
        <v>118</v>
      </c>
      <c r="M3" s="62" t="s">
        <v>185</v>
      </c>
      <c r="N3" s="62" t="str">
        <f t="shared" si="2"/>
        <v>QA_5_2__000000_000000.mp4</v>
      </c>
      <c r="O3" s="48"/>
      <c r="P3" s="48"/>
      <c r="Q3" s="63"/>
    </row>
    <row r="4">
      <c r="A4" s="57" t="s">
        <v>186</v>
      </c>
      <c r="B4" s="57" t="s">
        <v>178</v>
      </c>
      <c r="C4" s="68" t="s">
        <v>187</v>
      </c>
      <c r="G4" s="60">
        <v>43774.0</v>
      </c>
      <c r="H4" s="59">
        <v>0.6354166666666666</v>
      </c>
      <c r="J4" s="59">
        <v>0.6458333333333334</v>
      </c>
      <c r="K4" s="61">
        <f t="shared" si="1"/>
        <v>0.01041666667</v>
      </c>
      <c r="L4" s="10" t="s">
        <v>118</v>
      </c>
      <c r="M4" s="62" t="s">
        <v>188</v>
      </c>
      <c r="N4" s="62" t="str">
        <f t="shared" si="2"/>
        <v>QA_5_3__000000_000000.mp4</v>
      </c>
      <c r="O4" s="48"/>
      <c r="P4" s="48"/>
      <c r="Q4" s="63"/>
    </row>
    <row r="5">
      <c r="A5" s="57" t="s">
        <v>189</v>
      </c>
      <c r="B5" s="57" t="s">
        <v>178</v>
      </c>
      <c r="C5" s="68" t="s">
        <v>190</v>
      </c>
      <c r="G5" s="60">
        <v>43775.0</v>
      </c>
      <c r="H5" s="59">
        <v>0.6145833333333334</v>
      </c>
      <c r="J5" s="59">
        <v>0.625</v>
      </c>
      <c r="K5" s="61">
        <f t="shared" si="1"/>
        <v>0.01041666667</v>
      </c>
      <c r="L5" s="10" t="s">
        <v>118</v>
      </c>
      <c r="M5" s="57" t="s">
        <v>191</v>
      </c>
      <c r="N5" s="62" t="str">
        <f t="shared" si="2"/>
        <v>QA_6_1__000000_000000.mp4</v>
      </c>
      <c r="O5" s="48"/>
      <c r="P5" s="48"/>
      <c r="Q5" s="63"/>
    </row>
    <row r="6">
      <c r="A6" s="57" t="s">
        <v>192</v>
      </c>
      <c r="B6" s="57" t="s">
        <v>178</v>
      </c>
      <c r="C6" s="68" t="s">
        <v>194</v>
      </c>
      <c r="G6" s="60">
        <v>43776.0</v>
      </c>
      <c r="H6" s="59">
        <v>0.3958333333333333</v>
      </c>
      <c r="J6" s="59">
        <v>0.40625</v>
      </c>
      <c r="K6" s="61">
        <f t="shared" si="1"/>
        <v>0.01041666667</v>
      </c>
      <c r="L6" s="10" t="s">
        <v>118</v>
      </c>
      <c r="M6" s="57" t="s">
        <v>195</v>
      </c>
      <c r="N6" s="62" t="str">
        <f t="shared" si="2"/>
        <v>QA_7_1__000000_000000.mp4</v>
      </c>
      <c r="O6" s="48"/>
      <c r="P6" s="48"/>
      <c r="Q6" s="63"/>
    </row>
    <row r="7">
      <c r="A7" s="57" t="s">
        <v>196</v>
      </c>
      <c r="B7" s="57" t="s">
        <v>178</v>
      </c>
      <c r="C7" s="68" t="s">
        <v>197</v>
      </c>
      <c r="G7" s="60">
        <v>43776.0</v>
      </c>
      <c r="H7" s="59">
        <v>0.5208333333333334</v>
      </c>
      <c r="J7" s="59">
        <v>0.53125</v>
      </c>
      <c r="K7" s="61">
        <f t="shared" si="1"/>
        <v>0.01041666667</v>
      </c>
      <c r="L7" s="10" t="s">
        <v>118</v>
      </c>
      <c r="M7" s="57" t="s">
        <v>198</v>
      </c>
      <c r="N7" s="62" t="str">
        <f t="shared" si="2"/>
        <v>QA_7_2__000000_000000.mp4</v>
      </c>
      <c r="O7" s="48"/>
      <c r="P7" s="48"/>
      <c r="Q7" s="63"/>
    </row>
  </sheetData>
  <conditionalFormatting sqref="O2:O7">
    <cfRule type="containsText" dxfId="4" priority="1" operator="containsText" text="YES">
      <formula>NOT(ISERROR(SEARCH(("YES"),(O2))))</formula>
    </cfRule>
  </conditionalFormatting>
  <conditionalFormatting sqref="O2:O7">
    <cfRule type="cellIs" dxfId="5" priority="2" operator="equal">
      <formula>"NO"</formula>
    </cfRule>
  </conditionalFormatting>
  <conditionalFormatting sqref="P2:Q7">
    <cfRule type="cellIs" dxfId="4" priority="3" operator="equal">
      <formula>"AVAILABLE"</formula>
    </cfRule>
  </conditionalFormatting>
  <conditionalFormatting sqref="P2:Q7">
    <cfRule type="cellIs" dxfId="5" priority="4" operator="equal">
      <formula>"NOT AVAILABLE"</formula>
    </cfRule>
  </conditionalFormatting>
  <conditionalFormatting sqref="Q2:Q7">
    <cfRule type="cellIs" dxfId="4" priority="5" operator="equal">
      <formula>"AVAILABLE"</formula>
    </cfRule>
  </conditionalFormatting>
  <conditionalFormatting sqref="Q2:Q7">
    <cfRule type="cellIs" dxfId="6" priority="6" operator="equal">
      <formula>"UPLOADING"</formula>
    </cfRule>
  </conditionalFormatting>
  <conditionalFormatting sqref="Q2:Q7">
    <cfRule type="cellIs" dxfId="5" priority="7" operator="equal">
      <formula>"NOT AVAILABLE"</formula>
    </cfRule>
  </conditionalFormatting>
  <dataValidations>
    <dataValidation type="list" allowBlank="1" sqref="O2:O7">
      <formula1>"YES,NO"</formula1>
    </dataValidation>
    <dataValidation type="list" allowBlank="1" sqref="P2:P7">
      <formula1>"AVAILABLE,NOT AVAILABLE"</formula1>
    </dataValidation>
    <dataValidation type="list" allowBlank="1" sqref="Q2:Q7">
      <formula1>"AVAILABLE,UPLOADING,NOT AVAILABLE"</formula1>
    </dataValidation>
  </dataValidation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9.14"/>
    <col customWidth="1" min="3" max="3" width="20.0"/>
    <col hidden="1" min="4" max="5" width="14.43"/>
    <col customWidth="1" min="6" max="6" width="36.43"/>
    <col hidden="1" min="9" max="9" width="14.43"/>
    <col customWidth="1" min="14" max="14" width="30.14"/>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'SportsTrade' ORDER BY F"")"),"Opening remarks")</f>
        <v>Opening remarks</v>
      </c>
      <c r="B2" s="49" t="str">
        <f>IFERROR(__xludf.DUMMYFUNCTION("""COMPUTED_VALUE"""),"SportsTrade")</f>
        <v>SportsTrade</v>
      </c>
      <c r="C2" s="51" t="str">
        <f>IFERROR(__xludf.DUMMYFUNCTION("""COMPUTED_VALUE"""),"Nuno Gomes")</f>
        <v>Nuno Gomes</v>
      </c>
      <c r="D2" s="49" t="str">
        <f>IFERROR(__xludf.DUMMYFUNCTION("""COMPUTED_VALUE"""),"2019/11/05 10:25:00")</f>
        <v>2019/11/05 10:25:00</v>
      </c>
      <c r="E2" s="49" t="str">
        <f>IFERROR(__xludf.DUMMYFUNCTION("""COMPUTED_VALUE"""),"2019/11/05 10:30:00")</f>
        <v>2019/11/05 10:30:00</v>
      </c>
      <c r="F2" s="49" t="str">
        <f>IFERROR(__xludf.DUMMYFUNCTION("""COMPUTED_VALUE"""),"c5a3397c-cd6a-4900-90a7-f17132c97a77")</f>
        <v>c5a3397c-cd6a-4900-90a7-f17132c97a77</v>
      </c>
      <c r="G2" s="54">
        <f>IFERROR(__xludf.DUMMYFUNCTION("ARRAYFORMULA(SPLIT(D2:D533,"" ""))"),43774.0)</f>
        <v>43774</v>
      </c>
      <c r="H2" s="53">
        <f>IFERROR(__xludf.DUMMYFUNCTION("""COMPUTED_VALUE"""),0.4340277777777778)</f>
        <v>0.4340277778</v>
      </c>
      <c r="I2" s="54">
        <f>IFERROR(__xludf.DUMMYFUNCTION("ARRAYFORMULA(SPLIT(E2:E533,"" ""))"),43774.0)</f>
        <v>43774</v>
      </c>
      <c r="J2" s="53">
        <f>IFERROR(__xludf.DUMMYFUNCTION("""COMPUTED_VALUE"""),0.4375)</f>
        <v>0.4375</v>
      </c>
      <c r="K2" s="53">
        <f t="shared" ref="K2:K31" si="1">J2-H2</f>
        <v>0.003472222222</v>
      </c>
      <c r="L2" s="50" t="str">
        <f t="array" ref="L2:L533">TEXT(K2:K533,"hhmmss")</f>
        <v>000500</v>
      </c>
      <c r="M2" s="62" t="s">
        <v>211</v>
      </c>
      <c r="N2" s="62" t="str">
        <f t="shared" ref="N2:N21" si="2">CONCATENATE(M2,"_",F2,"_","000000_000000.mp4")</f>
        <v>ST_5_1_c5a3397c-cd6a-4900-90a7-f17132c97a77_000000_000000.mp4</v>
      </c>
      <c r="O2" s="48"/>
      <c r="P2" s="48"/>
      <c r="Q2" s="63"/>
      <c r="R2" s="49"/>
      <c r="S2" s="49"/>
      <c r="T2" s="49"/>
    </row>
    <row r="3">
      <c r="A3" s="49" t="str">
        <f>IFERROR(__xludf.DUMMYFUNCTION("""COMPUTED_VALUE"""),"Inside Benfica: The standard setter in talent development")</f>
        <v>Inside Benfica: The standard setter in talent development</v>
      </c>
      <c r="B3" s="49" t="str">
        <f>IFERROR(__xludf.DUMMYFUNCTION("""COMPUTED_VALUE"""),"SportsTrade")</f>
        <v>SportsTrade</v>
      </c>
      <c r="C3" s="51" t="str">
        <f>IFERROR(__xludf.DUMMYFUNCTION("""COMPUTED_VALUE""")," , Pedro Marques and Pedro Pinto")</f>
        <v> , Pedro Marques and Pedro Pinto</v>
      </c>
      <c r="D3" s="49" t="str">
        <f>IFERROR(__xludf.DUMMYFUNCTION("""COMPUTED_VALUE"""),"2019/11/05 10:30:00")</f>
        <v>2019/11/05 10:30:00</v>
      </c>
      <c r="E3" s="49" t="str">
        <f>IFERROR(__xludf.DUMMYFUNCTION("""COMPUTED_VALUE"""),"2019/11/05 10:50:00")</f>
        <v>2019/11/05 10:50:00</v>
      </c>
      <c r="F3" s="49" t="str">
        <f>IFERROR(__xludf.DUMMYFUNCTION("""COMPUTED_VALUE"""),"95532c47-2a3d-4fa5-a4d4-21cf50b965f2")</f>
        <v>95532c47-2a3d-4fa5-a4d4-21cf50b965f2</v>
      </c>
      <c r="G3" s="52">
        <f>IFERROR(__xludf.DUMMYFUNCTION("""COMPUTED_VALUE"""),43774.0)</f>
        <v>43774</v>
      </c>
      <c r="H3" s="53">
        <f>IFERROR(__xludf.DUMMYFUNCTION("""COMPUTED_VALUE"""),0.4375)</f>
        <v>0.4375</v>
      </c>
      <c r="I3" s="52">
        <f>IFERROR(__xludf.DUMMYFUNCTION("""COMPUTED_VALUE"""),43774.0)</f>
        <v>43774</v>
      </c>
      <c r="J3" s="53">
        <f>IFERROR(__xludf.DUMMYFUNCTION("""COMPUTED_VALUE"""),0.4513888888888889)</f>
        <v>0.4513888889</v>
      </c>
      <c r="K3" s="53">
        <f t="shared" si="1"/>
        <v>0.01388888889</v>
      </c>
      <c r="L3" s="49" t="s">
        <v>109</v>
      </c>
      <c r="M3" s="62" t="s">
        <v>214</v>
      </c>
      <c r="N3" s="62" t="str">
        <f t="shared" si="2"/>
        <v>ST_5_2_95532c47-2a3d-4fa5-a4d4-21cf50b965f2_000000_000000.mp4</v>
      </c>
      <c r="O3" s="48"/>
      <c r="P3" s="48"/>
      <c r="Q3" s="63"/>
      <c r="R3" s="49"/>
      <c r="S3" s="49"/>
      <c r="T3" s="49"/>
    </row>
    <row r="4">
      <c r="A4" s="49" t="str">
        <f>IFERROR(__xludf.DUMMYFUNCTION("""COMPUTED_VALUE"""),"Wladimir Klitschko: From boxing champion to challenge master ")</f>
        <v>Wladimir Klitschko: From boxing champion to challenge master </v>
      </c>
      <c r="B4" s="49" t="str">
        <f>IFERROR(__xludf.DUMMYFUNCTION("""COMPUTED_VALUE"""),"SportsTrade")</f>
        <v>SportsTrade</v>
      </c>
      <c r="C4" s="51" t="str">
        <f>IFERROR(__xludf.DUMMYFUNCTION("""COMPUTED_VALUE"""),"Wladimir Klitschko and Sachin Nakrani")</f>
        <v>Wladimir Klitschko and Sachin Nakrani</v>
      </c>
      <c r="D4" s="49" t="str">
        <f>IFERROR(__xludf.DUMMYFUNCTION("""COMPUTED_VALUE"""),"2019/11/05 10:50:00")</f>
        <v>2019/11/05 10:50:00</v>
      </c>
      <c r="E4" s="49" t="str">
        <f>IFERROR(__xludf.DUMMYFUNCTION("""COMPUTED_VALUE"""),"2019/11/05 11:05:00")</f>
        <v>2019/11/05 11:05:00</v>
      </c>
      <c r="F4" s="49" t="str">
        <f>IFERROR(__xludf.DUMMYFUNCTION("""COMPUTED_VALUE"""),"d8cb4530-6628-447a-b84e-d57bff0d3af2")</f>
        <v>d8cb4530-6628-447a-b84e-d57bff0d3af2</v>
      </c>
      <c r="G4" s="52">
        <f>IFERROR(__xludf.DUMMYFUNCTION("""COMPUTED_VALUE"""),43774.0)</f>
        <v>43774</v>
      </c>
      <c r="H4" s="53">
        <f>IFERROR(__xludf.DUMMYFUNCTION("""COMPUTED_VALUE"""),0.4513888888888889)</f>
        <v>0.4513888889</v>
      </c>
      <c r="I4" s="52">
        <f>IFERROR(__xludf.DUMMYFUNCTION("""COMPUTED_VALUE"""),43774.0)</f>
        <v>43774</v>
      </c>
      <c r="J4" s="53">
        <f>IFERROR(__xludf.DUMMYFUNCTION("""COMPUTED_VALUE"""),0.4618055555555556)</f>
        <v>0.4618055556</v>
      </c>
      <c r="K4" s="53">
        <f t="shared" si="1"/>
        <v>0.01041666667</v>
      </c>
      <c r="L4" s="49" t="s">
        <v>118</v>
      </c>
      <c r="M4" s="62" t="s">
        <v>216</v>
      </c>
      <c r="N4" s="62" t="str">
        <f t="shared" si="2"/>
        <v>ST_5_3_d8cb4530-6628-447a-b84e-d57bff0d3af2_000000_000000.mp4</v>
      </c>
      <c r="O4" s="48"/>
      <c r="P4" s="48"/>
      <c r="Q4" s="63"/>
      <c r="R4" s="49"/>
      <c r="S4" s="49"/>
      <c r="T4" s="49"/>
    </row>
    <row r="5">
      <c r="A5" s="49" t="str">
        <f>IFERROR(__xludf.DUMMYFUNCTION("""COMPUTED_VALUE"""),"Women's sport revolution: Inside the World Cup")</f>
        <v>Women's sport revolution: Inside the World Cup</v>
      </c>
      <c r="B5" s="49" t="str">
        <f>IFERROR(__xludf.DUMMYFUNCTION("""COMPUTED_VALUE"""),"SportsTrade")</f>
        <v>SportsTrade</v>
      </c>
      <c r="C5" s="51" t="str">
        <f>IFERROR(__xludf.DUMMYFUNCTION("""COMPUTED_VALUE"""),"Barbara Slater, Meghan Klingenberg, Jenny Wang, Eniola Aluko and Daniel Macaulay")</f>
        <v>Barbara Slater, Meghan Klingenberg, Jenny Wang, Eniola Aluko and Daniel Macaulay</v>
      </c>
      <c r="D5" s="49" t="str">
        <f>IFERROR(__xludf.DUMMYFUNCTION("""COMPUTED_VALUE"""),"2019/11/05 11:05:00")</f>
        <v>2019/11/05 11:05:00</v>
      </c>
      <c r="E5" s="49" t="str">
        <f>IFERROR(__xludf.DUMMYFUNCTION("""COMPUTED_VALUE"""),"2019/11/05 11:25:00")</f>
        <v>2019/11/05 11:25:00</v>
      </c>
      <c r="F5" s="49" t="str">
        <f>IFERROR(__xludf.DUMMYFUNCTION("""COMPUTED_VALUE"""),"879df1db-b60b-450c-af2a-bf48089803aa")</f>
        <v>879df1db-b60b-450c-af2a-bf48089803aa</v>
      </c>
      <c r="G5" s="52">
        <f>IFERROR(__xludf.DUMMYFUNCTION("""COMPUTED_VALUE"""),43774.0)</f>
        <v>43774</v>
      </c>
      <c r="H5" s="53">
        <f>IFERROR(__xludf.DUMMYFUNCTION("""COMPUTED_VALUE"""),0.4618055555555556)</f>
        <v>0.4618055556</v>
      </c>
      <c r="I5" s="52">
        <f>IFERROR(__xludf.DUMMYFUNCTION("""COMPUTED_VALUE"""),43774.0)</f>
        <v>43774</v>
      </c>
      <c r="J5" s="53">
        <f>IFERROR(__xludf.DUMMYFUNCTION("""COMPUTED_VALUE"""),0.4756944444444444)</f>
        <v>0.4756944444</v>
      </c>
      <c r="K5" s="53">
        <f t="shared" si="1"/>
        <v>0.01388888889</v>
      </c>
      <c r="L5" s="49" t="s">
        <v>109</v>
      </c>
      <c r="M5" s="62" t="s">
        <v>218</v>
      </c>
      <c r="N5" s="62" t="str">
        <f t="shared" si="2"/>
        <v>ST_5_4_879df1db-b60b-450c-af2a-bf48089803aa_000000_000000.mp4</v>
      </c>
      <c r="O5" s="48"/>
      <c r="P5" s="48"/>
      <c r="Q5" s="63"/>
      <c r="R5" s="49"/>
      <c r="S5" s="49"/>
      <c r="T5" s="49"/>
    </row>
    <row r="6">
      <c r="A6" s="49" t="str">
        <f>IFERROR(__xludf.DUMMYFUNCTION("""COMPUTED_VALUE"""),"eSports: Roadmapping the future")</f>
        <v>eSports: Roadmapping the future</v>
      </c>
      <c r="B6" s="49" t="str">
        <f>IFERROR(__xludf.DUMMYFUNCTION("""COMPUTED_VALUE"""),"SportsTrade")</f>
        <v>SportsTrade</v>
      </c>
      <c r="C6" s="51" t="str">
        <f>IFERROR(__xludf.DUMMYFUNCTION("""COMPUTED_VALUE"""),"Sergey Portnov, Bruce Stein and Rob Harris")</f>
        <v>Sergey Portnov, Bruce Stein and Rob Harris</v>
      </c>
      <c r="D6" s="49" t="str">
        <f>IFERROR(__xludf.DUMMYFUNCTION("""COMPUTED_VALUE"""),"2019/11/05 11:25:00")</f>
        <v>2019/11/05 11:25:00</v>
      </c>
      <c r="E6" s="49" t="str">
        <f>IFERROR(__xludf.DUMMYFUNCTION("""COMPUTED_VALUE"""),"2019/11/05 11:45:00")</f>
        <v>2019/11/05 11:45:00</v>
      </c>
      <c r="F6" s="49" t="str">
        <f>IFERROR(__xludf.DUMMYFUNCTION("""COMPUTED_VALUE"""),"d79d3ddd-1b99-4cb5-aa70-d337d3802bf3")</f>
        <v>d79d3ddd-1b99-4cb5-aa70-d337d3802bf3</v>
      </c>
      <c r="G6" s="52">
        <f>IFERROR(__xludf.DUMMYFUNCTION("""COMPUTED_VALUE"""),43774.0)</f>
        <v>43774</v>
      </c>
      <c r="H6" s="53">
        <f>IFERROR(__xludf.DUMMYFUNCTION("""COMPUTED_VALUE"""),0.4756944444444444)</f>
        <v>0.4756944444</v>
      </c>
      <c r="I6" s="52">
        <f>IFERROR(__xludf.DUMMYFUNCTION("""COMPUTED_VALUE"""),43774.0)</f>
        <v>43774</v>
      </c>
      <c r="J6" s="53">
        <f>IFERROR(__xludf.DUMMYFUNCTION("""COMPUTED_VALUE"""),0.4895833333333333)</f>
        <v>0.4895833333</v>
      </c>
      <c r="K6" s="53">
        <f t="shared" si="1"/>
        <v>0.01388888889</v>
      </c>
      <c r="L6" s="49" t="s">
        <v>109</v>
      </c>
      <c r="M6" s="62" t="s">
        <v>219</v>
      </c>
      <c r="N6" s="62" t="str">
        <f t="shared" si="2"/>
        <v>ST_5_5_d79d3ddd-1b99-4cb5-aa70-d337d3802bf3_000000_000000.mp4</v>
      </c>
      <c r="O6" s="48"/>
      <c r="P6" s="48"/>
      <c r="Q6" s="63"/>
      <c r="R6" s="49"/>
      <c r="S6" s="49"/>
      <c r="T6" s="49"/>
    </row>
    <row r="7">
      <c r="A7" s="49" t="str">
        <f>IFERROR(__xludf.DUMMYFUNCTION("""COMPUTED_VALUE"""),"The changing face of TV Sports")</f>
        <v>The changing face of TV Sports</v>
      </c>
      <c r="B7" s="49" t="str">
        <f>IFERROR(__xludf.DUMMYFUNCTION("""COMPUTED_VALUE"""),"SportsTrade")</f>
        <v>SportsTrade</v>
      </c>
      <c r="C7" s="51" t="str">
        <f>IFERROR(__xludf.DUMMYFUNCTION("""COMPUTED_VALUE"""),"Baron Davis, Zack Weiner and Michael Spirito")</f>
        <v>Baron Davis, Zack Weiner and Michael Spirito</v>
      </c>
      <c r="D7" s="49" t="str">
        <f>IFERROR(__xludf.DUMMYFUNCTION("""COMPUTED_VALUE"""),"2019/11/05 11:45:00")</f>
        <v>2019/11/05 11:45:00</v>
      </c>
      <c r="E7" s="49" t="str">
        <f>IFERROR(__xludf.DUMMYFUNCTION("""COMPUTED_VALUE"""),"2019/11/05 12:05:00")</f>
        <v>2019/11/05 12:05:00</v>
      </c>
      <c r="F7" s="49" t="str">
        <f>IFERROR(__xludf.DUMMYFUNCTION("""COMPUTED_VALUE"""),"59cc6a20-06d0-4e50-867f-655066403c91")</f>
        <v>59cc6a20-06d0-4e50-867f-655066403c91</v>
      </c>
      <c r="G7" s="52">
        <f>IFERROR(__xludf.DUMMYFUNCTION("""COMPUTED_VALUE"""),43774.0)</f>
        <v>43774</v>
      </c>
      <c r="H7" s="53">
        <f>IFERROR(__xludf.DUMMYFUNCTION("""COMPUTED_VALUE"""),0.4895833333333333)</f>
        <v>0.4895833333</v>
      </c>
      <c r="I7" s="52">
        <f>IFERROR(__xludf.DUMMYFUNCTION("""COMPUTED_VALUE"""),43774.0)</f>
        <v>43774</v>
      </c>
      <c r="J7" s="53">
        <f>IFERROR(__xludf.DUMMYFUNCTION("""COMPUTED_VALUE"""),0.5034722222222222)</f>
        <v>0.5034722222</v>
      </c>
      <c r="K7" s="53">
        <f t="shared" si="1"/>
        <v>0.01388888889</v>
      </c>
      <c r="L7" s="49" t="s">
        <v>109</v>
      </c>
      <c r="M7" s="62" t="s">
        <v>221</v>
      </c>
      <c r="N7" s="62" t="str">
        <f t="shared" si="2"/>
        <v>ST_5_6_59cc6a20-06d0-4e50-867f-655066403c91_000000_000000.mp4</v>
      </c>
      <c r="O7" s="48"/>
      <c r="P7" s="48"/>
      <c r="Q7" s="63"/>
      <c r="R7" s="49"/>
      <c r="S7" s="49"/>
      <c r="T7" s="49"/>
    </row>
    <row r="8">
      <c r="A8" s="49" t="str">
        <f>IFERROR(__xludf.DUMMYFUNCTION("""COMPUTED_VALUE"""),"Jessica Ennis-Hill: A winner's guide to business")</f>
        <v>Jessica Ennis-Hill: A winner's guide to business</v>
      </c>
      <c r="B8" s="49" t="str">
        <f>IFERROR(__xludf.DUMMYFUNCTION("""COMPUTED_VALUE"""),"SportsTrade")</f>
        <v>SportsTrade</v>
      </c>
      <c r="C8" s="51" t="str">
        <f>IFERROR(__xludf.DUMMYFUNCTION("""COMPUTED_VALUE"""),"Jessica Ennis-Hill and Ger Gilroy")</f>
        <v>Jessica Ennis-Hill and Ger Gilroy</v>
      </c>
      <c r="D8" s="49" t="str">
        <f>IFERROR(__xludf.DUMMYFUNCTION("""COMPUTED_VALUE"""),"2019/11/05 12:05:00")</f>
        <v>2019/11/05 12:05:00</v>
      </c>
      <c r="E8" s="49" t="str">
        <f>IFERROR(__xludf.DUMMYFUNCTION("""COMPUTED_VALUE"""),"2019/11/05 12:20:00")</f>
        <v>2019/11/05 12:20:00</v>
      </c>
      <c r="F8" s="49" t="str">
        <f>IFERROR(__xludf.DUMMYFUNCTION("""COMPUTED_VALUE"""),"1a071c7c-02b4-40f5-897b-84aaabadacd2")</f>
        <v>1a071c7c-02b4-40f5-897b-84aaabadacd2</v>
      </c>
      <c r="G8" s="52">
        <f>IFERROR(__xludf.DUMMYFUNCTION("""COMPUTED_VALUE"""),43774.0)</f>
        <v>43774</v>
      </c>
      <c r="H8" s="53">
        <f>IFERROR(__xludf.DUMMYFUNCTION("""COMPUTED_VALUE"""),0.5034722222222222)</f>
        <v>0.5034722222</v>
      </c>
      <c r="I8" s="52">
        <f>IFERROR(__xludf.DUMMYFUNCTION("""COMPUTED_VALUE"""),43774.0)</f>
        <v>43774</v>
      </c>
      <c r="J8" s="53">
        <f>IFERROR(__xludf.DUMMYFUNCTION("""COMPUTED_VALUE"""),0.5138888888888888)</f>
        <v>0.5138888889</v>
      </c>
      <c r="K8" s="53">
        <f t="shared" si="1"/>
        <v>0.01041666667</v>
      </c>
      <c r="L8" s="49" t="s">
        <v>118</v>
      </c>
      <c r="M8" s="62" t="s">
        <v>222</v>
      </c>
      <c r="N8" s="62" t="str">
        <f t="shared" si="2"/>
        <v>ST_5_7_1a071c7c-02b4-40f5-897b-84aaabadacd2_000000_000000.mp4</v>
      </c>
      <c r="O8" s="48"/>
      <c r="P8" s="48"/>
      <c r="Q8" s="63"/>
      <c r="R8" s="49"/>
      <c r="S8" s="49"/>
      <c r="T8" s="49"/>
    </row>
    <row r="9">
      <c r="A9" s="49" t="str">
        <f>IFERROR(__xludf.DUMMYFUNCTION("""COMPUTED_VALUE"""),"FutureProofing Golf ")</f>
        <v>FutureProofing Golf </v>
      </c>
      <c r="B9" s="49" t="str">
        <f>IFERROR(__xludf.DUMMYFUNCTION("""COMPUTED_VALUE"""),"SportsTrade")</f>
        <v>SportsTrade</v>
      </c>
      <c r="C9" s="51" t="str">
        <f>IFERROR(__xludf.DUMMYFUNCTION("""COMPUTED_VALUE"""),"Mike McCarley, Keith Pelley and Rob Harris")</f>
        <v>Mike McCarley, Keith Pelley and Rob Harris</v>
      </c>
      <c r="D9" s="49" t="str">
        <f>IFERROR(__xludf.DUMMYFUNCTION("""COMPUTED_VALUE"""),"2019/11/05 12:20:00")</f>
        <v>2019/11/05 12:20:00</v>
      </c>
      <c r="E9" s="49" t="str">
        <f>IFERROR(__xludf.DUMMYFUNCTION("""COMPUTED_VALUE"""),"2019/11/05 12:40:00")</f>
        <v>2019/11/05 12:40:00</v>
      </c>
      <c r="F9" s="49" t="str">
        <f>IFERROR(__xludf.DUMMYFUNCTION("""COMPUTED_VALUE"""),"0708fd2b-82b4-403f-84b0-8bacd6d1cf2e")</f>
        <v>0708fd2b-82b4-403f-84b0-8bacd6d1cf2e</v>
      </c>
      <c r="G9" s="52">
        <f>IFERROR(__xludf.DUMMYFUNCTION("""COMPUTED_VALUE"""),43774.0)</f>
        <v>43774</v>
      </c>
      <c r="H9" s="53">
        <f>IFERROR(__xludf.DUMMYFUNCTION("""COMPUTED_VALUE"""),0.5138888888888888)</f>
        <v>0.5138888889</v>
      </c>
      <c r="I9" s="52">
        <f>IFERROR(__xludf.DUMMYFUNCTION("""COMPUTED_VALUE"""),43774.0)</f>
        <v>43774</v>
      </c>
      <c r="J9" s="53">
        <f>IFERROR(__xludf.DUMMYFUNCTION("""COMPUTED_VALUE"""),0.5277777777777778)</f>
        <v>0.5277777778</v>
      </c>
      <c r="K9" s="53">
        <f t="shared" si="1"/>
        <v>0.01388888889</v>
      </c>
      <c r="L9" s="49" t="s">
        <v>109</v>
      </c>
      <c r="M9" s="62" t="s">
        <v>225</v>
      </c>
      <c r="N9" s="62" t="str">
        <f t="shared" si="2"/>
        <v>ST_5_8_0708fd2b-82b4-403f-84b0-8bacd6d1cf2e_000000_000000.mp4</v>
      </c>
      <c r="O9" s="48"/>
      <c r="P9" s="48"/>
      <c r="Q9" s="63"/>
      <c r="R9" s="49"/>
      <c r="S9" s="49"/>
      <c r="T9" s="49"/>
    </row>
    <row r="10">
      <c r="A10" s="49" t="str">
        <f>IFERROR(__xludf.DUMMYFUNCTION("""COMPUTED_VALUE"""),"Lunch break")</f>
        <v>Lunch break</v>
      </c>
      <c r="B10" s="49" t="str">
        <f>IFERROR(__xludf.DUMMYFUNCTION("""COMPUTED_VALUE"""),"SportsTrade")</f>
        <v>SportsTrade</v>
      </c>
      <c r="C10" s="51" t="str">
        <f>IFERROR(__xludf.DUMMYFUNCTION("""COMPUTED_VALUE"""),"")</f>
        <v/>
      </c>
      <c r="D10" s="49" t="str">
        <f>IFERROR(__xludf.DUMMYFUNCTION("""COMPUTED_VALUE"""),"2019/11/05 12:40:00")</f>
        <v>2019/11/05 12:40:00</v>
      </c>
      <c r="E10" s="49" t="str">
        <f>IFERROR(__xludf.DUMMYFUNCTION("""COMPUTED_VALUE"""),"2019/11/05 13:10:00")</f>
        <v>2019/11/05 13:10:00</v>
      </c>
      <c r="F10" s="49" t="str">
        <f>IFERROR(__xludf.DUMMYFUNCTION("""COMPUTED_VALUE"""),"9e0a254e-4273-4c0f-96e1-ebc4e7d5b1b5")</f>
        <v>9e0a254e-4273-4c0f-96e1-ebc4e7d5b1b5</v>
      </c>
      <c r="G10" s="52">
        <f>IFERROR(__xludf.DUMMYFUNCTION("""COMPUTED_VALUE"""),43774.0)</f>
        <v>43774</v>
      </c>
      <c r="H10" s="53">
        <f>IFERROR(__xludf.DUMMYFUNCTION("""COMPUTED_VALUE"""),0.5277777777777778)</f>
        <v>0.5277777778</v>
      </c>
      <c r="I10" s="52">
        <f>IFERROR(__xludf.DUMMYFUNCTION("""COMPUTED_VALUE"""),43774.0)</f>
        <v>43774</v>
      </c>
      <c r="J10" s="53">
        <f>IFERROR(__xludf.DUMMYFUNCTION("""COMPUTED_VALUE"""),0.5486111111111112)</f>
        <v>0.5486111111</v>
      </c>
      <c r="K10" s="53">
        <f t="shared" si="1"/>
        <v>0.02083333333</v>
      </c>
      <c r="L10" s="49" t="s">
        <v>105</v>
      </c>
      <c r="M10" s="62"/>
      <c r="N10" s="62" t="str">
        <f t="shared" si="2"/>
        <v>_9e0a254e-4273-4c0f-96e1-ebc4e7d5b1b5_000000_000000.mp4</v>
      </c>
      <c r="O10" s="48"/>
      <c r="P10" s="48"/>
      <c r="Q10" s="63"/>
      <c r="R10" s="49"/>
      <c r="S10" s="49"/>
      <c r="T10" s="49"/>
    </row>
    <row r="11">
      <c r="A11" s="49" t="str">
        <f>IFERROR(__xludf.DUMMYFUNCTION("""COMPUTED_VALUE"""),"Opening remarks")</f>
        <v>Opening remarks</v>
      </c>
      <c r="B11" s="49" t="str">
        <f>IFERROR(__xludf.DUMMYFUNCTION("""COMPUTED_VALUE"""),"SportsTrade")</f>
        <v>SportsTrade</v>
      </c>
      <c r="C11" s="51" t="str">
        <f>IFERROR(__xludf.DUMMYFUNCTION("""COMPUTED_VALUE"""),"Bernard Brogan")</f>
        <v>Bernard Brogan</v>
      </c>
      <c r="D11" s="49" t="str">
        <f>IFERROR(__xludf.DUMMYFUNCTION("""COMPUTED_VALUE"""),"2019/11/05 13:10:00")</f>
        <v>2019/11/05 13:10:00</v>
      </c>
      <c r="E11" s="49" t="str">
        <f>IFERROR(__xludf.DUMMYFUNCTION("""COMPUTED_VALUE"""),"2019/11/05 13:15:00")</f>
        <v>2019/11/05 13:15:00</v>
      </c>
      <c r="F11" s="49" t="str">
        <f>IFERROR(__xludf.DUMMYFUNCTION("""COMPUTED_VALUE"""),"b6b29815-62f1-4ce8-b773-c4198035b84b")</f>
        <v>b6b29815-62f1-4ce8-b773-c4198035b84b</v>
      </c>
      <c r="G11" s="52">
        <f>IFERROR(__xludf.DUMMYFUNCTION("""COMPUTED_VALUE"""),43774.0)</f>
        <v>43774</v>
      </c>
      <c r="H11" s="53">
        <f>IFERROR(__xludf.DUMMYFUNCTION("""COMPUTED_VALUE"""),0.5486111111111112)</f>
        <v>0.5486111111</v>
      </c>
      <c r="I11" s="52">
        <f>IFERROR(__xludf.DUMMYFUNCTION("""COMPUTED_VALUE"""),43774.0)</f>
        <v>43774</v>
      </c>
      <c r="J11" s="53">
        <f>IFERROR(__xludf.DUMMYFUNCTION("""COMPUTED_VALUE"""),0.5520833333333334)</f>
        <v>0.5520833333</v>
      </c>
      <c r="K11" s="53">
        <f t="shared" si="1"/>
        <v>0.003472222222</v>
      </c>
      <c r="L11" s="49" t="s">
        <v>228</v>
      </c>
      <c r="M11" s="62" t="s">
        <v>229</v>
      </c>
      <c r="N11" s="62" t="str">
        <f t="shared" si="2"/>
        <v>ST_5_9_b6b29815-62f1-4ce8-b773-c4198035b84b_000000_000000.mp4</v>
      </c>
      <c r="O11" s="48"/>
      <c r="P11" s="48"/>
      <c r="Q11" s="63"/>
      <c r="R11" s="49"/>
      <c r="S11" s="49"/>
      <c r="T11" s="49"/>
    </row>
    <row r="12">
      <c r="A12" s="49" t="str">
        <f>IFERROR(__xludf.DUMMYFUNCTION("""COMPUTED_VALUE"""),"The business of football")</f>
        <v>The business of football</v>
      </c>
      <c r="B12" s="49" t="str">
        <f>IFERROR(__xludf.DUMMYFUNCTION("""COMPUTED_VALUE"""),"SportsTrade")</f>
        <v>SportsTrade</v>
      </c>
      <c r="C12" s="51" t="str">
        <f>IFERROR(__xludf.DUMMYFUNCTION("""COMPUTED_VALUE"""),"Sean O’Connor, José María Cruz, Pascal Chimbonda and Andy Mitten")</f>
        <v>Sean O’Connor, José María Cruz, Pascal Chimbonda and Andy Mitten</v>
      </c>
      <c r="D12" s="49" t="str">
        <f>IFERROR(__xludf.DUMMYFUNCTION("""COMPUTED_VALUE"""),"2019/11/05 13:15:00")</f>
        <v>2019/11/05 13:15:00</v>
      </c>
      <c r="E12" s="49" t="str">
        <f>IFERROR(__xludf.DUMMYFUNCTION("""COMPUTED_VALUE"""),"2019/11/05 13:35:00")</f>
        <v>2019/11/05 13:35:00</v>
      </c>
      <c r="F12" s="49" t="str">
        <f>IFERROR(__xludf.DUMMYFUNCTION("""COMPUTED_VALUE"""),"8c203e64-61bb-4e15-baa6-38e051d17d09")</f>
        <v>8c203e64-61bb-4e15-baa6-38e051d17d09</v>
      </c>
      <c r="G12" s="52">
        <f>IFERROR(__xludf.DUMMYFUNCTION("""COMPUTED_VALUE"""),43774.0)</f>
        <v>43774</v>
      </c>
      <c r="H12" s="53">
        <f>IFERROR(__xludf.DUMMYFUNCTION("""COMPUTED_VALUE"""),0.5520833333333334)</f>
        <v>0.5520833333</v>
      </c>
      <c r="I12" s="52">
        <f>IFERROR(__xludf.DUMMYFUNCTION("""COMPUTED_VALUE"""),43774.0)</f>
        <v>43774</v>
      </c>
      <c r="J12" s="53">
        <f>IFERROR(__xludf.DUMMYFUNCTION("""COMPUTED_VALUE"""),0.5659722222222222)</f>
        <v>0.5659722222</v>
      </c>
      <c r="K12" s="53">
        <f t="shared" si="1"/>
        <v>0.01388888889</v>
      </c>
      <c r="L12" s="49" t="s">
        <v>109</v>
      </c>
      <c r="M12" s="62" t="s">
        <v>231</v>
      </c>
      <c r="N12" s="62" t="str">
        <f t="shared" si="2"/>
        <v>ST_5_10_8c203e64-61bb-4e15-baa6-38e051d17d09_000000_000000.mp4</v>
      </c>
      <c r="O12" s="48"/>
      <c r="P12" s="48"/>
      <c r="Q12" s="63"/>
      <c r="R12" s="49"/>
      <c r="S12" s="49"/>
      <c r="T12" s="49"/>
    </row>
    <row r="13">
      <c r="A13" s="49" t="str">
        <f>IFERROR(__xludf.DUMMYFUNCTION("""COMPUTED_VALUE"""),"Walking with giants")</f>
        <v>Walking with giants</v>
      </c>
      <c r="B13" s="49" t="str">
        <f>IFERROR(__xludf.DUMMYFUNCTION("""COMPUTED_VALUE"""),"SportsTrade")</f>
        <v>SportsTrade</v>
      </c>
      <c r="C13" s="51" t="str">
        <f>IFERROR(__xludf.DUMMYFUNCTION("""COMPUTED_VALUE"""),"José Castro Carmona and Miguel Delaney")</f>
        <v>José Castro Carmona and Miguel Delaney</v>
      </c>
      <c r="D13" s="49" t="str">
        <f>IFERROR(__xludf.DUMMYFUNCTION("""COMPUTED_VALUE"""),"2019/11/05 13:35:00")</f>
        <v>2019/11/05 13:35:00</v>
      </c>
      <c r="E13" s="49" t="str">
        <f>IFERROR(__xludf.DUMMYFUNCTION("""COMPUTED_VALUE"""),"2019/11/05 13:45:00")</f>
        <v>2019/11/05 13:45:00</v>
      </c>
      <c r="F13" s="49" t="str">
        <f>IFERROR(__xludf.DUMMYFUNCTION("""COMPUTED_VALUE"""),"99acb01d-d63e-4c97-9084-01fe59f09bb0")</f>
        <v>99acb01d-d63e-4c97-9084-01fe59f09bb0</v>
      </c>
      <c r="G13" s="52">
        <f>IFERROR(__xludf.DUMMYFUNCTION("""COMPUTED_VALUE"""),43774.0)</f>
        <v>43774</v>
      </c>
      <c r="H13" s="53">
        <f>IFERROR(__xludf.DUMMYFUNCTION("""COMPUTED_VALUE"""),0.5659722222222222)</f>
        <v>0.5659722222</v>
      </c>
      <c r="I13" s="52">
        <f>IFERROR(__xludf.DUMMYFUNCTION("""COMPUTED_VALUE"""),43774.0)</f>
        <v>43774</v>
      </c>
      <c r="J13" s="53">
        <f>IFERROR(__xludf.DUMMYFUNCTION("""COMPUTED_VALUE"""),0.5729166666666666)</f>
        <v>0.5729166667</v>
      </c>
      <c r="K13" s="53">
        <f t="shared" si="1"/>
        <v>0.006944444444</v>
      </c>
      <c r="L13" s="49" t="s">
        <v>122</v>
      </c>
      <c r="M13" s="62" t="s">
        <v>234</v>
      </c>
      <c r="N13" s="62" t="str">
        <f t="shared" si="2"/>
        <v>ST_5_11_99acb01d-d63e-4c97-9084-01fe59f09bb0_000000_000000.mp4</v>
      </c>
      <c r="O13" s="48"/>
      <c r="P13" s="48"/>
      <c r="Q13" s="63"/>
      <c r="R13" s="49"/>
      <c r="S13" s="49"/>
      <c r="T13" s="49"/>
    </row>
    <row r="14">
      <c r="A14" s="49" t="str">
        <f>IFERROR(__xludf.DUMMYFUNCTION("""COMPUTED_VALUE"""),"Ronaldinho: Reimagining the beautiful game ")</f>
        <v>Ronaldinho: Reimagining the beautiful game </v>
      </c>
      <c r="B14" s="49" t="str">
        <f>IFERROR(__xludf.DUMMYFUNCTION("""COMPUTED_VALUE"""),"SportsTrade")</f>
        <v>SportsTrade</v>
      </c>
      <c r="C14" s="51" t="str">
        <f>IFERROR(__xludf.DUMMYFUNCTION("""COMPUTED_VALUE""")," , Viktor Huszar and Pedro Pinto")</f>
        <v> , Viktor Huszar and Pedro Pinto</v>
      </c>
      <c r="D14" s="49" t="str">
        <f>IFERROR(__xludf.DUMMYFUNCTION("""COMPUTED_VALUE"""),"2019/11/05 13:45:00")</f>
        <v>2019/11/05 13:45:00</v>
      </c>
      <c r="E14" s="49" t="str">
        <f>IFERROR(__xludf.DUMMYFUNCTION("""COMPUTED_VALUE"""),"2019/11/05 14:05:00")</f>
        <v>2019/11/05 14:05:00</v>
      </c>
      <c r="F14" s="49" t="str">
        <f>IFERROR(__xludf.DUMMYFUNCTION("""COMPUTED_VALUE"""),"79dca639-2de9-4ac3-8b32-6b854f29d659")</f>
        <v>79dca639-2de9-4ac3-8b32-6b854f29d659</v>
      </c>
      <c r="G14" s="52">
        <f>IFERROR(__xludf.DUMMYFUNCTION("""COMPUTED_VALUE"""),43774.0)</f>
        <v>43774</v>
      </c>
      <c r="H14" s="53">
        <f>IFERROR(__xludf.DUMMYFUNCTION("""COMPUTED_VALUE"""),0.5729166666666666)</f>
        <v>0.5729166667</v>
      </c>
      <c r="I14" s="52">
        <f>IFERROR(__xludf.DUMMYFUNCTION("""COMPUTED_VALUE"""),43774.0)</f>
        <v>43774</v>
      </c>
      <c r="J14" s="53">
        <f>IFERROR(__xludf.DUMMYFUNCTION("""COMPUTED_VALUE"""),0.5868055555555556)</f>
        <v>0.5868055556</v>
      </c>
      <c r="K14" s="53">
        <f t="shared" si="1"/>
        <v>0.01388888889</v>
      </c>
      <c r="L14" s="49" t="s">
        <v>109</v>
      </c>
      <c r="M14" s="62" t="s">
        <v>237</v>
      </c>
      <c r="N14" s="62" t="str">
        <f t="shared" si="2"/>
        <v>ST_5_12_79dca639-2de9-4ac3-8b32-6b854f29d659_000000_000000.mp4</v>
      </c>
      <c r="O14" s="48"/>
      <c r="P14" s="48"/>
      <c r="Q14" s="63"/>
      <c r="R14" s="49"/>
      <c r="S14" s="49"/>
      <c r="T14" s="49"/>
    </row>
    <row r="15">
      <c r="A15" s="49" t="str">
        <f>IFERROR(__xludf.DUMMYFUNCTION("""COMPUTED_VALUE"""),"Leadership lessons from sport")</f>
        <v>Leadership lessons from sport</v>
      </c>
      <c r="B15" s="49" t="str">
        <f>IFERROR(__xludf.DUMMYFUNCTION("""COMPUTED_VALUE"""),"SportsTrade")</f>
        <v>SportsTrade</v>
      </c>
      <c r="C15" s="51" t="str">
        <f>IFERROR(__xludf.DUMMYFUNCTION("""COMPUTED_VALUE"""),"Alejandro Agag, Antonina Shevchenko, Liv Boeree, Valentina Shevchenko and Miguel Delaney")</f>
        <v>Alejandro Agag, Antonina Shevchenko, Liv Boeree, Valentina Shevchenko and Miguel Delaney</v>
      </c>
      <c r="D15" s="49" t="str">
        <f>IFERROR(__xludf.DUMMYFUNCTION("""COMPUTED_VALUE"""),"2019/11/05 14:05:00")</f>
        <v>2019/11/05 14:05:00</v>
      </c>
      <c r="E15" s="49" t="str">
        <f>IFERROR(__xludf.DUMMYFUNCTION("""COMPUTED_VALUE"""),"2019/11/05 14:25:00")</f>
        <v>2019/11/05 14:25:00</v>
      </c>
      <c r="F15" s="49" t="str">
        <f>IFERROR(__xludf.DUMMYFUNCTION("""COMPUTED_VALUE"""),"5cf5a864-bfdb-4980-be07-0ce909a15f4c")</f>
        <v>5cf5a864-bfdb-4980-be07-0ce909a15f4c</v>
      </c>
      <c r="G15" s="52">
        <f>IFERROR(__xludf.DUMMYFUNCTION("""COMPUTED_VALUE"""),43774.0)</f>
        <v>43774</v>
      </c>
      <c r="H15" s="53">
        <f>IFERROR(__xludf.DUMMYFUNCTION("""COMPUTED_VALUE"""),0.5868055555555556)</f>
        <v>0.5868055556</v>
      </c>
      <c r="I15" s="52">
        <f>IFERROR(__xludf.DUMMYFUNCTION("""COMPUTED_VALUE"""),43774.0)</f>
        <v>43774</v>
      </c>
      <c r="J15" s="53">
        <f>IFERROR(__xludf.DUMMYFUNCTION("""COMPUTED_VALUE"""),0.6006944444444444)</f>
        <v>0.6006944444</v>
      </c>
      <c r="K15" s="53">
        <f t="shared" si="1"/>
        <v>0.01388888889</v>
      </c>
      <c r="L15" s="49" t="s">
        <v>109</v>
      </c>
      <c r="M15" s="62" t="s">
        <v>239</v>
      </c>
      <c r="N15" s="62" t="str">
        <f t="shared" si="2"/>
        <v>ST_5_13_5cf5a864-bfdb-4980-be07-0ce909a15f4c_000000_000000.mp4</v>
      </c>
      <c r="O15" s="48"/>
      <c r="P15" s="48"/>
      <c r="Q15" s="63"/>
      <c r="R15" s="49"/>
      <c r="S15" s="49"/>
      <c r="T15" s="49"/>
    </row>
    <row r="16">
      <c r="A16" s="49" t="str">
        <f>IFERROR(__xludf.DUMMYFUNCTION("""COMPUTED_VALUE"""),"Inside La Liga: How technology is disrupting sport")</f>
        <v>Inside La Liga: How technology is disrupting sport</v>
      </c>
      <c r="B16" s="49" t="str">
        <f>IFERROR(__xludf.DUMMYFUNCTION("""COMPUTED_VALUE"""),"SportsTrade")</f>
        <v>SportsTrade</v>
      </c>
      <c r="C16" s="51" t="str">
        <f>IFERROR(__xludf.DUMMYFUNCTION("""COMPUTED_VALUE"""),"Javier Tebas and Guillem Balague")</f>
        <v>Javier Tebas and Guillem Balague</v>
      </c>
      <c r="D16" s="49" t="str">
        <f>IFERROR(__xludf.DUMMYFUNCTION("""COMPUTED_VALUE"""),"2019/11/05 14:25:00")</f>
        <v>2019/11/05 14:25:00</v>
      </c>
      <c r="E16" s="49" t="str">
        <f>IFERROR(__xludf.DUMMYFUNCTION("""COMPUTED_VALUE"""),"2019/11/05 14:45:00")</f>
        <v>2019/11/05 14:45:00</v>
      </c>
      <c r="F16" s="49" t="str">
        <f>IFERROR(__xludf.DUMMYFUNCTION("""COMPUTED_VALUE"""),"5fb8efdc-f17f-4c96-ba9e-0f62f7b95a7b")</f>
        <v>5fb8efdc-f17f-4c96-ba9e-0f62f7b95a7b</v>
      </c>
      <c r="G16" s="52">
        <f>IFERROR(__xludf.DUMMYFUNCTION("""COMPUTED_VALUE"""),43774.0)</f>
        <v>43774</v>
      </c>
      <c r="H16" s="53">
        <f>IFERROR(__xludf.DUMMYFUNCTION("""COMPUTED_VALUE"""),0.6006944444444444)</f>
        <v>0.6006944444</v>
      </c>
      <c r="I16" s="52">
        <f>IFERROR(__xludf.DUMMYFUNCTION("""COMPUTED_VALUE"""),43774.0)</f>
        <v>43774</v>
      </c>
      <c r="J16" s="53">
        <f>IFERROR(__xludf.DUMMYFUNCTION("""COMPUTED_VALUE"""),0.6145833333333334)</f>
        <v>0.6145833333</v>
      </c>
      <c r="K16" s="53">
        <f t="shared" si="1"/>
        <v>0.01388888889</v>
      </c>
      <c r="L16" s="49" t="s">
        <v>109</v>
      </c>
      <c r="M16" s="62" t="s">
        <v>243</v>
      </c>
      <c r="N16" s="62" t="str">
        <f t="shared" si="2"/>
        <v>ST_5_14_5fb8efdc-f17f-4c96-ba9e-0f62f7b95a7b_000000_000000.mp4</v>
      </c>
      <c r="O16" s="48"/>
      <c r="P16" s="48"/>
      <c r="Q16" s="63"/>
      <c r="R16" s="49"/>
      <c r="S16" s="49"/>
      <c r="T16" s="49"/>
    </row>
    <row r="17">
      <c r="A17" s="49" t="str">
        <f>IFERROR(__xludf.DUMMYFUNCTION("""COMPUTED_VALUE"""),"Adopting the Champion's mindset")</f>
        <v>Adopting the Champion's mindset</v>
      </c>
      <c r="B17" s="49" t="str">
        <f>IFERROR(__xludf.DUMMYFUNCTION("""COMPUTED_VALUE"""),"SportsTrade")</f>
        <v>SportsTrade</v>
      </c>
      <c r="C17" s="51" t="str">
        <f>IFERROR(__xludf.DUMMYFUNCTION("""COMPUTED_VALUE""")," , Paul Brighten, Gilberto Silva and Rosa Oliveira Pinto")</f>
        <v> , Paul Brighten, Gilberto Silva and Rosa Oliveira Pinto</v>
      </c>
      <c r="D17" s="49" t="str">
        <f>IFERROR(__xludf.DUMMYFUNCTION("""COMPUTED_VALUE"""),"2019/11/05 14:45:00")</f>
        <v>2019/11/05 14:45:00</v>
      </c>
      <c r="E17" s="49" t="str">
        <f>IFERROR(__xludf.DUMMYFUNCTION("""COMPUTED_VALUE"""),"2019/11/05 15:00:00")</f>
        <v>2019/11/05 15:00:00</v>
      </c>
      <c r="F17" s="49" t="str">
        <f>IFERROR(__xludf.DUMMYFUNCTION("""COMPUTED_VALUE"""),"bf9098ec-88f0-4e09-bd6b-e24df6dc696b")</f>
        <v>bf9098ec-88f0-4e09-bd6b-e24df6dc696b</v>
      </c>
      <c r="G17" s="52">
        <f>IFERROR(__xludf.DUMMYFUNCTION("""COMPUTED_VALUE"""),43774.0)</f>
        <v>43774</v>
      </c>
      <c r="H17" s="53">
        <f>IFERROR(__xludf.DUMMYFUNCTION("""COMPUTED_VALUE"""),0.6145833333333334)</f>
        <v>0.6145833333</v>
      </c>
      <c r="I17" s="52">
        <f>IFERROR(__xludf.DUMMYFUNCTION("""COMPUTED_VALUE"""),43774.0)</f>
        <v>43774</v>
      </c>
      <c r="J17" s="53">
        <f>IFERROR(__xludf.DUMMYFUNCTION("""COMPUTED_VALUE"""),0.625)</f>
        <v>0.625</v>
      </c>
      <c r="K17" s="53">
        <f t="shared" si="1"/>
        <v>0.01041666667</v>
      </c>
      <c r="L17" s="49" t="s">
        <v>118</v>
      </c>
      <c r="M17" s="62" t="s">
        <v>245</v>
      </c>
      <c r="N17" s="62" t="str">
        <f t="shared" si="2"/>
        <v>ST_5_15_bf9098ec-88f0-4e09-bd6b-e24df6dc696b_000000_000000.mp4</v>
      </c>
      <c r="O17" s="48"/>
      <c r="P17" s="48"/>
      <c r="Q17" s="63"/>
      <c r="R17" s="49"/>
      <c r="S17" s="49"/>
      <c r="T17" s="49"/>
    </row>
    <row r="18">
      <c r="A18" s="49" t="str">
        <f>IFERROR(__xludf.DUMMYFUNCTION("""COMPUTED_VALUE"""),"Eric Cantona: Tackling society's greatest challenge")</f>
        <v>Eric Cantona: Tackling society's greatest challenge</v>
      </c>
      <c r="B18" s="49" t="str">
        <f>IFERROR(__xludf.DUMMYFUNCTION("""COMPUTED_VALUE"""),"SportsTrade")</f>
        <v>SportsTrade</v>
      </c>
      <c r="C18" s="51" t="str">
        <f>IFERROR(__xludf.DUMMYFUNCTION("""COMPUTED_VALUE"""),"Eric Cantona, Jürgen Griesbeck and Sid Lowe")</f>
        <v>Eric Cantona, Jürgen Griesbeck and Sid Lowe</v>
      </c>
      <c r="D18" s="49" t="str">
        <f>IFERROR(__xludf.DUMMYFUNCTION("""COMPUTED_VALUE"""),"2019/11/05 15:15:00")</f>
        <v>2019/11/05 15:15:00</v>
      </c>
      <c r="E18" s="49" t="str">
        <f>IFERROR(__xludf.DUMMYFUNCTION("""COMPUTED_VALUE"""),"2019/11/05 15:35:00")</f>
        <v>2019/11/05 15:35:00</v>
      </c>
      <c r="F18" s="49" t="str">
        <f>IFERROR(__xludf.DUMMYFUNCTION("""COMPUTED_VALUE"""),"53f4c150-21c2-44d9-acb6-c72596fb4c8e")</f>
        <v>53f4c150-21c2-44d9-acb6-c72596fb4c8e</v>
      </c>
      <c r="G18" s="52">
        <f>IFERROR(__xludf.DUMMYFUNCTION("""COMPUTED_VALUE"""),43774.0)</f>
        <v>43774</v>
      </c>
      <c r="H18" s="53">
        <f>IFERROR(__xludf.DUMMYFUNCTION("""COMPUTED_VALUE"""),0.6354166666666666)</f>
        <v>0.6354166667</v>
      </c>
      <c r="I18" s="52">
        <f>IFERROR(__xludf.DUMMYFUNCTION("""COMPUTED_VALUE"""),43774.0)</f>
        <v>43774</v>
      </c>
      <c r="J18" s="53">
        <f>IFERROR(__xludf.DUMMYFUNCTION("""COMPUTED_VALUE"""),0.6493055555555556)</f>
        <v>0.6493055556</v>
      </c>
      <c r="K18" s="53">
        <f t="shared" si="1"/>
        <v>0.01388888889</v>
      </c>
      <c r="L18" s="49" t="s">
        <v>109</v>
      </c>
      <c r="M18" s="62" t="s">
        <v>247</v>
      </c>
      <c r="N18" s="62" t="str">
        <f t="shared" si="2"/>
        <v>ST_5_16_53f4c150-21c2-44d9-acb6-c72596fb4c8e_000000_000000.mp4</v>
      </c>
      <c r="O18" s="48"/>
      <c r="P18" s="48"/>
      <c r="Q18" s="63"/>
      <c r="R18" s="49"/>
      <c r="S18" s="49"/>
      <c r="T18" s="49"/>
    </row>
    <row r="19">
      <c r="A19" s="49" t="str">
        <f>IFERROR(__xludf.DUMMYFUNCTION("""COMPUTED_VALUE"""),"The athlete's guide to influence and brand building")</f>
        <v>The athlete's guide to influence and brand building</v>
      </c>
      <c r="B19" s="49" t="str">
        <f>IFERROR(__xludf.DUMMYFUNCTION("""COMPUTED_VALUE"""),"SportsTrade")</f>
        <v>SportsTrade</v>
      </c>
      <c r="C19" s="51" t="str">
        <f>IFERROR(__xludf.DUMMYFUNCTION("""COMPUTED_VALUE"""),"Louis Saha, Kate Hamer and Andy Mitten")</f>
        <v>Louis Saha, Kate Hamer and Andy Mitten</v>
      </c>
      <c r="D19" s="49" t="str">
        <f>IFERROR(__xludf.DUMMYFUNCTION("""COMPUTED_VALUE"""),"2019/11/05 15:35:00")</f>
        <v>2019/11/05 15:35:00</v>
      </c>
      <c r="E19" s="49" t="str">
        <f>IFERROR(__xludf.DUMMYFUNCTION("""COMPUTED_VALUE"""),"2019/11/05 15:55:00")</f>
        <v>2019/11/05 15:55:00</v>
      </c>
      <c r="F19" s="49" t="str">
        <f>IFERROR(__xludf.DUMMYFUNCTION("""COMPUTED_VALUE"""),"efde342b-590a-4149-af8f-e5cf476552d6")</f>
        <v>efde342b-590a-4149-af8f-e5cf476552d6</v>
      </c>
      <c r="G19" s="52">
        <f>IFERROR(__xludf.DUMMYFUNCTION("""COMPUTED_VALUE"""),43774.0)</f>
        <v>43774</v>
      </c>
      <c r="H19" s="53">
        <f>IFERROR(__xludf.DUMMYFUNCTION("""COMPUTED_VALUE"""),0.6493055555555556)</f>
        <v>0.6493055556</v>
      </c>
      <c r="I19" s="52">
        <f>IFERROR(__xludf.DUMMYFUNCTION("""COMPUTED_VALUE"""),43774.0)</f>
        <v>43774</v>
      </c>
      <c r="J19" s="53">
        <f>IFERROR(__xludf.DUMMYFUNCTION("""COMPUTED_VALUE"""),0.6631944444444444)</f>
        <v>0.6631944444</v>
      </c>
      <c r="K19" s="53">
        <f t="shared" si="1"/>
        <v>0.01388888889</v>
      </c>
      <c r="L19" s="49" t="s">
        <v>109</v>
      </c>
      <c r="M19" s="62" t="s">
        <v>249</v>
      </c>
      <c r="N19" s="62" t="str">
        <f t="shared" si="2"/>
        <v>ST_5_17_efde342b-590a-4149-af8f-e5cf476552d6_000000_000000.mp4</v>
      </c>
      <c r="O19" s="48"/>
      <c r="P19" s="48"/>
      <c r="Q19" s="63"/>
      <c r="R19" s="49"/>
      <c r="S19" s="49"/>
      <c r="T19" s="49"/>
    </row>
    <row r="20">
      <c r="A20" s="49" t="str">
        <f>IFERROR(__xludf.DUMMYFUNCTION("""COMPUTED_VALUE"""),"Changing the fight game")</f>
        <v>Changing the fight game</v>
      </c>
      <c r="B20" s="49" t="str">
        <f>IFERROR(__xludf.DUMMYFUNCTION("""COMPUTED_VALUE"""),"SportsTrade")</f>
        <v>SportsTrade</v>
      </c>
      <c r="C20" s="51" t="str">
        <f>IFERROR(__xludf.DUMMYFUNCTION("""COMPUTED_VALUE"""),"Paige VanZant, Cris Cyborg and James Dart")</f>
        <v>Paige VanZant, Cris Cyborg and James Dart</v>
      </c>
      <c r="D20" s="49" t="str">
        <f>IFERROR(__xludf.DUMMYFUNCTION("""COMPUTED_VALUE"""),"2019/11/05 15:55:00")</f>
        <v>2019/11/05 15:55:00</v>
      </c>
      <c r="E20" s="49" t="str">
        <f>IFERROR(__xludf.DUMMYFUNCTION("""COMPUTED_VALUE"""),"2019/11/05 16:15:00")</f>
        <v>2019/11/05 16:15:00</v>
      </c>
      <c r="F20" s="49" t="str">
        <f>IFERROR(__xludf.DUMMYFUNCTION("""COMPUTED_VALUE"""),"7bb6b4c4-de39-431e-81c1-013bb2e129e3")</f>
        <v>7bb6b4c4-de39-431e-81c1-013bb2e129e3</v>
      </c>
      <c r="G20" s="52">
        <f>IFERROR(__xludf.DUMMYFUNCTION("""COMPUTED_VALUE"""),43774.0)</f>
        <v>43774</v>
      </c>
      <c r="H20" s="53">
        <f>IFERROR(__xludf.DUMMYFUNCTION("""COMPUTED_VALUE"""),0.6631944444444444)</f>
        <v>0.6631944444</v>
      </c>
      <c r="I20" s="52">
        <f>IFERROR(__xludf.DUMMYFUNCTION("""COMPUTED_VALUE"""),43774.0)</f>
        <v>43774</v>
      </c>
      <c r="J20" s="53">
        <f>IFERROR(__xludf.DUMMYFUNCTION("""COMPUTED_VALUE"""),0.6770833333333334)</f>
        <v>0.6770833333</v>
      </c>
      <c r="K20" s="53">
        <f t="shared" si="1"/>
        <v>0.01388888889</v>
      </c>
      <c r="L20" s="49" t="s">
        <v>109</v>
      </c>
      <c r="M20" s="62" t="s">
        <v>251</v>
      </c>
      <c r="N20" s="62" t="str">
        <f t="shared" si="2"/>
        <v>ST_5_18_7bb6b4c4-de39-431e-81c1-013bb2e129e3_000000_000000.mp4</v>
      </c>
      <c r="O20" s="48"/>
      <c r="P20" s="48"/>
      <c r="Q20" s="63"/>
      <c r="R20" s="49"/>
      <c r="S20" s="49"/>
      <c r="T20" s="49"/>
    </row>
    <row r="21">
      <c r="A21" s="49" t="str">
        <f>IFERROR(__xludf.DUMMYFUNCTION("""COMPUTED_VALUE"""),"The Web Summit Innovation in Sport Award: Ronaldo, Real Valladolid")</f>
        <v>The Web Summit Innovation in Sport Award: Ronaldo, Real Valladolid</v>
      </c>
      <c r="B21" s="49" t="str">
        <f>IFERROR(__xludf.DUMMYFUNCTION("""COMPUTED_VALUE"""),"SportsTrade")</f>
        <v>SportsTrade</v>
      </c>
      <c r="C21" s="51" t="str">
        <f>IFERROR(__xludf.DUMMYFUNCTION("""COMPUTED_VALUE""")," , Pedro Siza Vieira and Ger Gilroy")</f>
        <v> , Pedro Siza Vieira and Ger Gilroy</v>
      </c>
      <c r="D21" s="49" t="str">
        <f>IFERROR(__xludf.DUMMYFUNCTION("""COMPUTED_VALUE"""),"2019/11/05 16:15:00")</f>
        <v>2019/11/05 16:15:00</v>
      </c>
      <c r="E21" s="49" t="str">
        <f>IFERROR(__xludf.DUMMYFUNCTION("""COMPUTED_VALUE"""),"2019/11/05 16:35:00")</f>
        <v>2019/11/05 16:35:00</v>
      </c>
      <c r="F21" s="49" t="str">
        <f>IFERROR(__xludf.DUMMYFUNCTION("""COMPUTED_VALUE"""),"745c7dab-8868-4964-bd0f-65bb9ca8bbad")</f>
        <v>745c7dab-8868-4964-bd0f-65bb9ca8bbad</v>
      </c>
      <c r="G21" s="52">
        <f>IFERROR(__xludf.DUMMYFUNCTION("""COMPUTED_VALUE"""),43774.0)</f>
        <v>43774</v>
      </c>
      <c r="H21" s="53">
        <f>IFERROR(__xludf.DUMMYFUNCTION("""COMPUTED_VALUE"""),0.6770833333333334)</f>
        <v>0.6770833333</v>
      </c>
      <c r="I21" s="52">
        <f>IFERROR(__xludf.DUMMYFUNCTION("""COMPUTED_VALUE"""),43774.0)</f>
        <v>43774</v>
      </c>
      <c r="J21" s="53">
        <f>IFERROR(__xludf.DUMMYFUNCTION("""COMPUTED_VALUE"""),0.6909722222222222)</f>
        <v>0.6909722222</v>
      </c>
      <c r="K21" s="53">
        <f t="shared" si="1"/>
        <v>0.01388888889</v>
      </c>
      <c r="L21" s="49" t="s">
        <v>109</v>
      </c>
      <c r="M21" s="62" t="s">
        <v>253</v>
      </c>
      <c r="N21" s="62" t="str">
        <f t="shared" si="2"/>
        <v>ST_5_19_745c7dab-8868-4964-bd0f-65bb9ca8bbad_000000_000000.mp4</v>
      </c>
      <c r="O21" s="48"/>
      <c r="P21" s="48"/>
      <c r="Q21" s="63"/>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255</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f t="shared" si="1"/>
        <v>0</v>
      </c>
      <c r="L23" s="49" t="s">
        <v>255</v>
      </c>
      <c r="M23" s="49"/>
      <c r="N23" s="49"/>
      <c r="O23" s="49"/>
      <c r="P23" s="49"/>
      <c r="Q23" s="49"/>
      <c r="R23" s="49"/>
      <c r="S23" s="49"/>
      <c r="T23" s="49"/>
    </row>
    <row r="24">
      <c r="A24" s="49"/>
      <c r="B24" s="49"/>
      <c r="C24" s="51"/>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f t="shared" si="1"/>
        <v>0</v>
      </c>
      <c r="L24" s="49" t="s">
        <v>255</v>
      </c>
      <c r="M24" s="49"/>
      <c r="N24" s="49"/>
      <c r="O24" s="49"/>
      <c r="P24" s="49"/>
      <c r="Q24" s="49"/>
      <c r="R24" s="49"/>
      <c r="S24" s="49"/>
      <c r="T24" s="49"/>
    </row>
    <row r="25">
      <c r="A25" s="49"/>
      <c r="B25" s="49"/>
      <c r="C25" s="51"/>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f t="shared" si="1"/>
        <v>0</v>
      </c>
      <c r="L25" s="49" t="s">
        <v>255</v>
      </c>
      <c r="M25" s="49"/>
      <c r="N25" s="49"/>
      <c r="O25" s="49"/>
      <c r="P25" s="49"/>
      <c r="Q25" s="49"/>
      <c r="R25" s="49"/>
      <c r="S25" s="49"/>
      <c r="T25" s="49"/>
    </row>
    <row r="26">
      <c r="A26" s="49"/>
      <c r="B26" s="49"/>
      <c r="C26" s="51"/>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f t="shared" si="1"/>
        <v>0</v>
      </c>
      <c r="L26" s="49" t="s">
        <v>255</v>
      </c>
      <c r="M26" s="49"/>
      <c r="N26" s="49"/>
      <c r="O26" s="49"/>
      <c r="P26" s="49"/>
      <c r="Q26" s="49"/>
      <c r="R26" s="49"/>
      <c r="S26" s="49"/>
      <c r="T26" s="49"/>
    </row>
    <row r="27">
      <c r="A27" s="49"/>
      <c r="B27" s="49"/>
      <c r="C27" s="51"/>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f t="shared" si="1"/>
        <v>0</v>
      </c>
      <c r="L27" s="49" t="s">
        <v>255</v>
      </c>
      <c r="M27" s="49"/>
      <c r="N27" s="49"/>
      <c r="O27" s="49"/>
      <c r="P27" s="49"/>
      <c r="Q27" s="49"/>
      <c r="R27" s="49"/>
      <c r="S27" s="49"/>
      <c r="T27" s="49"/>
    </row>
    <row r="28">
      <c r="A28" s="49"/>
      <c r="B28" s="49"/>
      <c r="C28" s="51"/>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f t="shared" si="1"/>
        <v>0</v>
      </c>
      <c r="L28" s="49" t="s">
        <v>255</v>
      </c>
      <c r="M28" s="49"/>
      <c r="N28" s="49"/>
      <c r="O28" s="49"/>
      <c r="P28" s="49"/>
      <c r="Q28" s="49"/>
      <c r="R28" s="49"/>
      <c r="S28" s="49"/>
      <c r="T28" s="49"/>
    </row>
    <row r="29">
      <c r="A29" s="49"/>
      <c r="B29" s="49"/>
      <c r="C29" s="51"/>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f t="shared" si="1"/>
        <v>0</v>
      </c>
      <c r="L29" s="49" t="s">
        <v>255</v>
      </c>
      <c r="M29" s="49"/>
      <c r="N29" s="49"/>
      <c r="O29" s="49"/>
      <c r="P29" s="49"/>
      <c r="Q29" s="49"/>
      <c r="R29" s="49"/>
      <c r="S29" s="49"/>
      <c r="T29" s="49"/>
    </row>
    <row r="30">
      <c r="A30" s="49"/>
      <c r="B30" s="49"/>
      <c r="C30" s="51"/>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f t="shared" si="1"/>
        <v>0</v>
      </c>
      <c r="L30" s="49" t="s">
        <v>255</v>
      </c>
      <c r="M30" s="49"/>
      <c r="N30" s="49"/>
      <c r="O30" s="49"/>
      <c r="P30" s="49"/>
      <c r="Q30" s="49"/>
      <c r="R30" s="49"/>
      <c r="S30" s="49"/>
      <c r="T30" s="49"/>
    </row>
    <row r="31">
      <c r="A31" s="49"/>
      <c r="B31" s="49"/>
      <c r="C31" s="51"/>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f t="shared" si="1"/>
        <v>0</v>
      </c>
      <c r="L31" s="49" t="s">
        <v>255</v>
      </c>
      <c r="M31" s="49"/>
      <c r="N31" s="49"/>
      <c r="O31" s="49"/>
      <c r="P31" s="49"/>
      <c r="Q31" s="49"/>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255</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255</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255</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255</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255</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255</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255</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255</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255</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255</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255</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255</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255</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255</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255</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255</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255</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255</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255</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255</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255</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255</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255</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255</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255</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255</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255</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255</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255</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255</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255</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255</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255</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255</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255</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255</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255</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255</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255</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255</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255</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255</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255</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255</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255</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255</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255</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255</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255</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255</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255</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255</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255</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255</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255</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255</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255</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255</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255</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255</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255</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255</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255</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255</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255</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255</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255</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255</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255</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255</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255</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255</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255</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255</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255</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255</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255</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255</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255</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255</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255</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255</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255</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255</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255</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255</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255</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255</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255</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255</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255</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255</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255</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255</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255</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255</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255</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255</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255</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255</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255</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255</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255</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255</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255</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255</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255</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255</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255</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255</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255</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255</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255</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255</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255</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255</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255</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255</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255</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255</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255</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255</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255</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255</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255</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255</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255</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255</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255</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255</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255</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255</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255</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255</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255</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255</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255</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255</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255</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255</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255</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255</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255</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255</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255</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255</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255</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255</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255</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255</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255</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255</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255</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255</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255</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255</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255</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255</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255</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255</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255</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255</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255</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255</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255</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255</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255</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255</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255</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255</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255</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255</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255</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255</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255</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255</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255</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255</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255</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255</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255</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255</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255</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255</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255</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255</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255</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255</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255</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255</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255</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255</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255</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255</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255</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255</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255</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255</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255</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255</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255</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255</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255</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255</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255</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255</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255</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255</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255</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255</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255</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255</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255</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255</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255</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255</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255</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255</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255</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255</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255</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255</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255</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255</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255</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255</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255</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255</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255</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255</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255</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255</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255</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255</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255</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255</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255</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255</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255</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255</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255</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255</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255</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255</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255</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255</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255</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255</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255</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255</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255</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255</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255</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255</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255</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255</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255</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255</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255</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255</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255</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255</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255</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255</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255</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255</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255</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255</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255</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255</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255</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255</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255</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255</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255</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255</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255</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255</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255</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255</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255</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255</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255</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255</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255</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255</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255</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255</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255</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255</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255</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255</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255</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255</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255</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255</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255</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255</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255</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255</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255</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255</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255</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255</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255</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255</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255</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255</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255</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255</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255</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255</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255</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255</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255</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255</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255</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255</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255</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255</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255</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255</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255</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255</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255</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255</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255</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255</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255</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255</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255</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255</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255</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255</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255</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255</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255</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255</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255</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255</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255</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255</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255</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255</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255</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255</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255</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255</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255</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255</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255</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255</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255</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255</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255</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255</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255</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255</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255</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255</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255</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255</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255</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255</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255</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255</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255</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255</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255</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255</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255</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255</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255</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255</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255</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255</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255</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255</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255</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255</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255</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255</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255</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255</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255</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255</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255</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255</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255</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255</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255</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255</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255</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255</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255</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255</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255</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255</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255</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255</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255</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255</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255</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255</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255</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255</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255</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255</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255</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255</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255</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255</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255</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255</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255</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255</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255</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255</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255</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255</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255</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255</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255</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255</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255</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255</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255</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255</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255</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255</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255</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255</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255</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255</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255</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255</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255</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255</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255</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255</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255</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255</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255</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255</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255</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255</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255</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255</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255</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255</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255</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255</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255</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255</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255</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255</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255</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255</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255</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255</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255</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255</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255</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255</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255</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255</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255</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255</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255</v>
      </c>
      <c r="M533" s="49"/>
      <c r="N533" s="49"/>
      <c r="O533" s="49"/>
      <c r="P533" s="49"/>
      <c r="Q533" s="49"/>
      <c r="R533" s="49"/>
      <c r="S533" s="49"/>
      <c r="T533" s="49"/>
    </row>
  </sheetData>
  <conditionalFormatting sqref="O2:O21">
    <cfRule type="containsText" dxfId="4" priority="1" operator="containsText" text="YES">
      <formula>NOT(ISERROR(SEARCH(("YES"),(O2))))</formula>
    </cfRule>
  </conditionalFormatting>
  <conditionalFormatting sqref="O2:O21">
    <cfRule type="cellIs" dxfId="5" priority="2" operator="equal">
      <formula>"NO"</formula>
    </cfRule>
  </conditionalFormatting>
  <conditionalFormatting sqref="P2:Q21">
    <cfRule type="cellIs" dxfId="4" priority="3" operator="equal">
      <formula>"AVAILABLE"</formula>
    </cfRule>
  </conditionalFormatting>
  <conditionalFormatting sqref="P2:Q21">
    <cfRule type="cellIs" dxfId="5" priority="4" operator="equal">
      <formula>"NOT AVAILABLE"</formula>
    </cfRule>
  </conditionalFormatting>
  <conditionalFormatting sqref="Q2:Q21">
    <cfRule type="cellIs" dxfId="4" priority="5" operator="equal">
      <formula>"AVAILABLE"</formula>
    </cfRule>
  </conditionalFormatting>
  <conditionalFormatting sqref="Q2:Q21">
    <cfRule type="cellIs" dxfId="6" priority="6" operator="equal">
      <formula>"UPLOADING"</formula>
    </cfRule>
  </conditionalFormatting>
  <conditionalFormatting sqref="Q2:Q21">
    <cfRule type="cellIs" dxfId="5" priority="7" operator="equal">
      <formula>"NOT AVAILABLE"</formula>
    </cfRule>
  </conditionalFormatting>
  <dataValidations>
    <dataValidation type="list" allowBlank="1" sqref="O2:O21">
      <formula1>"YES,NO"</formula1>
    </dataValidation>
    <dataValidation type="list" allowBlank="1" sqref="P2:P21">
      <formula1>"AVAILABLE,NOT AVAILABLE"</formula1>
    </dataValidation>
    <dataValidation type="list" allowBlank="1" sqref="Q2:Q21">
      <formula1>"AVAILABLE,UPLOADING,NOT AVAILABLE"</formula1>
    </dataValidation>
  </dataValidations>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29"/>
    <col customWidth="1" min="3" max="3" width="20.43"/>
    <col hidden="1" min="4" max="5" width="14.43"/>
    <col customWidth="1" min="6" max="6" width="37.71"/>
    <col hidden="1" min="9" max="9" width="14.43"/>
    <col customWidth="1" min="14" max="14" width="32.14"/>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'ContentMakers' ORDER BY F"")"),"Opening remarks")</f>
        <v>Opening remarks</v>
      </c>
      <c r="B2" s="49" t="str">
        <f>IFERROR(__xludf.DUMMYFUNCTION("""COMPUTED_VALUE"""),"ContentMakers")</f>
        <v>ContentMakers</v>
      </c>
      <c r="C2" s="51" t="str">
        <f>IFERROR(__xludf.DUMMYFUNCTION("""COMPUTED_VALUE"""),"Natalie Monbiot")</f>
        <v>Natalie Monbiot</v>
      </c>
      <c r="D2" s="49" t="str">
        <f>IFERROR(__xludf.DUMMYFUNCTION("""COMPUTED_VALUE"""),"2019/11/06 11:00:00")</f>
        <v>2019/11/06 11:00:00</v>
      </c>
      <c r="E2" s="49" t="str">
        <f>IFERROR(__xludf.DUMMYFUNCTION("""COMPUTED_VALUE"""),"2019/11/06 11:10:00")</f>
        <v>2019/11/06 11:10:00</v>
      </c>
      <c r="F2" s="49" t="str">
        <f>IFERROR(__xludf.DUMMYFUNCTION("""COMPUTED_VALUE"""),"6a3d15a8-1309-4b0d-9603-829f65347946")</f>
        <v>6a3d15a8-1309-4b0d-9603-829f65347946</v>
      </c>
      <c r="G2" s="54">
        <f>IFERROR(__xludf.DUMMYFUNCTION("ARRAYFORMULA(SPLIT(D2:D43,"" ""))"),43775.0)</f>
        <v>43775</v>
      </c>
      <c r="H2" s="53">
        <f>IFERROR(__xludf.DUMMYFUNCTION("""COMPUTED_VALUE"""),0.4583333333333333)</f>
        <v>0.4583333333</v>
      </c>
      <c r="I2" s="54">
        <f>IFERROR(__xludf.DUMMYFUNCTION("ARRAYFORMULA(SPLIT(E2:E43,"" ""))"),43775.0)</f>
        <v>43775</v>
      </c>
      <c r="J2" s="53">
        <f>IFERROR(__xludf.DUMMYFUNCTION("""COMPUTED_VALUE"""),0.4652777777777778)</f>
        <v>0.4652777778</v>
      </c>
      <c r="K2" s="53">
        <f t="shared" ref="K2:K43" si="1">J2-H2</f>
        <v>0.006944444444</v>
      </c>
      <c r="L2" s="50" t="str">
        <f t="array" ref="L2:L43">TEXT(K2:K43,"hhmmss")</f>
        <v>001000</v>
      </c>
      <c r="M2" s="62" t="s">
        <v>268</v>
      </c>
      <c r="N2" s="62" t="str">
        <f t="shared" ref="N2:N31" si="2">CONCATENATE(M2,"_",F2,"_","000000_000000.mp4")</f>
        <v>CM_6_1_6a3d15a8-1309-4b0d-9603-829f65347946_000000_000000.mp4</v>
      </c>
      <c r="O2" s="48"/>
      <c r="P2" s="48"/>
      <c r="Q2" s="63"/>
      <c r="R2" s="49"/>
      <c r="S2" s="49"/>
      <c r="T2" s="49"/>
    </row>
    <row r="3">
      <c r="A3" s="49" t="str">
        <f>IFERROR(__xludf.DUMMYFUNCTION("""COMPUTED_VALUE"""),"How every brand became a content creator, and every content creator a brand")</f>
        <v>How every brand became a content creator, and every content creator a brand</v>
      </c>
      <c r="B3" s="49" t="str">
        <f>IFERROR(__xludf.DUMMYFUNCTION("""COMPUTED_VALUE"""),"ContentMakers")</f>
        <v>ContentMakers</v>
      </c>
      <c r="C3" s="51" t="str">
        <f>IFERROR(__xludf.DUMMYFUNCTION("""COMPUTED_VALUE"""),"Ian Somerhalder, Eyal Baumel and Dylan Collins")</f>
        <v>Ian Somerhalder, Eyal Baumel and Dylan Collins</v>
      </c>
      <c r="D3" s="49" t="str">
        <f>IFERROR(__xludf.DUMMYFUNCTION("""COMPUTED_VALUE"""),"2019/11/06 11:10:00")</f>
        <v>2019/11/06 11:10:00</v>
      </c>
      <c r="E3" s="49" t="str">
        <f>IFERROR(__xludf.DUMMYFUNCTION("""COMPUTED_VALUE"""),"2019/11/06 11:30:00")</f>
        <v>2019/11/06 11:30:00</v>
      </c>
      <c r="F3" s="49" t="str">
        <f>IFERROR(__xludf.DUMMYFUNCTION("""COMPUTED_VALUE"""),"6de11e57-af39-46c1-a6c6-bbb04a21f4c1")</f>
        <v>6de11e57-af39-46c1-a6c6-bbb04a21f4c1</v>
      </c>
      <c r="G3" s="52">
        <f>IFERROR(__xludf.DUMMYFUNCTION("""COMPUTED_VALUE"""),43775.0)</f>
        <v>43775</v>
      </c>
      <c r="H3" s="53">
        <f>IFERROR(__xludf.DUMMYFUNCTION("""COMPUTED_VALUE"""),0.4652777777777778)</f>
        <v>0.4652777778</v>
      </c>
      <c r="I3" s="52">
        <f>IFERROR(__xludf.DUMMYFUNCTION("""COMPUTED_VALUE"""),43775.0)</f>
        <v>43775</v>
      </c>
      <c r="J3" s="53">
        <f>IFERROR(__xludf.DUMMYFUNCTION("""COMPUTED_VALUE"""),0.4791666666666667)</f>
        <v>0.4791666667</v>
      </c>
      <c r="K3" s="53">
        <f t="shared" si="1"/>
        <v>0.01388888889</v>
      </c>
      <c r="L3" s="49" t="s">
        <v>109</v>
      </c>
      <c r="M3" s="62" t="s">
        <v>269</v>
      </c>
      <c r="N3" s="62" t="str">
        <f t="shared" si="2"/>
        <v>CM_6_2_6de11e57-af39-46c1-a6c6-bbb04a21f4c1_000000_000000.mp4</v>
      </c>
      <c r="O3" s="48"/>
      <c r="P3" s="48"/>
      <c r="Q3" s="63"/>
      <c r="R3" s="49"/>
      <c r="S3" s="49"/>
      <c r="T3" s="49"/>
    </row>
    <row r="4">
      <c r="A4" s="49" t="str">
        <f>IFERROR(__xludf.DUMMYFUNCTION("""COMPUTED_VALUE""")," Private messaging by design")</f>
        <v> Private messaging by design</v>
      </c>
      <c r="B4" s="49" t="str">
        <f>IFERROR(__xludf.DUMMYFUNCTION("""COMPUTED_VALUE"""),"ContentMakers")</f>
        <v>ContentMakers</v>
      </c>
      <c r="C4" s="51" t="str">
        <f>IFERROR(__xludf.DUMMYFUNCTION("""COMPUTED_VALUE"""),"Jay Sullivan and Joseph Menn")</f>
        <v>Jay Sullivan and Joseph Menn</v>
      </c>
      <c r="D4" s="49" t="str">
        <f>IFERROR(__xludf.DUMMYFUNCTION("""COMPUTED_VALUE"""),"2019/11/06 11:30:00")</f>
        <v>2019/11/06 11:30:00</v>
      </c>
      <c r="E4" s="49" t="str">
        <f>IFERROR(__xludf.DUMMYFUNCTION("""COMPUTED_VALUE"""),"2019/11/06 11:50:00")</f>
        <v>2019/11/06 11:50:00</v>
      </c>
      <c r="F4" s="49" t="str">
        <f>IFERROR(__xludf.DUMMYFUNCTION("""COMPUTED_VALUE"""),"1071911b-1377-4a72-b5a9-ef5f83490fe2")</f>
        <v>1071911b-1377-4a72-b5a9-ef5f83490fe2</v>
      </c>
      <c r="G4" s="52">
        <f>IFERROR(__xludf.DUMMYFUNCTION("""COMPUTED_VALUE"""),43775.0)</f>
        <v>43775</v>
      </c>
      <c r="H4" s="53">
        <f>IFERROR(__xludf.DUMMYFUNCTION("""COMPUTED_VALUE"""),0.4791666666666667)</f>
        <v>0.4791666667</v>
      </c>
      <c r="I4" s="52">
        <f>IFERROR(__xludf.DUMMYFUNCTION("""COMPUTED_VALUE"""),43775.0)</f>
        <v>43775</v>
      </c>
      <c r="J4" s="53">
        <f>IFERROR(__xludf.DUMMYFUNCTION("""COMPUTED_VALUE"""),0.4930555555555556)</f>
        <v>0.4930555556</v>
      </c>
      <c r="K4" s="53">
        <f t="shared" si="1"/>
        <v>0.01388888889</v>
      </c>
      <c r="L4" s="49" t="s">
        <v>109</v>
      </c>
      <c r="M4" s="62" t="s">
        <v>270</v>
      </c>
      <c r="N4" s="62" t="str">
        <f t="shared" si="2"/>
        <v>CM_6_3_1071911b-1377-4a72-b5a9-ef5f83490fe2_000000_000000.mp4</v>
      </c>
      <c r="O4" s="48"/>
      <c r="P4" s="48"/>
      <c r="Q4" s="63"/>
      <c r="R4" s="49"/>
      <c r="S4" s="49"/>
      <c r="T4" s="49"/>
    </row>
    <row r="5">
      <c r="A5" s="49" t="str">
        <f>IFERROR(__xludf.DUMMYFUNCTION("""COMPUTED_VALUE"""),"The real-time revolution")</f>
        <v>The real-time revolution</v>
      </c>
      <c r="B5" s="49" t="str">
        <f>IFERROR(__xludf.DUMMYFUNCTION("""COMPUTED_VALUE"""),"ContentMakers")</f>
        <v>ContentMakers</v>
      </c>
      <c r="C5" s="51" t="str">
        <f>IFERROR(__xludf.DUMMYFUNCTION("""COMPUTED_VALUE"""),"Clive Downie")</f>
        <v>Clive Downie</v>
      </c>
      <c r="D5" s="49" t="str">
        <f>IFERROR(__xludf.DUMMYFUNCTION("""COMPUTED_VALUE"""),"2019/11/06 11:50:00")</f>
        <v>2019/11/06 11:50:00</v>
      </c>
      <c r="E5" s="49" t="str">
        <f>IFERROR(__xludf.DUMMYFUNCTION("""COMPUTED_VALUE"""),"2019/11/06 12:10:00")</f>
        <v>2019/11/06 12:10:00</v>
      </c>
      <c r="F5" s="49" t="str">
        <f>IFERROR(__xludf.DUMMYFUNCTION("""COMPUTED_VALUE"""),"051d4f15-693c-4dc3-b0e7-55af59077093")</f>
        <v>051d4f15-693c-4dc3-b0e7-55af59077093</v>
      </c>
      <c r="G5" s="52">
        <f>IFERROR(__xludf.DUMMYFUNCTION("""COMPUTED_VALUE"""),43775.0)</f>
        <v>43775</v>
      </c>
      <c r="H5" s="53">
        <f>IFERROR(__xludf.DUMMYFUNCTION("""COMPUTED_VALUE"""),0.4930555555555556)</f>
        <v>0.4930555556</v>
      </c>
      <c r="I5" s="52">
        <f>IFERROR(__xludf.DUMMYFUNCTION("""COMPUTED_VALUE"""),43775.0)</f>
        <v>43775</v>
      </c>
      <c r="J5" s="53">
        <f>IFERROR(__xludf.DUMMYFUNCTION("""COMPUTED_VALUE"""),0.5069444444444444)</f>
        <v>0.5069444444</v>
      </c>
      <c r="K5" s="53">
        <f t="shared" si="1"/>
        <v>0.01388888889</v>
      </c>
      <c r="L5" s="49" t="s">
        <v>109</v>
      </c>
      <c r="M5" s="62" t="s">
        <v>271</v>
      </c>
      <c r="N5" s="62" t="str">
        <f t="shared" si="2"/>
        <v>CM_6_4_051d4f15-693c-4dc3-b0e7-55af59077093_000000_000000.mp4</v>
      </c>
      <c r="O5" s="48"/>
      <c r="P5" s="48"/>
      <c r="Q5" s="63"/>
      <c r="R5" s="49"/>
      <c r="S5" s="49"/>
      <c r="T5" s="49"/>
    </row>
    <row r="6">
      <c r="A6" s="49" t="str">
        <f>IFERROR(__xludf.DUMMYFUNCTION("""COMPUTED_VALUE"""),"View from the kingdom")</f>
        <v>View from the kingdom</v>
      </c>
      <c r="B6" s="49" t="str">
        <f>IFERROR(__xludf.DUMMYFUNCTION("""COMPUTED_VALUE"""),"ContentMakers")</f>
        <v>ContentMakers</v>
      </c>
      <c r="C6" s="51" t="str">
        <f>IFERROR(__xludf.DUMMYFUNCTION("""COMPUTED_VALUE"""),"Humam Sakhnini and Dave Thier")</f>
        <v>Humam Sakhnini and Dave Thier</v>
      </c>
      <c r="D6" s="49" t="str">
        <f>IFERROR(__xludf.DUMMYFUNCTION("""COMPUTED_VALUE"""),"2019/11/06 12:10:00")</f>
        <v>2019/11/06 12:10:00</v>
      </c>
      <c r="E6" s="49" t="str">
        <f>IFERROR(__xludf.DUMMYFUNCTION("""COMPUTED_VALUE"""),"2019/11/06 12:30:00")</f>
        <v>2019/11/06 12:30:00</v>
      </c>
      <c r="F6" s="49" t="str">
        <f>IFERROR(__xludf.DUMMYFUNCTION("""COMPUTED_VALUE"""),"9d8d1d98-d621-4eea-8268-0415b6905e5b")</f>
        <v>9d8d1d98-d621-4eea-8268-0415b6905e5b</v>
      </c>
      <c r="G6" s="52">
        <f>IFERROR(__xludf.DUMMYFUNCTION("""COMPUTED_VALUE"""),43775.0)</f>
        <v>43775</v>
      </c>
      <c r="H6" s="53">
        <f>IFERROR(__xludf.DUMMYFUNCTION("""COMPUTED_VALUE"""),0.5069444444444444)</f>
        <v>0.5069444444</v>
      </c>
      <c r="I6" s="52">
        <f>IFERROR(__xludf.DUMMYFUNCTION("""COMPUTED_VALUE"""),43775.0)</f>
        <v>43775</v>
      </c>
      <c r="J6" s="53">
        <f>IFERROR(__xludf.DUMMYFUNCTION("""COMPUTED_VALUE"""),0.5208333333333334)</f>
        <v>0.5208333333</v>
      </c>
      <c r="K6" s="53">
        <f t="shared" si="1"/>
        <v>0.01388888889</v>
      </c>
      <c r="L6" s="49" t="s">
        <v>109</v>
      </c>
      <c r="M6" s="62" t="s">
        <v>272</v>
      </c>
      <c r="N6" s="62" t="str">
        <f t="shared" si="2"/>
        <v>CM_6_5_9d8d1d98-d621-4eea-8268-0415b6905e5b_000000_000000.mp4</v>
      </c>
      <c r="O6" s="48"/>
      <c r="P6" s="48"/>
      <c r="Q6" s="63"/>
      <c r="R6" s="49"/>
      <c r="S6" s="49"/>
      <c r="T6" s="49"/>
    </row>
    <row r="7">
      <c r="A7" s="49" t="str">
        <f>IFERROR(__xludf.DUMMYFUNCTION("""COMPUTED_VALUE"""),"Multi-platform media: The digital challenge")</f>
        <v>Multi-platform media: The digital challenge</v>
      </c>
      <c r="B7" s="49" t="str">
        <f>IFERROR(__xludf.DUMMYFUNCTION("""COMPUTED_VALUE"""),"ContentMakers")</f>
        <v>ContentMakers</v>
      </c>
      <c r="C7" s="51" t="str">
        <f>IFERROR(__xludf.DUMMYFUNCTION("""COMPUTED_VALUE"""),"Larry Fitzgibbon, Victoriya Boklag, Kelly Bales and Erika Allen")</f>
        <v>Larry Fitzgibbon, Victoriya Boklag, Kelly Bales and Erika Allen</v>
      </c>
      <c r="D7" s="49" t="str">
        <f>IFERROR(__xludf.DUMMYFUNCTION("""COMPUTED_VALUE"""),"2019/11/06 12:30:00")</f>
        <v>2019/11/06 12:30:00</v>
      </c>
      <c r="E7" s="49" t="str">
        <f>IFERROR(__xludf.DUMMYFUNCTION("""COMPUTED_VALUE"""),"2019/11/06 12:50:00")</f>
        <v>2019/11/06 12:50:00</v>
      </c>
      <c r="F7" s="49" t="str">
        <f>IFERROR(__xludf.DUMMYFUNCTION("""COMPUTED_VALUE"""),"f3067ba0-d16f-476b-b9db-bf84b746156f")</f>
        <v>f3067ba0-d16f-476b-b9db-bf84b746156f</v>
      </c>
      <c r="G7" s="52">
        <f>IFERROR(__xludf.DUMMYFUNCTION("""COMPUTED_VALUE"""),43775.0)</f>
        <v>43775</v>
      </c>
      <c r="H7" s="53">
        <f>IFERROR(__xludf.DUMMYFUNCTION("""COMPUTED_VALUE"""),0.5208333333333334)</f>
        <v>0.5208333333</v>
      </c>
      <c r="I7" s="52">
        <f>IFERROR(__xludf.DUMMYFUNCTION("""COMPUTED_VALUE"""),43775.0)</f>
        <v>43775</v>
      </c>
      <c r="J7" s="53">
        <f>IFERROR(__xludf.DUMMYFUNCTION("""COMPUTED_VALUE"""),0.5347222222222222)</f>
        <v>0.5347222222</v>
      </c>
      <c r="K7" s="53">
        <f t="shared" si="1"/>
        <v>0.01388888889</v>
      </c>
      <c r="L7" s="49" t="s">
        <v>109</v>
      </c>
      <c r="M7" s="62" t="s">
        <v>273</v>
      </c>
      <c r="N7" s="62" t="str">
        <f t="shared" si="2"/>
        <v>CM_6_6_f3067ba0-d16f-476b-b9db-bf84b746156f_000000_000000.mp4</v>
      </c>
      <c r="O7" s="48"/>
      <c r="P7" s="48"/>
      <c r="Q7" s="63"/>
      <c r="R7" s="49"/>
      <c r="S7" s="49"/>
      <c r="T7" s="49"/>
    </row>
    <row r="8">
      <c r="A8" s="49" t="str">
        <f>IFERROR(__xludf.DUMMYFUNCTION("""COMPUTED_VALUE"""),"The New York Times: Storytelling and brands")</f>
        <v>The New York Times: Storytelling and brands</v>
      </c>
      <c r="B8" s="49" t="str">
        <f>IFERROR(__xludf.DUMMYFUNCTION("""COMPUTED_VALUE"""),"ContentMakers")</f>
        <v>ContentMakers</v>
      </c>
      <c r="C8" s="51" t="str">
        <f>IFERROR(__xludf.DUMMYFUNCTION("""COMPUTED_VALUE"""),"Graham McDonnell")</f>
        <v>Graham McDonnell</v>
      </c>
      <c r="D8" s="49" t="str">
        <f>IFERROR(__xludf.DUMMYFUNCTION("""COMPUTED_VALUE"""),"2019/11/06 12:50:00")</f>
        <v>2019/11/06 12:50:00</v>
      </c>
      <c r="E8" s="49" t="str">
        <f>IFERROR(__xludf.DUMMYFUNCTION("""COMPUTED_VALUE"""),"2019/11/06 13:10:00")</f>
        <v>2019/11/06 13:10:00</v>
      </c>
      <c r="F8" s="49" t="str">
        <f>IFERROR(__xludf.DUMMYFUNCTION("""COMPUTED_VALUE"""),"1d77fc32-e449-4eb2-9e31-ac590f340617")</f>
        <v>1d77fc32-e449-4eb2-9e31-ac590f340617</v>
      </c>
      <c r="G8" s="52">
        <f>IFERROR(__xludf.DUMMYFUNCTION("""COMPUTED_VALUE"""),43775.0)</f>
        <v>43775</v>
      </c>
      <c r="H8" s="53">
        <f>IFERROR(__xludf.DUMMYFUNCTION("""COMPUTED_VALUE"""),0.5347222222222222)</f>
        <v>0.5347222222</v>
      </c>
      <c r="I8" s="52">
        <f>IFERROR(__xludf.DUMMYFUNCTION("""COMPUTED_VALUE"""),43775.0)</f>
        <v>43775</v>
      </c>
      <c r="J8" s="53">
        <f>IFERROR(__xludf.DUMMYFUNCTION("""COMPUTED_VALUE"""),0.5486111111111112)</f>
        <v>0.5486111111</v>
      </c>
      <c r="K8" s="53">
        <f t="shared" si="1"/>
        <v>0.01388888889</v>
      </c>
      <c r="L8" s="49" t="s">
        <v>109</v>
      </c>
      <c r="M8" s="62" t="s">
        <v>274</v>
      </c>
      <c r="N8" s="62" t="str">
        <f t="shared" si="2"/>
        <v>CM_6_7_1d77fc32-e449-4eb2-9e31-ac590f340617_000000_000000.mp4</v>
      </c>
      <c r="O8" s="48"/>
      <c r="P8" s="48"/>
      <c r="Q8" s="63"/>
      <c r="R8" s="49"/>
      <c r="S8" s="49"/>
      <c r="T8" s="49"/>
    </row>
    <row r="9">
      <c r="A9" s="49" t="str">
        <f>IFERROR(__xludf.DUMMYFUNCTION("""COMPUTED_VALUE"""),"Immersive entertainment: The next generation")</f>
        <v>Immersive entertainment: The next generation</v>
      </c>
      <c r="B9" s="49" t="str">
        <f>IFERROR(__xludf.DUMMYFUNCTION("""COMPUTED_VALUE"""),"ContentMakers")</f>
        <v>ContentMakers</v>
      </c>
      <c r="C9" s="51" t="str">
        <f>IFERROR(__xludf.DUMMYFUNCTION("""COMPUTED_VALUE"""),"Mike McGee")</f>
        <v>Mike McGee</v>
      </c>
      <c r="D9" s="49" t="str">
        <f>IFERROR(__xludf.DUMMYFUNCTION("""COMPUTED_VALUE"""),"2019/11/06 13:10:00")</f>
        <v>2019/11/06 13:10:00</v>
      </c>
      <c r="E9" s="49" t="str">
        <f>IFERROR(__xludf.DUMMYFUNCTION("""COMPUTED_VALUE"""),"2019/11/06 13:30:00")</f>
        <v>2019/11/06 13:30:00</v>
      </c>
      <c r="F9" s="49" t="str">
        <f>IFERROR(__xludf.DUMMYFUNCTION("""COMPUTED_VALUE"""),"01a52227-4e40-46fb-ba79-643f48ca2d68")</f>
        <v>01a52227-4e40-46fb-ba79-643f48ca2d68</v>
      </c>
      <c r="G9" s="52">
        <f>IFERROR(__xludf.DUMMYFUNCTION("""COMPUTED_VALUE"""),43775.0)</f>
        <v>43775</v>
      </c>
      <c r="H9" s="53">
        <f>IFERROR(__xludf.DUMMYFUNCTION("""COMPUTED_VALUE"""),0.5486111111111112)</f>
        <v>0.5486111111</v>
      </c>
      <c r="I9" s="52">
        <f>IFERROR(__xludf.DUMMYFUNCTION("""COMPUTED_VALUE"""),43775.0)</f>
        <v>43775</v>
      </c>
      <c r="J9" s="53">
        <f>IFERROR(__xludf.DUMMYFUNCTION("""COMPUTED_VALUE"""),0.5625)</f>
        <v>0.5625</v>
      </c>
      <c r="K9" s="53">
        <f t="shared" si="1"/>
        <v>0.01388888889</v>
      </c>
      <c r="L9" s="49" t="s">
        <v>109</v>
      </c>
      <c r="M9" s="62" t="s">
        <v>275</v>
      </c>
      <c r="N9" s="62" t="str">
        <f t="shared" si="2"/>
        <v>CM_6_8_01a52227-4e40-46fb-ba79-643f48ca2d68_000000_000000.mp4</v>
      </c>
      <c r="O9" s="48"/>
      <c r="P9" s="48"/>
      <c r="Q9" s="63"/>
      <c r="R9" s="49"/>
      <c r="S9" s="49"/>
      <c r="T9" s="49"/>
    </row>
    <row r="10">
      <c r="A10" s="49" t="str">
        <f>IFERROR(__xludf.DUMMYFUNCTION("""COMPUTED_VALUE"""),"Lunch break")</f>
        <v>Lunch break</v>
      </c>
      <c r="B10" s="49" t="str">
        <f>IFERROR(__xludf.DUMMYFUNCTION("""COMPUTED_VALUE"""),"ContentMakers")</f>
        <v>ContentMakers</v>
      </c>
      <c r="C10" s="51" t="str">
        <f>IFERROR(__xludf.DUMMYFUNCTION("""COMPUTED_VALUE"""),"")</f>
        <v/>
      </c>
      <c r="D10" s="49" t="str">
        <f>IFERROR(__xludf.DUMMYFUNCTION("""COMPUTED_VALUE"""),"2019/11/06 13:30:00")</f>
        <v>2019/11/06 13:30:00</v>
      </c>
      <c r="E10" s="49" t="str">
        <f>IFERROR(__xludf.DUMMYFUNCTION("""COMPUTED_VALUE"""),"2019/11/06 14:00:00")</f>
        <v>2019/11/06 14:00:00</v>
      </c>
      <c r="F10" s="49" t="str">
        <f>IFERROR(__xludf.DUMMYFUNCTION("""COMPUTED_VALUE"""),"7ca496e4-68f1-4fa1-a6be-ed4fa978ebb8")</f>
        <v>7ca496e4-68f1-4fa1-a6be-ed4fa978ebb8</v>
      </c>
      <c r="G10" s="52">
        <f>IFERROR(__xludf.DUMMYFUNCTION("""COMPUTED_VALUE"""),43775.0)</f>
        <v>43775</v>
      </c>
      <c r="H10" s="53">
        <f>IFERROR(__xludf.DUMMYFUNCTION("""COMPUTED_VALUE"""),0.5625)</f>
        <v>0.5625</v>
      </c>
      <c r="I10" s="52">
        <f>IFERROR(__xludf.DUMMYFUNCTION("""COMPUTED_VALUE"""),43775.0)</f>
        <v>43775</v>
      </c>
      <c r="J10" s="53">
        <f>IFERROR(__xludf.DUMMYFUNCTION("""COMPUTED_VALUE"""),0.5833333333333334)</f>
        <v>0.5833333333</v>
      </c>
      <c r="K10" s="53">
        <f t="shared" si="1"/>
        <v>0.02083333333</v>
      </c>
      <c r="L10" s="49" t="s">
        <v>105</v>
      </c>
      <c r="M10" s="62"/>
      <c r="N10" s="62" t="str">
        <f t="shared" si="2"/>
        <v>_7ca496e4-68f1-4fa1-a6be-ed4fa978ebb8_000000_000000.mp4</v>
      </c>
      <c r="O10" s="48"/>
      <c r="P10" s="48"/>
      <c r="Q10" s="63"/>
      <c r="R10" s="49"/>
      <c r="S10" s="49"/>
      <c r="T10" s="49"/>
    </row>
    <row r="11">
      <c r="A11" s="49" t="str">
        <f>IFERROR(__xludf.DUMMYFUNCTION("""COMPUTED_VALUE"""),"Opening remarks")</f>
        <v>Opening remarks</v>
      </c>
      <c r="B11" s="49" t="str">
        <f>IFERROR(__xludf.DUMMYFUNCTION("""COMPUTED_VALUE"""),"ContentMakers")</f>
        <v>ContentMakers</v>
      </c>
      <c r="C11" s="51" t="str">
        <f>IFERROR(__xludf.DUMMYFUNCTION("""COMPUTED_VALUE"""),"Keaton Keller")</f>
        <v>Keaton Keller</v>
      </c>
      <c r="D11" s="49" t="str">
        <f>IFERROR(__xludf.DUMMYFUNCTION("""COMPUTED_VALUE"""),"2019/11/06 14:00:00")</f>
        <v>2019/11/06 14:00:00</v>
      </c>
      <c r="E11" s="49" t="str">
        <f>IFERROR(__xludf.DUMMYFUNCTION("""COMPUTED_VALUE"""),"2019/11/06 14:15:00")</f>
        <v>2019/11/06 14:15:00</v>
      </c>
      <c r="F11" s="49" t="str">
        <f>IFERROR(__xludf.DUMMYFUNCTION("""COMPUTED_VALUE"""),"32aa3726-5c2e-433c-a030-4523421597bd")</f>
        <v>32aa3726-5c2e-433c-a030-4523421597bd</v>
      </c>
      <c r="G11" s="52">
        <f>IFERROR(__xludf.DUMMYFUNCTION("""COMPUTED_VALUE"""),43775.0)</f>
        <v>43775</v>
      </c>
      <c r="H11" s="53">
        <f>IFERROR(__xludf.DUMMYFUNCTION("""COMPUTED_VALUE"""),0.5833333333333334)</f>
        <v>0.5833333333</v>
      </c>
      <c r="I11" s="52">
        <f>IFERROR(__xludf.DUMMYFUNCTION("""COMPUTED_VALUE"""),43775.0)</f>
        <v>43775</v>
      </c>
      <c r="J11" s="53">
        <f>IFERROR(__xludf.DUMMYFUNCTION("""COMPUTED_VALUE"""),0.59375)</f>
        <v>0.59375</v>
      </c>
      <c r="K11" s="53">
        <f t="shared" si="1"/>
        <v>0.01041666667</v>
      </c>
      <c r="L11" s="49" t="s">
        <v>118</v>
      </c>
      <c r="M11" s="62" t="s">
        <v>276</v>
      </c>
      <c r="N11" s="62" t="str">
        <f t="shared" si="2"/>
        <v>CM_6_9_32aa3726-5c2e-433c-a030-4523421597bd_000000_000000.mp4</v>
      </c>
      <c r="O11" s="48"/>
      <c r="P11" s="48"/>
      <c r="Q11" s="63"/>
      <c r="R11" s="49"/>
      <c r="S11" s="49"/>
      <c r="T11" s="49"/>
    </row>
    <row r="12">
      <c r="A12" s="49" t="str">
        <f>IFERROR(__xludf.DUMMYFUNCTION("""COMPUTED_VALUE"""),"A picture is worth a thousand words")</f>
        <v>A picture is worth a thousand words</v>
      </c>
      <c r="B12" s="49" t="str">
        <f>IFERROR(__xludf.DUMMYFUNCTION("""COMPUTED_VALUE"""),"ContentMakers")</f>
        <v>ContentMakers</v>
      </c>
      <c r="C12" s="51" t="str">
        <f>IFERROR(__xludf.DUMMYFUNCTION("""COMPUTED_VALUE"""),"  and Rob Schwartz")</f>
        <v>  and Rob Schwartz</v>
      </c>
      <c r="D12" s="49" t="str">
        <f>IFERROR(__xludf.DUMMYFUNCTION("""COMPUTED_VALUE"""),"2019/11/06 14:15:00")</f>
        <v>2019/11/06 14:15:00</v>
      </c>
      <c r="E12" s="49" t="str">
        <f>IFERROR(__xludf.DUMMYFUNCTION("""COMPUTED_VALUE"""),"2019/11/06 14:35:00")</f>
        <v>2019/11/06 14:35:00</v>
      </c>
      <c r="F12" s="49" t="str">
        <f>IFERROR(__xludf.DUMMYFUNCTION("""COMPUTED_VALUE"""),"dfb4965a-f237-40d1-b849-365622e84eaf")</f>
        <v>dfb4965a-f237-40d1-b849-365622e84eaf</v>
      </c>
      <c r="G12" s="52">
        <f>IFERROR(__xludf.DUMMYFUNCTION("""COMPUTED_VALUE"""),43775.0)</f>
        <v>43775</v>
      </c>
      <c r="H12" s="53">
        <f>IFERROR(__xludf.DUMMYFUNCTION("""COMPUTED_VALUE"""),0.59375)</f>
        <v>0.59375</v>
      </c>
      <c r="I12" s="52">
        <f>IFERROR(__xludf.DUMMYFUNCTION("""COMPUTED_VALUE"""),43775.0)</f>
        <v>43775</v>
      </c>
      <c r="J12" s="53">
        <f>IFERROR(__xludf.DUMMYFUNCTION("""COMPUTED_VALUE"""),0.6076388888888888)</f>
        <v>0.6076388889</v>
      </c>
      <c r="K12" s="53">
        <f t="shared" si="1"/>
        <v>0.01388888889</v>
      </c>
      <c r="L12" s="49" t="s">
        <v>109</v>
      </c>
      <c r="M12" s="62" t="s">
        <v>277</v>
      </c>
      <c r="N12" s="62" t="str">
        <f t="shared" si="2"/>
        <v>CM_6_10_dfb4965a-f237-40d1-b849-365622e84eaf_000000_000000.mp4</v>
      </c>
      <c r="O12" s="48"/>
      <c r="P12" s="48"/>
      <c r="Q12" s="63"/>
      <c r="R12" s="49"/>
      <c r="S12" s="49"/>
      <c r="T12" s="49"/>
    </row>
    <row r="13">
      <c r="A13" s="49" t="str">
        <f>IFERROR(__xludf.DUMMYFUNCTION("""COMPUTED_VALUE"""),"The business of GIF$")</f>
        <v>The business of GIF$</v>
      </c>
      <c r="B13" s="49" t="str">
        <f>IFERROR(__xludf.DUMMYFUNCTION("""COMPUTED_VALUE"""),"ContentMakers")</f>
        <v>ContentMakers</v>
      </c>
      <c r="C13" s="51" t="str">
        <f>IFERROR(__xludf.DUMMYFUNCTION("""COMPUTED_VALUE"""),"Alex Chung")</f>
        <v>Alex Chung</v>
      </c>
      <c r="D13" s="49" t="str">
        <f>IFERROR(__xludf.DUMMYFUNCTION("""COMPUTED_VALUE"""),"2019/11/06 14:35:00")</f>
        <v>2019/11/06 14:35:00</v>
      </c>
      <c r="E13" s="49" t="str">
        <f>IFERROR(__xludf.DUMMYFUNCTION("""COMPUTED_VALUE"""),"2019/11/06 14:55:00")</f>
        <v>2019/11/06 14:55:00</v>
      </c>
      <c r="F13" s="49" t="str">
        <f>IFERROR(__xludf.DUMMYFUNCTION("""COMPUTED_VALUE"""),"af1878ef-bc0a-4bff-a4db-003b42eb0a61")</f>
        <v>af1878ef-bc0a-4bff-a4db-003b42eb0a61</v>
      </c>
      <c r="G13" s="52">
        <f>IFERROR(__xludf.DUMMYFUNCTION("""COMPUTED_VALUE"""),43775.0)</f>
        <v>43775</v>
      </c>
      <c r="H13" s="53">
        <f>IFERROR(__xludf.DUMMYFUNCTION("""COMPUTED_VALUE"""),0.6076388888888888)</f>
        <v>0.6076388889</v>
      </c>
      <c r="I13" s="52">
        <f>IFERROR(__xludf.DUMMYFUNCTION("""COMPUTED_VALUE"""),43775.0)</f>
        <v>43775</v>
      </c>
      <c r="J13" s="53">
        <f>IFERROR(__xludf.DUMMYFUNCTION("""COMPUTED_VALUE"""),0.6215277777777778)</f>
        <v>0.6215277778</v>
      </c>
      <c r="K13" s="53">
        <f t="shared" si="1"/>
        <v>0.01388888889</v>
      </c>
      <c r="L13" s="49" t="s">
        <v>109</v>
      </c>
      <c r="M13" s="62" t="s">
        <v>278</v>
      </c>
      <c r="N13" s="62" t="str">
        <f t="shared" si="2"/>
        <v>CM_6_11_af1878ef-bc0a-4bff-a4db-003b42eb0a61_000000_000000.mp4</v>
      </c>
      <c r="O13" s="48"/>
      <c r="P13" s="48"/>
      <c r="Q13" s="63"/>
      <c r="R13" s="49"/>
      <c r="S13" s="49"/>
      <c r="T13" s="49"/>
    </row>
    <row r="14">
      <c r="A14" s="49" t="str">
        <f>IFERROR(__xludf.DUMMYFUNCTION("""COMPUTED_VALUE"""),"Building a community of creators (at scale)")</f>
        <v>Building a community of creators (at scale)</v>
      </c>
      <c r="B14" s="49" t="str">
        <f>IFERROR(__xludf.DUMMYFUNCTION("""COMPUTED_VALUE"""),"ContentMakers")</f>
        <v>ContentMakers</v>
      </c>
      <c r="C14" s="51" t="str">
        <f>IFERROR(__xludf.DUMMYFUNCTION("""COMPUTED_VALUE"""),"Craig Donato")</f>
        <v>Craig Donato</v>
      </c>
      <c r="D14" s="49" t="str">
        <f>IFERROR(__xludf.DUMMYFUNCTION("""COMPUTED_VALUE"""),"2019/11/06 14:55:00")</f>
        <v>2019/11/06 14:55:00</v>
      </c>
      <c r="E14" s="49" t="str">
        <f>IFERROR(__xludf.DUMMYFUNCTION("""COMPUTED_VALUE"""),"2019/11/06 15:15:00")</f>
        <v>2019/11/06 15:15:00</v>
      </c>
      <c r="F14" s="49" t="str">
        <f>IFERROR(__xludf.DUMMYFUNCTION("""COMPUTED_VALUE"""),"db4c4448-5611-49c8-b8be-e621294585f3")</f>
        <v>db4c4448-5611-49c8-b8be-e621294585f3</v>
      </c>
      <c r="G14" s="52">
        <f>IFERROR(__xludf.DUMMYFUNCTION("""COMPUTED_VALUE"""),43775.0)</f>
        <v>43775</v>
      </c>
      <c r="H14" s="53">
        <f>IFERROR(__xludf.DUMMYFUNCTION("""COMPUTED_VALUE"""),0.6215277777777778)</f>
        <v>0.6215277778</v>
      </c>
      <c r="I14" s="52">
        <f>IFERROR(__xludf.DUMMYFUNCTION("""COMPUTED_VALUE"""),43775.0)</f>
        <v>43775</v>
      </c>
      <c r="J14" s="53">
        <f>IFERROR(__xludf.DUMMYFUNCTION("""COMPUTED_VALUE"""),0.6354166666666666)</f>
        <v>0.6354166667</v>
      </c>
      <c r="K14" s="53">
        <f t="shared" si="1"/>
        <v>0.01388888889</v>
      </c>
      <c r="L14" s="49" t="s">
        <v>109</v>
      </c>
      <c r="M14" s="62" t="s">
        <v>279</v>
      </c>
      <c r="N14" s="62" t="str">
        <f t="shared" si="2"/>
        <v>CM_6_12_db4c4448-5611-49c8-b8be-e621294585f3_000000_000000.mp4</v>
      </c>
      <c r="O14" s="48"/>
      <c r="P14" s="48"/>
      <c r="Q14" s="63"/>
      <c r="R14" s="49"/>
      <c r="S14" s="49"/>
      <c r="T14" s="49"/>
    </row>
    <row r="15">
      <c r="A15" s="49" t="str">
        <f>IFERROR(__xludf.DUMMYFUNCTION("""COMPUTED_VALUE"""),"Baby shark: Creating a multi-billion dollar monster")</f>
        <v>Baby shark: Creating a multi-billion dollar monster</v>
      </c>
      <c r="B15" s="49" t="str">
        <f>IFERROR(__xludf.DUMMYFUNCTION("""COMPUTED_VALUE"""),"ContentMakers")</f>
        <v>ContentMakers</v>
      </c>
      <c r="C15" s="51" t="str">
        <f>IFERROR(__xludf.DUMMYFUNCTION("""COMPUTED_VALUE"""),"Ryan Lee")</f>
        <v>Ryan Lee</v>
      </c>
      <c r="D15" s="49" t="str">
        <f>IFERROR(__xludf.DUMMYFUNCTION("""COMPUTED_VALUE"""),"2019/11/06 15:15:00")</f>
        <v>2019/11/06 15:15:00</v>
      </c>
      <c r="E15" s="49" t="str">
        <f>IFERROR(__xludf.DUMMYFUNCTION("""COMPUTED_VALUE"""),"2019/11/06 15:35:00")</f>
        <v>2019/11/06 15:35:00</v>
      </c>
      <c r="F15" s="49" t="str">
        <f>IFERROR(__xludf.DUMMYFUNCTION("""COMPUTED_VALUE"""),"70f7e88e-19cc-4fb0-b821-3bbe460a531a")</f>
        <v>70f7e88e-19cc-4fb0-b821-3bbe460a531a</v>
      </c>
      <c r="G15" s="52">
        <f>IFERROR(__xludf.DUMMYFUNCTION("""COMPUTED_VALUE"""),43775.0)</f>
        <v>43775</v>
      </c>
      <c r="H15" s="53">
        <f>IFERROR(__xludf.DUMMYFUNCTION("""COMPUTED_VALUE"""),0.6354166666666666)</f>
        <v>0.6354166667</v>
      </c>
      <c r="I15" s="52">
        <f>IFERROR(__xludf.DUMMYFUNCTION("""COMPUTED_VALUE"""),43775.0)</f>
        <v>43775</v>
      </c>
      <c r="J15" s="53">
        <f>IFERROR(__xludf.DUMMYFUNCTION("""COMPUTED_VALUE"""),0.6493055555555556)</f>
        <v>0.6493055556</v>
      </c>
      <c r="K15" s="53">
        <f t="shared" si="1"/>
        <v>0.01388888889</v>
      </c>
      <c r="L15" s="49" t="s">
        <v>109</v>
      </c>
      <c r="M15" s="62" t="s">
        <v>280</v>
      </c>
      <c r="N15" s="62" t="str">
        <f t="shared" si="2"/>
        <v>CM_6_13_70f7e88e-19cc-4fb0-b821-3bbe460a531a_000000_000000.mp4</v>
      </c>
      <c r="O15" s="48"/>
      <c r="P15" s="48"/>
      <c r="Q15" s="63"/>
      <c r="R15" s="49"/>
      <c r="S15" s="49"/>
      <c r="T15" s="49"/>
    </row>
    <row r="16">
      <c r="A16" s="49" t="str">
        <f>IFERROR(__xludf.DUMMYFUNCTION("""COMPUTED_VALUE"""),"Breaking news in a video-first world")</f>
        <v>Breaking news in a video-first world</v>
      </c>
      <c r="B16" s="49" t="str">
        <f>IFERROR(__xludf.DUMMYFUNCTION("""COMPUTED_VALUE"""),"ContentMakers")</f>
        <v>ContentMakers</v>
      </c>
      <c r="C16" s="51" t="str">
        <f>IFERROR(__xludf.DUMMYFUNCTION("""COMPUTED_VALUE"""),"Dinara Toktosunova, Juan Branco and Sara Fischer")</f>
        <v>Dinara Toktosunova, Juan Branco and Sara Fischer</v>
      </c>
      <c r="D16" s="49" t="str">
        <f>IFERROR(__xludf.DUMMYFUNCTION("""COMPUTED_VALUE"""),"2019/11/06 15:35:00")</f>
        <v>2019/11/06 15:35:00</v>
      </c>
      <c r="E16" s="49" t="str">
        <f>IFERROR(__xludf.DUMMYFUNCTION("""COMPUTED_VALUE"""),"2019/11/06 15:55:00")</f>
        <v>2019/11/06 15:55:00</v>
      </c>
      <c r="F16" s="49" t="str">
        <f>IFERROR(__xludf.DUMMYFUNCTION("""COMPUTED_VALUE"""),"307300a4-2093-45ea-971e-1af85ebc8685")</f>
        <v>307300a4-2093-45ea-971e-1af85ebc8685</v>
      </c>
      <c r="G16" s="52">
        <f>IFERROR(__xludf.DUMMYFUNCTION("""COMPUTED_VALUE"""),43775.0)</f>
        <v>43775</v>
      </c>
      <c r="H16" s="53">
        <f>IFERROR(__xludf.DUMMYFUNCTION("""COMPUTED_VALUE"""),0.6493055555555556)</f>
        <v>0.6493055556</v>
      </c>
      <c r="I16" s="52">
        <f>IFERROR(__xludf.DUMMYFUNCTION("""COMPUTED_VALUE"""),43775.0)</f>
        <v>43775</v>
      </c>
      <c r="J16" s="53">
        <f>IFERROR(__xludf.DUMMYFUNCTION("""COMPUTED_VALUE"""),0.6631944444444444)</f>
        <v>0.6631944444</v>
      </c>
      <c r="K16" s="53">
        <f t="shared" si="1"/>
        <v>0.01388888889</v>
      </c>
      <c r="L16" s="49" t="s">
        <v>109</v>
      </c>
      <c r="M16" s="62" t="s">
        <v>281</v>
      </c>
      <c r="N16" s="62" t="str">
        <f t="shared" si="2"/>
        <v>CM_6_14_307300a4-2093-45ea-971e-1af85ebc8685_000000_000000.mp4</v>
      </c>
      <c r="O16" s="48"/>
      <c r="P16" s="48"/>
      <c r="Q16" s="63"/>
      <c r="R16" s="49"/>
      <c r="S16" s="49"/>
      <c r="T16" s="49"/>
    </row>
    <row r="17">
      <c r="A17" s="49" t="str">
        <f>IFERROR(__xludf.DUMMYFUNCTION("""COMPUTED_VALUE"""),"Fixing the gender imbalance in digital media")</f>
        <v>Fixing the gender imbalance in digital media</v>
      </c>
      <c r="B17" s="49" t="str">
        <f>IFERROR(__xludf.DUMMYFUNCTION("""COMPUTED_VALUE"""),"ContentMakers")</f>
        <v>ContentMakers</v>
      </c>
      <c r="C17" s="51" t="str">
        <f>IFERROR(__xludf.DUMMYFUNCTION("""COMPUTED_VALUE"""),"Dima Khatib")</f>
        <v>Dima Khatib</v>
      </c>
      <c r="D17" s="49" t="str">
        <f>IFERROR(__xludf.DUMMYFUNCTION("""COMPUTED_VALUE"""),"2019/11/06 15:55:00")</f>
        <v>2019/11/06 15:55:00</v>
      </c>
      <c r="E17" s="49" t="str">
        <f>IFERROR(__xludf.DUMMYFUNCTION("""COMPUTED_VALUE"""),"2019/11/06 16:15:00")</f>
        <v>2019/11/06 16:15:00</v>
      </c>
      <c r="F17" s="49" t="str">
        <f>IFERROR(__xludf.DUMMYFUNCTION("""COMPUTED_VALUE"""),"51a0bba4-d437-4989-b612-c262f250c7eb")</f>
        <v>51a0bba4-d437-4989-b612-c262f250c7eb</v>
      </c>
      <c r="G17" s="52">
        <f>IFERROR(__xludf.DUMMYFUNCTION("""COMPUTED_VALUE"""),43775.0)</f>
        <v>43775</v>
      </c>
      <c r="H17" s="53">
        <f>IFERROR(__xludf.DUMMYFUNCTION("""COMPUTED_VALUE"""),0.6631944444444444)</f>
        <v>0.6631944444</v>
      </c>
      <c r="I17" s="52">
        <f>IFERROR(__xludf.DUMMYFUNCTION("""COMPUTED_VALUE"""),43775.0)</f>
        <v>43775</v>
      </c>
      <c r="J17" s="53">
        <f>IFERROR(__xludf.DUMMYFUNCTION("""COMPUTED_VALUE"""),0.6770833333333334)</f>
        <v>0.6770833333</v>
      </c>
      <c r="K17" s="53">
        <f t="shared" si="1"/>
        <v>0.01388888889</v>
      </c>
      <c r="L17" s="49" t="s">
        <v>109</v>
      </c>
      <c r="M17" s="62" t="s">
        <v>282</v>
      </c>
      <c r="N17" s="62" t="str">
        <f t="shared" si="2"/>
        <v>CM_6_15_51a0bba4-d437-4989-b612-c262f250c7eb_000000_000000.mp4</v>
      </c>
      <c r="O17" s="48"/>
      <c r="P17" s="48"/>
      <c r="Q17" s="63"/>
      <c r="R17" s="49"/>
      <c r="S17" s="49"/>
      <c r="T17" s="49"/>
    </row>
    <row r="18">
      <c r="A18" s="49" t="str">
        <f>IFERROR(__xludf.DUMMYFUNCTION("""COMPUTED_VALUE"""),"Don't shoot the messenger")</f>
        <v>Don't shoot the messenger</v>
      </c>
      <c r="B18" s="49" t="str">
        <f>IFERROR(__xludf.DUMMYFUNCTION("""COMPUTED_VALUE"""),"ContentMakers")</f>
        <v>ContentMakers</v>
      </c>
      <c r="C18" s="51" t="str">
        <f>IFERROR(__xludf.DUMMYFUNCTION("""COMPUTED_VALUE"""),"James Ball, John Tye, Brittany Kaiser and Ali Aydin")</f>
        <v>James Ball, John Tye, Brittany Kaiser and Ali Aydin</v>
      </c>
      <c r="D18" s="49" t="str">
        <f>IFERROR(__xludf.DUMMYFUNCTION("""COMPUTED_VALUE"""),"2019/11/06 16:15:00")</f>
        <v>2019/11/06 16:15:00</v>
      </c>
      <c r="E18" s="49" t="str">
        <f>IFERROR(__xludf.DUMMYFUNCTION("""COMPUTED_VALUE"""),"2019/11/06 16:35:00")</f>
        <v>2019/11/06 16:35:00</v>
      </c>
      <c r="F18" s="49" t="str">
        <f>IFERROR(__xludf.DUMMYFUNCTION("""COMPUTED_VALUE"""),"2a3f793a-ebb2-4bb5-a6ce-02c096805517")</f>
        <v>2a3f793a-ebb2-4bb5-a6ce-02c096805517</v>
      </c>
      <c r="G18" s="52">
        <f>IFERROR(__xludf.DUMMYFUNCTION("""COMPUTED_VALUE"""),43775.0)</f>
        <v>43775</v>
      </c>
      <c r="H18" s="53">
        <f>IFERROR(__xludf.DUMMYFUNCTION("""COMPUTED_VALUE"""),0.6770833333333334)</f>
        <v>0.6770833333</v>
      </c>
      <c r="I18" s="52">
        <f>IFERROR(__xludf.DUMMYFUNCTION("""COMPUTED_VALUE"""),43775.0)</f>
        <v>43775</v>
      </c>
      <c r="J18" s="53">
        <f>IFERROR(__xludf.DUMMYFUNCTION("""COMPUTED_VALUE"""),0.6909722222222222)</f>
        <v>0.6909722222</v>
      </c>
      <c r="K18" s="53">
        <f t="shared" si="1"/>
        <v>0.01388888889</v>
      </c>
      <c r="L18" s="49" t="s">
        <v>109</v>
      </c>
      <c r="M18" s="62" t="s">
        <v>283</v>
      </c>
      <c r="N18" s="62" t="str">
        <f t="shared" si="2"/>
        <v>CM_6_16_2a3f793a-ebb2-4bb5-a6ce-02c096805517_000000_000000.mp4</v>
      </c>
      <c r="O18" s="48"/>
      <c r="P18" s="48"/>
      <c r="Q18" s="63"/>
      <c r="R18" s="49"/>
      <c r="S18" s="49"/>
      <c r="T18" s="49"/>
    </row>
    <row r="19">
      <c r="A19" s="49" t="str">
        <f>IFERROR(__xludf.DUMMYFUNCTION("""COMPUTED_VALUE"""),"Opening remarks")</f>
        <v>Opening remarks</v>
      </c>
      <c r="B19" s="49" t="str">
        <f>IFERROR(__xludf.DUMMYFUNCTION("""COMPUTED_VALUE"""),"ContentMakers")</f>
        <v>ContentMakers</v>
      </c>
      <c r="C19" s="51" t="str">
        <f>IFERROR(__xludf.DUMMYFUNCTION("""COMPUTED_VALUE"""),"Jim Prior")</f>
        <v>Jim Prior</v>
      </c>
      <c r="D19" s="49" t="str">
        <f>IFERROR(__xludf.DUMMYFUNCTION("""COMPUTED_VALUE"""),"2019/11/07 11:15:00")</f>
        <v>2019/11/07 11:15:00</v>
      </c>
      <c r="E19" s="49" t="str">
        <f>IFERROR(__xludf.DUMMYFUNCTION("""COMPUTED_VALUE"""),"2019/11/07 11:30:00")</f>
        <v>2019/11/07 11:30:00</v>
      </c>
      <c r="F19" s="49" t="str">
        <f>IFERROR(__xludf.DUMMYFUNCTION("""COMPUTED_VALUE"""),"0b04d957-85d2-4348-8ffc-a8a8c89b721f")</f>
        <v>0b04d957-85d2-4348-8ffc-a8a8c89b721f</v>
      </c>
      <c r="G19" s="52">
        <f>IFERROR(__xludf.DUMMYFUNCTION("""COMPUTED_VALUE"""),43776.0)</f>
        <v>43776</v>
      </c>
      <c r="H19" s="53">
        <f>IFERROR(__xludf.DUMMYFUNCTION("""COMPUTED_VALUE"""),0.46875)</f>
        <v>0.46875</v>
      </c>
      <c r="I19" s="52">
        <f>IFERROR(__xludf.DUMMYFUNCTION("""COMPUTED_VALUE"""),43776.0)</f>
        <v>43776</v>
      </c>
      <c r="J19" s="53">
        <f>IFERROR(__xludf.DUMMYFUNCTION("""COMPUTED_VALUE"""),0.4791666666666667)</f>
        <v>0.4791666667</v>
      </c>
      <c r="K19" s="53">
        <f t="shared" si="1"/>
        <v>0.01041666667</v>
      </c>
      <c r="L19" s="49" t="s">
        <v>118</v>
      </c>
      <c r="M19" s="62" t="s">
        <v>284</v>
      </c>
      <c r="N19" s="62" t="str">
        <f t="shared" si="2"/>
        <v>CM_7_1_0b04d957-85d2-4348-8ffc-a8a8c89b721f_000000_000000.mp4</v>
      </c>
      <c r="O19" s="48"/>
      <c r="P19" s="48"/>
      <c r="Q19" s="63"/>
      <c r="R19" s="49"/>
      <c r="S19" s="49"/>
      <c r="T19" s="49"/>
    </row>
    <row r="20">
      <c r="A20" s="49" t="str">
        <f>IFERROR(__xludf.DUMMYFUNCTION("""COMPUTED_VALUE"""),"Content moderation: A Google perspective")</f>
        <v>Content moderation: A Google perspective</v>
      </c>
      <c r="B20" s="49" t="str">
        <f>IFERROR(__xludf.DUMMYFUNCTION("""COMPUTED_VALUE"""),"ContentMakers")</f>
        <v>ContentMakers</v>
      </c>
      <c r="C20" s="51" t="str">
        <f>IFERROR(__xludf.DUMMYFUNCTION("""COMPUTED_VALUE"""),"David Graff and Jonathan Weber")</f>
        <v>David Graff and Jonathan Weber</v>
      </c>
      <c r="D20" s="49" t="str">
        <f>IFERROR(__xludf.DUMMYFUNCTION("""COMPUTED_VALUE"""),"2019/11/07 11:30:00")</f>
        <v>2019/11/07 11:30:00</v>
      </c>
      <c r="E20" s="49" t="str">
        <f>IFERROR(__xludf.DUMMYFUNCTION("""COMPUTED_VALUE"""),"2019/11/07 11:55:00")</f>
        <v>2019/11/07 11:55:00</v>
      </c>
      <c r="F20" s="49" t="str">
        <f>IFERROR(__xludf.DUMMYFUNCTION("""COMPUTED_VALUE"""),"4af1f8e7-3944-4d28-b50f-964448412570")</f>
        <v>4af1f8e7-3944-4d28-b50f-964448412570</v>
      </c>
      <c r="G20" s="52">
        <f>IFERROR(__xludf.DUMMYFUNCTION("""COMPUTED_VALUE"""),43776.0)</f>
        <v>43776</v>
      </c>
      <c r="H20" s="53">
        <f>IFERROR(__xludf.DUMMYFUNCTION("""COMPUTED_VALUE"""),0.4791666666666667)</f>
        <v>0.4791666667</v>
      </c>
      <c r="I20" s="52">
        <f>IFERROR(__xludf.DUMMYFUNCTION("""COMPUTED_VALUE"""),43776.0)</f>
        <v>43776</v>
      </c>
      <c r="J20" s="53">
        <f>IFERROR(__xludf.DUMMYFUNCTION("""COMPUTED_VALUE"""),0.4965277777777778)</f>
        <v>0.4965277778</v>
      </c>
      <c r="K20" s="53">
        <f t="shared" si="1"/>
        <v>0.01736111111</v>
      </c>
      <c r="L20" s="49" t="s">
        <v>111</v>
      </c>
      <c r="M20" s="62" t="s">
        <v>285</v>
      </c>
      <c r="N20" s="62" t="str">
        <f t="shared" si="2"/>
        <v>CM_7_2_4af1f8e7-3944-4d28-b50f-964448412570_000000_000000.mp4</v>
      </c>
      <c r="O20" s="48"/>
      <c r="P20" s="48"/>
      <c r="Q20" s="63"/>
      <c r="R20" s="49"/>
      <c r="S20" s="49"/>
      <c r="T20" s="49"/>
    </row>
    <row r="21">
      <c r="A21" s="49" t="str">
        <f>IFERROR(__xludf.DUMMYFUNCTION("""COMPUTED_VALUE"""),"Cashing in on the news")</f>
        <v>Cashing in on the news</v>
      </c>
      <c r="B21" s="49" t="str">
        <f>IFERROR(__xludf.DUMMYFUNCTION("""COMPUTED_VALUE"""),"ContentMakers")</f>
        <v>ContentMakers</v>
      </c>
      <c r="C21" s="51" t="str">
        <f>IFERROR(__xludf.DUMMYFUNCTION("""COMPUTED_VALUE"""),"Michael Peters and Rebecca Stewart")</f>
        <v>Michael Peters and Rebecca Stewart</v>
      </c>
      <c r="D21" s="49" t="str">
        <f>IFERROR(__xludf.DUMMYFUNCTION("""COMPUTED_VALUE"""),"2019/11/07 11:55:00")</f>
        <v>2019/11/07 11:55:00</v>
      </c>
      <c r="E21" s="49" t="str">
        <f>IFERROR(__xludf.DUMMYFUNCTION("""COMPUTED_VALUE"""),"2019/11/07 12:15:00")</f>
        <v>2019/11/07 12:15:00</v>
      </c>
      <c r="F21" s="49" t="str">
        <f>IFERROR(__xludf.DUMMYFUNCTION("""COMPUTED_VALUE"""),"8b40b355-e9ec-4f8a-b2f9-e29349aff7e9")</f>
        <v>8b40b355-e9ec-4f8a-b2f9-e29349aff7e9</v>
      </c>
      <c r="G21" s="52">
        <f>IFERROR(__xludf.DUMMYFUNCTION("""COMPUTED_VALUE"""),43776.0)</f>
        <v>43776</v>
      </c>
      <c r="H21" s="53">
        <f>IFERROR(__xludf.DUMMYFUNCTION("""COMPUTED_VALUE"""),0.4965277777777778)</f>
        <v>0.4965277778</v>
      </c>
      <c r="I21" s="52">
        <f>IFERROR(__xludf.DUMMYFUNCTION("""COMPUTED_VALUE"""),43776.0)</f>
        <v>43776</v>
      </c>
      <c r="J21" s="53">
        <f>IFERROR(__xludf.DUMMYFUNCTION("""COMPUTED_VALUE"""),0.5104166666666666)</f>
        <v>0.5104166667</v>
      </c>
      <c r="K21" s="53">
        <f t="shared" si="1"/>
        <v>0.01388888889</v>
      </c>
      <c r="L21" s="49" t="s">
        <v>109</v>
      </c>
      <c r="M21" s="62" t="s">
        <v>286</v>
      </c>
      <c r="N21" s="62" t="str">
        <f t="shared" si="2"/>
        <v>CM_7_3_8b40b355-e9ec-4f8a-b2f9-e29349aff7e9_000000_000000.mp4</v>
      </c>
      <c r="O21" s="48"/>
      <c r="P21" s="48"/>
      <c r="Q21" s="63"/>
      <c r="R21" s="49"/>
      <c r="S21" s="49"/>
      <c r="T21" s="49"/>
    </row>
    <row r="22">
      <c r="A22" s="49" t="str">
        <f>IFERROR(__xludf.DUMMYFUNCTION("""COMPUTED_VALUE"""),"Is there a future for TV?")</f>
        <v>Is there a future for TV?</v>
      </c>
      <c r="B22" s="49" t="str">
        <f>IFERROR(__xludf.DUMMYFUNCTION("""COMPUTED_VALUE"""),"ContentMakers")</f>
        <v>ContentMakers</v>
      </c>
      <c r="C22" s="51" t="str">
        <f>IFERROR(__xludf.DUMMYFUNCTION("""COMPUTED_VALUE"""),"Patrick Holland, Juliet Mann and Ania Poullain-Majchrzak")</f>
        <v>Patrick Holland, Juliet Mann and Ania Poullain-Majchrzak</v>
      </c>
      <c r="D22" s="49" t="str">
        <f>IFERROR(__xludf.DUMMYFUNCTION("""COMPUTED_VALUE"""),"2019/11/07 12:15:00")</f>
        <v>2019/11/07 12:15:00</v>
      </c>
      <c r="E22" s="49" t="str">
        <f>IFERROR(__xludf.DUMMYFUNCTION("""COMPUTED_VALUE"""),"2019/11/07 12:35:00")</f>
        <v>2019/11/07 12:35:00</v>
      </c>
      <c r="F22" s="49" t="str">
        <f>IFERROR(__xludf.DUMMYFUNCTION("""COMPUTED_VALUE"""),"e5d32825-cddf-4932-8ee1-67a20d5318a7")</f>
        <v>e5d32825-cddf-4932-8ee1-67a20d5318a7</v>
      </c>
      <c r="G22" s="52">
        <f>IFERROR(__xludf.DUMMYFUNCTION("""COMPUTED_VALUE"""),43776.0)</f>
        <v>43776</v>
      </c>
      <c r="H22" s="53">
        <f>IFERROR(__xludf.DUMMYFUNCTION("""COMPUTED_VALUE"""),0.5104166666666666)</f>
        <v>0.5104166667</v>
      </c>
      <c r="I22" s="52">
        <f>IFERROR(__xludf.DUMMYFUNCTION("""COMPUTED_VALUE"""),43776.0)</f>
        <v>43776</v>
      </c>
      <c r="J22" s="53">
        <f>IFERROR(__xludf.DUMMYFUNCTION("""COMPUTED_VALUE"""),0.5243055555555556)</f>
        <v>0.5243055556</v>
      </c>
      <c r="K22" s="53">
        <f t="shared" si="1"/>
        <v>0.01388888889</v>
      </c>
      <c r="L22" s="49" t="s">
        <v>109</v>
      </c>
      <c r="M22" s="62" t="s">
        <v>287</v>
      </c>
      <c r="N22" s="62" t="str">
        <f t="shared" si="2"/>
        <v>CM_7_4_e5d32825-cddf-4932-8ee1-67a20d5318a7_000000_000000.mp4</v>
      </c>
      <c r="O22" s="48"/>
      <c r="P22" s="48"/>
      <c r="Q22" s="63"/>
      <c r="R22" s="49"/>
      <c r="S22" s="49"/>
      <c r="T22" s="49"/>
    </row>
    <row r="23">
      <c r="A23" s="49" t="str">
        <f>IFERROR(__xludf.DUMMYFUNCTION("""COMPUTED_VALUE"""),"The power of influence")</f>
        <v>The power of influence</v>
      </c>
      <c r="B23" s="49" t="str">
        <f>IFERROR(__xludf.DUMMYFUNCTION("""COMPUTED_VALUE"""),"ContentMakers")</f>
        <v>ContentMakers</v>
      </c>
      <c r="C23" s="51" t="str">
        <f>IFERROR(__xludf.DUMMYFUNCTION("""COMPUTED_VALUE"""),"Caspar Lee, Ben Jeffries and Ali Aydin")</f>
        <v>Caspar Lee, Ben Jeffries and Ali Aydin</v>
      </c>
      <c r="D23" s="49" t="str">
        <f>IFERROR(__xludf.DUMMYFUNCTION("""COMPUTED_VALUE"""),"2019/11/07 12:35:00")</f>
        <v>2019/11/07 12:35:00</v>
      </c>
      <c r="E23" s="49" t="str">
        <f>IFERROR(__xludf.DUMMYFUNCTION("""COMPUTED_VALUE"""),"2019/11/07 13:00:00")</f>
        <v>2019/11/07 13:00:00</v>
      </c>
      <c r="F23" s="49" t="str">
        <f>IFERROR(__xludf.DUMMYFUNCTION("""COMPUTED_VALUE"""),"ec27f57b-666c-4cb9-88a8-d6660ef1cf70")</f>
        <v>ec27f57b-666c-4cb9-88a8-d6660ef1cf70</v>
      </c>
      <c r="G23" s="52">
        <f>IFERROR(__xludf.DUMMYFUNCTION("""COMPUTED_VALUE"""),43776.0)</f>
        <v>43776</v>
      </c>
      <c r="H23" s="53">
        <f>IFERROR(__xludf.DUMMYFUNCTION("""COMPUTED_VALUE"""),0.5243055555555556)</f>
        <v>0.5243055556</v>
      </c>
      <c r="I23" s="52">
        <f>IFERROR(__xludf.DUMMYFUNCTION("""COMPUTED_VALUE"""),43776.0)</f>
        <v>43776</v>
      </c>
      <c r="J23" s="53">
        <f>IFERROR(__xludf.DUMMYFUNCTION("""COMPUTED_VALUE"""),0.5416666666666666)</f>
        <v>0.5416666667</v>
      </c>
      <c r="K23" s="53">
        <f t="shared" si="1"/>
        <v>0.01736111111</v>
      </c>
      <c r="L23" s="49" t="s">
        <v>111</v>
      </c>
      <c r="M23" s="62" t="s">
        <v>288</v>
      </c>
      <c r="N23" s="62" t="str">
        <f t="shared" si="2"/>
        <v>CM_7_5_ec27f57b-666c-4cb9-88a8-d6660ef1cf70_000000_000000.mp4</v>
      </c>
      <c r="O23" s="48"/>
      <c r="P23" s="48"/>
      <c r="Q23" s="63"/>
      <c r="R23" s="49"/>
      <c r="S23" s="49"/>
      <c r="T23" s="49"/>
    </row>
    <row r="24">
      <c r="A24" s="49" t="str">
        <f>IFERROR(__xludf.DUMMYFUNCTION("""COMPUTED_VALUE"""),"Esports: Winning is just the beginning")</f>
        <v>Esports: Winning is just the beginning</v>
      </c>
      <c r="B24" s="49" t="str">
        <f>IFERROR(__xludf.DUMMYFUNCTION("""COMPUTED_VALUE"""),"ContentMakers")</f>
        <v>ContentMakers</v>
      </c>
      <c r="C24" s="51" t="str">
        <f>IFERROR(__xludf.DUMMYFUNCTION("""COMPUTED_VALUE"""),"Bruce Stein")</f>
        <v>Bruce Stein</v>
      </c>
      <c r="D24" s="49" t="str">
        <f>IFERROR(__xludf.DUMMYFUNCTION("""COMPUTED_VALUE"""),"2019/11/07 13:00:00")</f>
        <v>2019/11/07 13:00:00</v>
      </c>
      <c r="E24" s="49" t="str">
        <f>IFERROR(__xludf.DUMMYFUNCTION("""COMPUTED_VALUE"""),"2019/11/07 13:20:00")</f>
        <v>2019/11/07 13:20:00</v>
      </c>
      <c r="F24" s="49" t="str">
        <f>IFERROR(__xludf.DUMMYFUNCTION("""COMPUTED_VALUE"""),"cbce1666-1df1-437a-b316-c0c20f66f6a3")</f>
        <v>cbce1666-1df1-437a-b316-c0c20f66f6a3</v>
      </c>
      <c r="G24" s="52">
        <f>IFERROR(__xludf.DUMMYFUNCTION("""COMPUTED_VALUE"""),43776.0)</f>
        <v>43776</v>
      </c>
      <c r="H24" s="53">
        <f>IFERROR(__xludf.DUMMYFUNCTION("""COMPUTED_VALUE"""),0.5416666666666666)</f>
        <v>0.5416666667</v>
      </c>
      <c r="I24" s="52">
        <f>IFERROR(__xludf.DUMMYFUNCTION("""COMPUTED_VALUE"""),43776.0)</f>
        <v>43776</v>
      </c>
      <c r="J24" s="53">
        <f>IFERROR(__xludf.DUMMYFUNCTION("""COMPUTED_VALUE"""),0.5555555555555556)</f>
        <v>0.5555555556</v>
      </c>
      <c r="K24" s="53">
        <f t="shared" si="1"/>
        <v>0.01388888889</v>
      </c>
      <c r="L24" s="49" t="s">
        <v>109</v>
      </c>
      <c r="M24" s="62" t="s">
        <v>289</v>
      </c>
      <c r="N24" s="62" t="str">
        <f t="shared" si="2"/>
        <v>CM_7_6_cbce1666-1df1-437a-b316-c0c20f66f6a3_000000_000000.mp4</v>
      </c>
      <c r="O24" s="48"/>
      <c r="P24" s="48"/>
      <c r="Q24" s="63"/>
      <c r="R24" s="49"/>
      <c r="S24" s="49"/>
      <c r="T24" s="49"/>
    </row>
    <row r="25">
      <c r="A25" s="49" t="str">
        <f>IFERROR(__xludf.DUMMYFUNCTION("""COMPUTED_VALUE"""),"Lunch break")</f>
        <v>Lunch break</v>
      </c>
      <c r="B25" s="49" t="str">
        <f>IFERROR(__xludf.DUMMYFUNCTION("""COMPUTED_VALUE"""),"ContentMakers")</f>
        <v>ContentMakers</v>
      </c>
      <c r="C25" s="51" t="str">
        <f>IFERROR(__xludf.DUMMYFUNCTION("""COMPUTED_VALUE"""),"")</f>
        <v/>
      </c>
      <c r="D25" s="49" t="str">
        <f>IFERROR(__xludf.DUMMYFUNCTION("""COMPUTED_VALUE"""),"2019/11/07 13:20:00")</f>
        <v>2019/11/07 13:20:00</v>
      </c>
      <c r="E25" s="49" t="str">
        <f>IFERROR(__xludf.DUMMYFUNCTION("""COMPUTED_VALUE"""),"2019/11/07 14:10:00")</f>
        <v>2019/11/07 14:10:00</v>
      </c>
      <c r="F25" s="49" t="str">
        <f>IFERROR(__xludf.DUMMYFUNCTION("""COMPUTED_VALUE"""),"d8868840-1b16-450d-900f-73724cb0ce90")</f>
        <v>d8868840-1b16-450d-900f-73724cb0ce90</v>
      </c>
      <c r="G25" s="52">
        <f>IFERROR(__xludf.DUMMYFUNCTION("""COMPUTED_VALUE"""),43776.0)</f>
        <v>43776</v>
      </c>
      <c r="H25" s="53">
        <f>IFERROR(__xludf.DUMMYFUNCTION("""COMPUTED_VALUE"""),0.5555555555555556)</f>
        <v>0.5555555556</v>
      </c>
      <c r="I25" s="52">
        <f>IFERROR(__xludf.DUMMYFUNCTION("""COMPUTED_VALUE"""),43776.0)</f>
        <v>43776</v>
      </c>
      <c r="J25" s="53">
        <f>IFERROR(__xludf.DUMMYFUNCTION("""COMPUTED_VALUE"""),0.5902777777777778)</f>
        <v>0.5902777778</v>
      </c>
      <c r="K25" s="53">
        <f t="shared" si="1"/>
        <v>0.03472222222</v>
      </c>
      <c r="L25" s="49" t="s">
        <v>290</v>
      </c>
      <c r="M25" s="49"/>
      <c r="N25" s="62" t="str">
        <f t="shared" si="2"/>
        <v>_d8868840-1b16-450d-900f-73724cb0ce90_000000_000000.mp4</v>
      </c>
      <c r="O25" s="48"/>
      <c r="P25" s="48"/>
      <c r="Q25" s="63"/>
      <c r="R25" s="49"/>
      <c r="S25" s="49"/>
      <c r="T25" s="49"/>
    </row>
    <row r="26">
      <c r="A26" s="49" t="str">
        <f>IFERROR(__xludf.DUMMYFUNCTION("""COMPUTED_VALUE"""),"Opening Remarks")</f>
        <v>Opening Remarks</v>
      </c>
      <c r="B26" s="49" t="str">
        <f>IFERROR(__xludf.DUMMYFUNCTION("""COMPUTED_VALUE"""),"ContentMakers")</f>
        <v>ContentMakers</v>
      </c>
      <c r="C26" s="51" t="str">
        <f>IFERROR(__xludf.DUMMYFUNCTION("""COMPUTED_VALUE"""),"Cynthia Johnson")</f>
        <v>Cynthia Johnson</v>
      </c>
      <c r="D26" s="49" t="str">
        <f>IFERROR(__xludf.DUMMYFUNCTION("""COMPUTED_VALUE"""),"2019/11/07 14:10:00")</f>
        <v>2019/11/07 14:10:00</v>
      </c>
      <c r="E26" s="49" t="str">
        <f>IFERROR(__xludf.DUMMYFUNCTION("""COMPUTED_VALUE"""),"2019/11/07 14:25:00")</f>
        <v>2019/11/07 14:25:00</v>
      </c>
      <c r="F26" s="49" t="str">
        <f>IFERROR(__xludf.DUMMYFUNCTION("""COMPUTED_VALUE"""),"da34fa6d-3af0-4163-9580-46a1290a9642")</f>
        <v>da34fa6d-3af0-4163-9580-46a1290a9642</v>
      </c>
      <c r="G26" s="52">
        <f>IFERROR(__xludf.DUMMYFUNCTION("""COMPUTED_VALUE"""),43776.0)</f>
        <v>43776</v>
      </c>
      <c r="H26" s="53">
        <f>IFERROR(__xludf.DUMMYFUNCTION("""COMPUTED_VALUE"""),0.5902777777777778)</f>
        <v>0.5902777778</v>
      </c>
      <c r="I26" s="52">
        <f>IFERROR(__xludf.DUMMYFUNCTION("""COMPUTED_VALUE"""),43776.0)</f>
        <v>43776</v>
      </c>
      <c r="J26" s="53">
        <f>IFERROR(__xludf.DUMMYFUNCTION("""COMPUTED_VALUE"""),0.6006944444444444)</f>
        <v>0.6006944444</v>
      </c>
      <c r="K26" s="53">
        <f t="shared" si="1"/>
        <v>0.01041666667</v>
      </c>
      <c r="L26" s="49" t="s">
        <v>118</v>
      </c>
      <c r="M26" s="62" t="s">
        <v>291</v>
      </c>
      <c r="N26" s="62" t="str">
        <f t="shared" si="2"/>
        <v>CM_7_7_da34fa6d-3af0-4163-9580-46a1290a9642_000000_000000.mp4</v>
      </c>
      <c r="O26" s="48"/>
      <c r="P26" s="48"/>
      <c r="Q26" s="63"/>
      <c r="R26" s="49"/>
      <c r="S26" s="49"/>
      <c r="T26" s="49"/>
    </row>
    <row r="27">
      <c r="A27" s="49" t="str">
        <f>IFERROR(__xludf.DUMMYFUNCTION("""COMPUTED_VALUE"""),"Branding content: How to do it right")</f>
        <v>Branding content: How to do it right</v>
      </c>
      <c r="B27" s="49" t="str">
        <f>IFERROR(__xludf.DUMMYFUNCTION("""COMPUTED_VALUE"""),"ContentMakers")</f>
        <v>ContentMakers</v>
      </c>
      <c r="C27" s="51" t="str">
        <f>IFERROR(__xludf.DUMMYFUNCTION("""COMPUTED_VALUE"""),"Fernando Machado, Sairah Ashman, David Fischer and Lindsey Turrentine")</f>
        <v>Fernando Machado, Sairah Ashman, David Fischer and Lindsey Turrentine</v>
      </c>
      <c r="D27" s="49" t="str">
        <f>IFERROR(__xludf.DUMMYFUNCTION("""COMPUTED_VALUE"""),"2019/11/07 14:40:00")</f>
        <v>2019/11/07 14:40:00</v>
      </c>
      <c r="E27" s="49" t="str">
        <f>IFERROR(__xludf.DUMMYFUNCTION("""COMPUTED_VALUE"""),"2019/11/07 15:00:00")</f>
        <v>2019/11/07 15:00:00</v>
      </c>
      <c r="F27" s="49" t="str">
        <f>IFERROR(__xludf.DUMMYFUNCTION("""COMPUTED_VALUE"""),"263ae3b3-62ad-4a73-93c5-963bfc34956a")</f>
        <v>263ae3b3-62ad-4a73-93c5-963bfc34956a</v>
      </c>
      <c r="G27" s="52">
        <f>IFERROR(__xludf.DUMMYFUNCTION("""COMPUTED_VALUE"""),43776.0)</f>
        <v>43776</v>
      </c>
      <c r="H27" s="53">
        <f>IFERROR(__xludf.DUMMYFUNCTION("""COMPUTED_VALUE"""),0.6111111111111112)</f>
        <v>0.6111111111</v>
      </c>
      <c r="I27" s="52">
        <f>IFERROR(__xludf.DUMMYFUNCTION("""COMPUTED_VALUE"""),43776.0)</f>
        <v>43776</v>
      </c>
      <c r="J27" s="53">
        <f>IFERROR(__xludf.DUMMYFUNCTION("""COMPUTED_VALUE"""),0.625)</f>
        <v>0.625</v>
      </c>
      <c r="K27" s="53">
        <f t="shared" si="1"/>
        <v>0.01388888889</v>
      </c>
      <c r="L27" s="49" t="s">
        <v>109</v>
      </c>
      <c r="M27" s="62" t="s">
        <v>292</v>
      </c>
      <c r="N27" s="62" t="str">
        <f t="shared" si="2"/>
        <v>CM_7_8_263ae3b3-62ad-4a73-93c5-963bfc34956a_000000_000000.mp4</v>
      </c>
      <c r="O27" s="48"/>
      <c r="P27" s="48"/>
      <c r="Q27" s="63"/>
      <c r="R27" s="49"/>
      <c r="S27" s="49"/>
      <c r="T27" s="49"/>
    </row>
    <row r="28">
      <c r="A28" s="49" t="str">
        <f>IFERROR(__xludf.DUMMYFUNCTION("""COMPUTED_VALUE"""),"Fuelling the esports phenomenon ")</f>
        <v>Fuelling the esports phenomenon </v>
      </c>
      <c r="B28" s="49" t="str">
        <f>IFERROR(__xludf.DUMMYFUNCTION("""COMPUTED_VALUE"""),"ContentMakers")</f>
        <v>ContentMakers</v>
      </c>
      <c r="C28" s="51" t="str">
        <f>IFERROR(__xludf.DUMMYFUNCTION("""COMPUTED_VALUE"""),"Bono Huis, Gavin Poole, Rachel Gowers and Dave Thier")</f>
        <v>Bono Huis, Gavin Poole, Rachel Gowers and Dave Thier</v>
      </c>
      <c r="D28" s="49" t="str">
        <f>IFERROR(__xludf.DUMMYFUNCTION("""COMPUTED_VALUE"""),"2019/11/07 15:00:00")</f>
        <v>2019/11/07 15:00:00</v>
      </c>
      <c r="E28" s="49" t="str">
        <f>IFERROR(__xludf.DUMMYFUNCTION("""COMPUTED_VALUE"""),"2019/11/07 15:20:00")</f>
        <v>2019/11/07 15:20:00</v>
      </c>
      <c r="F28" s="49" t="str">
        <f>IFERROR(__xludf.DUMMYFUNCTION("""COMPUTED_VALUE"""),"d9e939e7-e53b-4e77-a39d-c5a98fb80471")</f>
        <v>d9e939e7-e53b-4e77-a39d-c5a98fb80471</v>
      </c>
      <c r="G28" s="52">
        <f>IFERROR(__xludf.DUMMYFUNCTION("""COMPUTED_VALUE"""),43776.0)</f>
        <v>43776</v>
      </c>
      <c r="H28" s="53">
        <f>IFERROR(__xludf.DUMMYFUNCTION("""COMPUTED_VALUE"""),0.625)</f>
        <v>0.625</v>
      </c>
      <c r="I28" s="52">
        <f>IFERROR(__xludf.DUMMYFUNCTION("""COMPUTED_VALUE"""),43776.0)</f>
        <v>43776</v>
      </c>
      <c r="J28" s="53">
        <f>IFERROR(__xludf.DUMMYFUNCTION("""COMPUTED_VALUE"""),0.6388888888888888)</f>
        <v>0.6388888889</v>
      </c>
      <c r="K28" s="53">
        <f t="shared" si="1"/>
        <v>0.01388888889</v>
      </c>
      <c r="L28" s="49" t="s">
        <v>109</v>
      </c>
      <c r="M28" s="62" t="s">
        <v>293</v>
      </c>
      <c r="N28" s="62" t="str">
        <f t="shared" si="2"/>
        <v>CM_7_9_d9e939e7-e53b-4e77-a39d-c5a98fb80471_000000_000000.mp4</v>
      </c>
      <c r="O28" s="48"/>
      <c r="P28" s="48"/>
      <c r="Q28" s="63"/>
      <c r="R28" s="49"/>
      <c r="S28" s="49"/>
      <c r="T28" s="49"/>
    </row>
    <row r="29">
      <c r="A29" s="49" t="str">
        <f>IFERROR(__xludf.DUMMYFUNCTION("""COMPUTED_VALUE"""),"Entertainment 2030")</f>
        <v>Entertainment 2030</v>
      </c>
      <c r="B29" s="49" t="str">
        <f>IFERROR(__xludf.DUMMYFUNCTION("""COMPUTED_VALUE"""),"ContentMakers")</f>
        <v>ContentMakers</v>
      </c>
      <c r="C29" s="51" t="str">
        <f>IFERROR(__xludf.DUMMYFUNCTION("""COMPUTED_VALUE"""),"Tommy Palm, Eugene Chung, José Woldring and Liam Proud")</f>
        <v>Tommy Palm, Eugene Chung, José Woldring and Liam Proud</v>
      </c>
      <c r="D29" s="49" t="str">
        <f>IFERROR(__xludf.DUMMYFUNCTION("""COMPUTED_VALUE"""),"2019/11/07 15:20:00")</f>
        <v>2019/11/07 15:20:00</v>
      </c>
      <c r="E29" s="49" t="str">
        <f>IFERROR(__xludf.DUMMYFUNCTION("""COMPUTED_VALUE"""),"2019/11/07 15:40:00")</f>
        <v>2019/11/07 15:40:00</v>
      </c>
      <c r="F29" s="49" t="str">
        <f>IFERROR(__xludf.DUMMYFUNCTION("""COMPUTED_VALUE"""),"b0b3dd2f-1038-4cd8-a954-b0fb385b2dee")</f>
        <v>b0b3dd2f-1038-4cd8-a954-b0fb385b2dee</v>
      </c>
      <c r="G29" s="52">
        <f>IFERROR(__xludf.DUMMYFUNCTION("""COMPUTED_VALUE"""),43776.0)</f>
        <v>43776</v>
      </c>
      <c r="H29" s="53">
        <f>IFERROR(__xludf.DUMMYFUNCTION("""COMPUTED_VALUE"""),0.6388888888888888)</f>
        <v>0.6388888889</v>
      </c>
      <c r="I29" s="52">
        <f>IFERROR(__xludf.DUMMYFUNCTION("""COMPUTED_VALUE"""),43776.0)</f>
        <v>43776</v>
      </c>
      <c r="J29" s="53">
        <f>IFERROR(__xludf.DUMMYFUNCTION("""COMPUTED_VALUE"""),0.6527777777777778)</f>
        <v>0.6527777778</v>
      </c>
      <c r="K29" s="53">
        <f t="shared" si="1"/>
        <v>0.01388888889</v>
      </c>
      <c r="L29" s="49" t="s">
        <v>109</v>
      </c>
      <c r="M29" s="62" t="s">
        <v>294</v>
      </c>
      <c r="N29" s="62" t="str">
        <f t="shared" si="2"/>
        <v>CM_7_10_b0b3dd2f-1038-4cd8-a954-b0fb385b2dee_000000_000000.mp4</v>
      </c>
      <c r="O29" s="48"/>
      <c r="P29" s="48"/>
      <c r="Q29" s="63"/>
      <c r="R29" s="49"/>
      <c r="S29" s="49"/>
      <c r="T29" s="49"/>
    </row>
    <row r="30">
      <c r="A30" s="49" t="str">
        <f>IFERROR(__xludf.DUMMYFUNCTION("""COMPUTED_VALUE"""),"Content IP and how to leverage")</f>
        <v>Content IP and how to leverage</v>
      </c>
      <c r="B30" s="49" t="str">
        <f>IFERROR(__xludf.DUMMYFUNCTION("""COMPUTED_VALUE"""),"ContentMakers")</f>
        <v>ContentMakers</v>
      </c>
      <c r="C30" s="51" t="str">
        <f>IFERROR(__xludf.DUMMYFUNCTION("""COMPUTED_VALUE"""),"Wim Ponnet")</f>
        <v>Wim Ponnet</v>
      </c>
      <c r="D30" s="49" t="str">
        <f>IFERROR(__xludf.DUMMYFUNCTION("""COMPUTED_VALUE"""),"2019/11/07 15:40:00")</f>
        <v>2019/11/07 15:40:00</v>
      </c>
      <c r="E30" s="49" t="str">
        <f>IFERROR(__xludf.DUMMYFUNCTION("""COMPUTED_VALUE"""),"2019/11/07 15:55:00")</f>
        <v>2019/11/07 15:55:00</v>
      </c>
      <c r="F30" s="49" t="str">
        <f>IFERROR(__xludf.DUMMYFUNCTION("""COMPUTED_VALUE"""),"babecf13-e60a-4772-aa3a-9ae45e5453dc")</f>
        <v>babecf13-e60a-4772-aa3a-9ae45e5453dc</v>
      </c>
      <c r="G30" s="52">
        <f>IFERROR(__xludf.DUMMYFUNCTION("""COMPUTED_VALUE"""),43776.0)</f>
        <v>43776</v>
      </c>
      <c r="H30" s="53">
        <f>IFERROR(__xludf.DUMMYFUNCTION("""COMPUTED_VALUE"""),0.6527777777777778)</f>
        <v>0.6527777778</v>
      </c>
      <c r="I30" s="52">
        <f>IFERROR(__xludf.DUMMYFUNCTION("""COMPUTED_VALUE"""),43776.0)</f>
        <v>43776</v>
      </c>
      <c r="J30" s="53">
        <f>IFERROR(__xludf.DUMMYFUNCTION("""COMPUTED_VALUE"""),0.6631944444444444)</f>
        <v>0.6631944444</v>
      </c>
      <c r="K30" s="53">
        <f t="shared" si="1"/>
        <v>0.01041666667</v>
      </c>
      <c r="L30" s="49" t="s">
        <v>118</v>
      </c>
      <c r="M30" s="62" t="s">
        <v>295</v>
      </c>
      <c r="N30" s="62" t="str">
        <f t="shared" si="2"/>
        <v>CM_7_11_babecf13-e60a-4772-aa3a-9ae45e5453dc_000000_000000.mp4</v>
      </c>
      <c r="O30" s="48"/>
      <c r="P30" s="48"/>
      <c r="Q30" s="63"/>
      <c r="R30" s="49"/>
      <c r="S30" s="49"/>
      <c r="T30" s="49"/>
    </row>
    <row r="31">
      <c r="A31" s="49" t="str">
        <f>IFERROR(__xludf.DUMMYFUNCTION("""COMPUTED_VALUE"""),"Creating new worlds: Technology, innovation and storytelling")</f>
        <v>Creating new worlds: Technology, innovation and storytelling</v>
      </c>
      <c r="B31" s="49" t="str">
        <f>IFERROR(__xludf.DUMMYFUNCTION("""COMPUTED_VALUE"""),"ContentMakers")</f>
        <v>ContentMakers</v>
      </c>
      <c r="C31" s="51" t="str">
        <f>IFERROR(__xludf.DUMMYFUNCTION("""COMPUTED_VALUE"""),"Mohen Leo")</f>
        <v>Mohen Leo</v>
      </c>
      <c r="D31" s="49" t="str">
        <f>IFERROR(__xludf.DUMMYFUNCTION("""COMPUTED_VALUE"""),"2019/11/07 15:55:00")</f>
        <v>2019/11/07 15:55:00</v>
      </c>
      <c r="E31" s="49" t="str">
        <f>IFERROR(__xludf.DUMMYFUNCTION("""COMPUTED_VALUE"""),"2019/11/07 16:20:00")</f>
        <v>2019/11/07 16:20:00</v>
      </c>
      <c r="F31" s="49" t="str">
        <f>IFERROR(__xludf.DUMMYFUNCTION("""COMPUTED_VALUE"""),"5be544cf-3d3b-44bc-93a7-45ab95f353a7")</f>
        <v>5be544cf-3d3b-44bc-93a7-45ab95f353a7</v>
      </c>
      <c r="G31" s="52">
        <f>IFERROR(__xludf.DUMMYFUNCTION("""COMPUTED_VALUE"""),43776.0)</f>
        <v>43776</v>
      </c>
      <c r="H31" s="53">
        <f>IFERROR(__xludf.DUMMYFUNCTION("""COMPUTED_VALUE"""),0.6631944444444444)</f>
        <v>0.6631944444</v>
      </c>
      <c r="I31" s="52">
        <f>IFERROR(__xludf.DUMMYFUNCTION("""COMPUTED_VALUE"""),43776.0)</f>
        <v>43776</v>
      </c>
      <c r="J31" s="53">
        <f>IFERROR(__xludf.DUMMYFUNCTION("""COMPUTED_VALUE"""),0.6805555555555556)</f>
        <v>0.6805555556</v>
      </c>
      <c r="K31" s="53">
        <f t="shared" si="1"/>
        <v>0.01736111111</v>
      </c>
      <c r="L31" s="49" t="s">
        <v>111</v>
      </c>
      <c r="M31" s="62" t="s">
        <v>297</v>
      </c>
      <c r="N31" s="62" t="str">
        <f t="shared" si="2"/>
        <v>CM_7_12_5be544cf-3d3b-44bc-93a7-45ab95f353a7_000000_000000.mp4</v>
      </c>
      <c r="O31" s="48"/>
      <c r="P31" s="48"/>
      <c r="Q31" s="63"/>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f t="shared" si="1"/>
        <v>0</v>
      </c>
      <c r="L32" s="49" t="s">
        <v>255</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f t="shared" si="1"/>
        <v>0</v>
      </c>
      <c r="L33" s="49" t="s">
        <v>255</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f t="shared" si="1"/>
        <v>0</v>
      </c>
      <c r="L34" s="49" t="s">
        <v>255</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f t="shared" si="1"/>
        <v>0</v>
      </c>
      <c r="L35" s="49" t="s">
        <v>255</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f t="shared" si="1"/>
        <v>0</v>
      </c>
      <c r="L36" s="49" t="s">
        <v>255</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f t="shared" si="1"/>
        <v>0</v>
      </c>
      <c r="L37" s="49" t="s">
        <v>255</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f t="shared" si="1"/>
        <v>0</v>
      </c>
      <c r="L38" s="49" t="s">
        <v>255</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f t="shared" si="1"/>
        <v>0</v>
      </c>
      <c r="L39" s="49" t="s">
        <v>255</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f t="shared" si="1"/>
        <v>0</v>
      </c>
      <c r="L40" s="49" t="s">
        <v>255</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f t="shared" si="1"/>
        <v>0</v>
      </c>
      <c r="L41" s="49" t="s">
        <v>255</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f t="shared" si="1"/>
        <v>0</v>
      </c>
      <c r="L42" s="49" t="s">
        <v>255</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f t="shared" si="1"/>
        <v>0</v>
      </c>
      <c r="L43" s="49" t="s">
        <v>255</v>
      </c>
      <c r="M43" s="49"/>
      <c r="N43" s="49"/>
      <c r="O43" s="49"/>
      <c r="P43" s="49"/>
      <c r="Q43" s="49"/>
      <c r="R43" s="49"/>
      <c r="S43" s="49"/>
      <c r="T43" s="49"/>
    </row>
  </sheetData>
  <conditionalFormatting sqref="O2:O31">
    <cfRule type="containsText" dxfId="4" priority="1" operator="containsText" text="YES">
      <formula>NOT(ISERROR(SEARCH(("YES"),(O2))))</formula>
    </cfRule>
  </conditionalFormatting>
  <conditionalFormatting sqref="O2:O31">
    <cfRule type="cellIs" dxfId="5" priority="2" operator="equal">
      <formula>"NO"</formula>
    </cfRule>
  </conditionalFormatting>
  <conditionalFormatting sqref="P2:Q31">
    <cfRule type="cellIs" dxfId="4" priority="3" operator="equal">
      <formula>"AVAILABLE"</formula>
    </cfRule>
  </conditionalFormatting>
  <conditionalFormatting sqref="P2:Q31">
    <cfRule type="cellIs" dxfId="5" priority="4" operator="equal">
      <formula>"NOT AVAILABLE"</formula>
    </cfRule>
  </conditionalFormatting>
  <conditionalFormatting sqref="Q2:Q31">
    <cfRule type="cellIs" dxfId="4" priority="5" operator="equal">
      <formula>"AVAILABLE"</formula>
    </cfRule>
  </conditionalFormatting>
  <conditionalFormatting sqref="Q2:Q31">
    <cfRule type="cellIs" dxfId="6" priority="6" operator="equal">
      <formula>"UPLOADING"</formula>
    </cfRule>
  </conditionalFormatting>
  <conditionalFormatting sqref="Q2:Q31">
    <cfRule type="cellIs" dxfId="5" priority="7" operator="equal">
      <formula>"NOT AVAILABLE"</formula>
    </cfRule>
  </conditionalFormatting>
  <dataValidations>
    <dataValidation type="list" allowBlank="1" sqref="O2:O31">
      <formula1>"YES,NO"</formula1>
    </dataValidation>
    <dataValidation type="list" allowBlank="1" sqref="P2:P31">
      <formula1>"AVAILABLE,NOT AVAILABLE"</formula1>
    </dataValidation>
    <dataValidation type="list" allowBlank="1" sqref="Q2:Q31">
      <formula1>"AVAILABLE,UPLOADING,NOT AVAILABLE"</formula1>
    </dataValidation>
  </dataValidations>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3" max="3" width="28.14"/>
    <col hidden="1" min="4" max="5" width="14.43"/>
    <col hidden="1" min="9" max="9" width="14.43"/>
    <col customWidth="1" min="14" max="14" width="34.14"/>
  </cols>
  <sheetData>
    <row r="1">
      <c r="A1" s="55" t="s">
        <v>79</v>
      </c>
      <c r="B1" s="55" t="s">
        <v>80</v>
      </c>
      <c r="C1" s="67" t="s">
        <v>81</v>
      </c>
      <c r="D1" s="55" t="s">
        <v>82</v>
      </c>
      <c r="E1" s="55" t="s">
        <v>83</v>
      </c>
      <c r="F1" s="55" t="s">
        <v>84</v>
      </c>
      <c r="G1" s="55" t="s">
        <v>85</v>
      </c>
      <c r="H1" s="55" t="s">
        <v>86</v>
      </c>
      <c r="I1" s="55" t="s">
        <v>87</v>
      </c>
      <c r="J1" s="55" t="s">
        <v>88</v>
      </c>
      <c r="K1" s="55" t="s">
        <v>89</v>
      </c>
      <c r="L1" s="55" t="s">
        <v>90</v>
      </c>
      <c r="M1" s="46" t="s">
        <v>91</v>
      </c>
      <c r="N1" s="46" t="s">
        <v>92</v>
      </c>
      <c r="O1" s="48" t="s">
        <v>93</v>
      </c>
      <c r="P1" s="48" t="s">
        <v>94</v>
      </c>
      <c r="Q1" s="48" t="s">
        <v>95</v>
      </c>
    </row>
    <row r="2" ht="20.25" customHeight="1">
      <c r="A2" s="70" t="s">
        <v>296</v>
      </c>
      <c r="B2" s="57" t="s">
        <v>31</v>
      </c>
      <c r="C2" s="68" t="s">
        <v>298</v>
      </c>
      <c r="D2" s="71">
        <v>0.3854166666666667</v>
      </c>
      <c r="E2" s="71">
        <v>0.4270833333333333</v>
      </c>
      <c r="G2" s="72">
        <v>43774.0</v>
      </c>
      <c r="H2" s="71">
        <v>0.3854166666666667</v>
      </c>
      <c r="I2" s="72">
        <v>43774.0</v>
      </c>
      <c r="J2" s="71">
        <v>0.4270833333333333</v>
      </c>
      <c r="K2" s="71">
        <v>0.041666666666666664</v>
      </c>
      <c r="L2" s="57">
        <v>10000.0</v>
      </c>
      <c r="M2" s="62" t="s">
        <v>299</v>
      </c>
      <c r="N2" s="62" t="str">
        <f t="shared" ref="N2:N7" si="1">CONCATENATE(M2,"_",F2,"_","000000_000000.mp4")</f>
        <v>P1_5_1__000000_000000.mp4</v>
      </c>
      <c r="O2" s="48"/>
      <c r="P2" s="48"/>
      <c r="Q2" s="63"/>
    </row>
    <row r="3" ht="18.75" customHeight="1">
      <c r="A3" s="57" t="s">
        <v>300</v>
      </c>
      <c r="B3" s="57" t="s">
        <v>31</v>
      </c>
      <c r="C3" s="68" t="s">
        <v>301</v>
      </c>
      <c r="D3" s="71">
        <v>0.4270833333333333</v>
      </c>
      <c r="E3" s="71">
        <v>0.46875</v>
      </c>
      <c r="G3" s="72">
        <v>43774.0</v>
      </c>
      <c r="H3" s="71">
        <v>0.4270833333333333</v>
      </c>
      <c r="I3" s="72">
        <v>43774.0</v>
      </c>
      <c r="J3" s="71">
        <v>0.46875</v>
      </c>
      <c r="K3" s="71">
        <v>0.041666666666666664</v>
      </c>
      <c r="L3" s="57">
        <v>10000.0</v>
      </c>
      <c r="M3" s="62" t="s">
        <v>302</v>
      </c>
      <c r="N3" s="62" t="str">
        <f t="shared" si="1"/>
        <v>P1_5_2__000000_000000.mp4</v>
      </c>
      <c r="O3" s="48"/>
      <c r="P3" s="48"/>
      <c r="Q3" s="63"/>
    </row>
    <row r="4" ht="18.0" customHeight="1">
      <c r="A4" s="57" t="s">
        <v>303</v>
      </c>
      <c r="B4" s="57" t="s">
        <v>31</v>
      </c>
      <c r="C4" s="68" t="s">
        <v>304</v>
      </c>
      <c r="D4" s="71">
        <v>0.46875</v>
      </c>
      <c r="E4" s="71">
        <v>0.5104166666666666</v>
      </c>
      <c r="G4" s="72">
        <v>43774.0</v>
      </c>
      <c r="H4" s="71">
        <v>0.46875</v>
      </c>
      <c r="I4" s="72">
        <v>43774.0</v>
      </c>
      <c r="J4" s="71">
        <v>0.5104166666666666</v>
      </c>
      <c r="K4" s="71">
        <v>0.041666666666666664</v>
      </c>
      <c r="L4" s="57">
        <v>10000.0</v>
      </c>
      <c r="M4" s="62" t="s">
        <v>305</v>
      </c>
      <c r="N4" s="62" t="str">
        <f t="shared" si="1"/>
        <v>P1_5_3__000000_000000.mp4</v>
      </c>
      <c r="O4" s="48"/>
      <c r="P4" s="48"/>
      <c r="Q4" s="63"/>
    </row>
    <row r="5" ht="17.25" customHeight="1">
      <c r="A5" s="57" t="s">
        <v>306</v>
      </c>
      <c r="B5" s="57" t="s">
        <v>31</v>
      </c>
      <c r="C5" s="68" t="s">
        <v>307</v>
      </c>
      <c r="D5" s="71">
        <v>0.5104166666666666</v>
      </c>
      <c r="E5" s="71">
        <v>0.5520833333333334</v>
      </c>
      <c r="G5" s="72">
        <v>43774.0</v>
      </c>
      <c r="H5" s="71">
        <v>0.5104166666666666</v>
      </c>
      <c r="I5" s="72">
        <v>43774.0</v>
      </c>
      <c r="J5" s="71">
        <v>0.5520833333333334</v>
      </c>
      <c r="K5" s="71">
        <v>0.041666666666666664</v>
      </c>
      <c r="L5" s="57">
        <v>10000.0</v>
      </c>
      <c r="M5" s="62" t="s">
        <v>308</v>
      </c>
      <c r="N5" s="62" t="str">
        <f t="shared" si="1"/>
        <v>P1_5_4__000000_000000.mp4</v>
      </c>
      <c r="O5" s="48"/>
      <c r="P5" s="48"/>
      <c r="Q5" s="63"/>
    </row>
    <row r="6" ht="20.25" customHeight="1">
      <c r="A6" s="57" t="s">
        <v>309</v>
      </c>
      <c r="B6" s="57" t="s">
        <v>31</v>
      </c>
      <c r="C6" s="68" t="s">
        <v>310</v>
      </c>
      <c r="D6" s="71">
        <v>0.5833333333333334</v>
      </c>
      <c r="E6" s="71">
        <v>0.625</v>
      </c>
      <c r="G6" s="72">
        <v>43774.0</v>
      </c>
      <c r="H6" s="71">
        <v>0.5833333333333334</v>
      </c>
      <c r="I6" s="72">
        <v>43774.0</v>
      </c>
      <c r="J6" s="71">
        <v>0.625</v>
      </c>
      <c r="K6" s="71">
        <v>0.041666666666666664</v>
      </c>
      <c r="L6" s="57">
        <v>10000.0</v>
      </c>
      <c r="M6" s="62" t="s">
        <v>311</v>
      </c>
      <c r="N6" s="62" t="str">
        <f t="shared" si="1"/>
        <v>P1_5_5__000000_000000.mp4</v>
      </c>
      <c r="O6" s="48"/>
      <c r="P6" s="48"/>
      <c r="Q6" s="63"/>
    </row>
    <row r="7" ht="21.0" customHeight="1">
      <c r="A7" s="73" t="s">
        <v>312</v>
      </c>
      <c r="B7" s="57" t="s">
        <v>31</v>
      </c>
      <c r="C7" s="68" t="s">
        <v>313</v>
      </c>
      <c r="D7" s="71">
        <v>0.625</v>
      </c>
      <c r="E7" s="71">
        <v>0.6666666666666666</v>
      </c>
      <c r="G7" s="72">
        <v>43774.0</v>
      </c>
      <c r="H7" s="71">
        <v>0.625</v>
      </c>
      <c r="I7" s="72">
        <v>43774.0</v>
      </c>
      <c r="J7" s="71">
        <v>0.6666666666666666</v>
      </c>
      <c r="K7" s="71">
        <v>0.041666666666666664</v>
      </c>
      <c r="L7" s="57">
        <v>10000.0</v>
      </c>
      <c r="M7" s="62" t="s">
        <v>314</v>
      </c>
      <c r="N7" s="62" t="str">
        <f t="shared" si="1"/>
        <v>P1_5_6__000000_000000.mp4</v>
      </c>
      <c r="O7" s="48"/>
      <c r="P7" s="48"/>
      <c r="Q7" s="63"/>
    </row>
  </sheetData>
  <conditionalFormatting sqref="O2:O7">
    <cfRule type="containsText" dxfId="4" priority="1" operator="containsText" text="YES">
      <formula>NOT(ISERROR(SEARCH(("YES"),(O2))))</formula>
    </cfRule>
  </conditionalFormatting>
  <conditionalFormatting sqref="O2:O7">
    <cfRule type="cellIs" dxfId="5" priority="2" operator="equal">
      <formula>"NO"</formula>
    </cfRule>
  </conditionalFormatting>
  <conditionalFormatting sqref="P2:P7">
    <cfRule type="cellIs" dxfId="4" priority="3" operator="equal">
      <formula>"AVAILABLE"</formula>
    </cfRule>
  </conditionalFormatting>
  <conditionalFormatting sqref="P2:P7">
    <cfRule type="cellIs" dxfId="5" priority="4" operator="equal">
      <formula>"NOT AVAILABLE"</formula>
    </cfRule>
  </conditionalFormatting>
  <conditionalFormatting sqref="Q2:Q7">
    <cfRule type="cellIs" dxfId="4" priority="5" operator="equal">
      <formula>"AVAILABLE"</formula>
    </cfRule>
  </conditionalFormatting>
  <conditionalFormatting sqref="Q2:Q7">
    <cfRule type="cellIs" dxfId="6" priority="6" operator="equal">
      <formula>"UPLOADING"</formula>
    </cfRule>
  </conditionalFormatting>
  <conditionalFormatting sqref="Q2:Q7">
    <cfRule type="cellIs" dxfId="5" priority="7" operator="equal">
      <formula>"NOT AVAILABLE"</formula>
    </cfRule>
  </conditionalFormatting>
  <dataValidations>
    <dataValidation type="list" allowBlank="1" sqref="O2:O7">
      <formula1>"YES,NO"</formula1>
    </dataValidation>
    <dataValidation type="list" allowBlank="1" sqref="P2:P7">
      <formula1>"AVAILABLE,NOT AVAILABLE"</formula1>
    </dataValidation>
    <dataValidation type="list" allowBlank="1" sqref="Q2:Q7">
      <formula1>"AVAILABLE,UPLOADING,NOT AVAILABLE"</formula1>
    </dataValidation>
  </dataValidations>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0.57"/>
    <col customWidth="1" min="2" max="2" width="25.0"/>
  </cols>
  <sheetData>
    <row r="1">
      <c r="A1" s="55" t="s">
        <v>79</v>
      </c>
      <c r="B1" s="55" t="s">
        <v>80</v>
      </c>
      <c r="C1" s="55" t="s">
        <v>81</v>
      </c>
      <c r="D1" s="55" t="s">
        <v>82</v>
      </c>
      <c r="E1" s="55" t="s">
        <v>83</v>
      </c>
      <c r="F1" s="55" t="s">
        <v>84</v>
      </c>
      <c r="G1" s="55" t="s">
        <v>85</v>
      </c>
      <c r="H1" s="55" t="s">
        <v>86</v>
      </c>
      <c r="I1" s="55" t="s">
        <v>87</v>
      </c>
      <c r="J1" s="55" t="s">
        <v>88</v>
      </c>
      <c r="K1" s="55" t="s">
        <v>89</v>
      </c>
      <c r="L1" s="55" t="s">
        <v>90</v>
      </c>
      <c r="M1" s="46" t="s">
        <v>91</v>
      </c>
      <c r="N1" s="46" t="s">
        <v>92</v>
      </c>
      <c r="O1" s="48" t="s">
        <v>93</v>
      </c>
      <c r="P1" s="48" t="s">
        <v>94</v>
      </c>
      <c r="Q1" s="48" t="s">
        <v>95</v>
      </c>
    </row>
    <row r="2" ht="18.75" customHeight="1">
      <c r="A2" s="57" t="s">
        <v>315</v>
      </c>
      <c r="B2" s="57" t="s">
        <v>32</v>
      </c>
      <c r="C2" s="10" t="s">
        <v>316</v>
      </c>
      <c r="D2" s="71">
        <v>0.4270833333333333</v>
      </c>
      <c r="E2" s="71">
        <v>0.46875</v>
      </c>
      <c r="G2" s="72">
        <v>43775.0</v>
      </c>
      <c r="H2" s="71">
        <v>0.4270833333333333</v>
      </c>
      <c r="I2" s="72">
        <v>43775.0</v>
      </c>
      <c r="J2" s="71">
        <v>0.46875</v>
      </c>
      <c r="K2" s="71">
        <v>0.041666666666666664</v>
      </c>
      <c r="L2" s="57">
        <v>10000.0</v>
      </c>
      <c r="M2" s="46" t="s">
        <v>317</v>
      </c>
      <c r="N2" s="62" t="s">
        <v>318</v>
      </c>
      <c r="O2" s="74"/>
      <c r="P2" s="74"/>
      <c r="Q2" s="74"/>
    </row>
    <row r="3" ht="14.25" customHeight="1">
      <c r="A3" s="57" t="s">
        <v>315</v>
      </c>
      <c r="B3" s="57" t="s">
        <v>32</v>
      </c>
      <c r="C3" s="10" t="s">
        <v>321</v>
      </c>
      <c r="D3" s="71">
        <v>0.46875</v>
      </c>
      <c r="E3" s="71">
        <v>0.5104166666666666</v>
      </c>
      <c r="G3" s="72">
        <v>43775.0</v>
      </c>
      <c r="H3" s="71">
        <v>0.46875</v>
      </c>
      <c r="I3" s="72">
        <v>43775.0</v>
      </c>
      <c r="J3" s="71">
        <v>0.5104166666666666</v>
      </c>
      <c r="K3" s="71">
        <v>0.041666666666666664</v>
      </c>
      <c r="L3" s="57">
        <v>10000.0</v>
      </c>
      <c r="M3" s="46" t="s">
        <v>322</v>
      </c>
      <c r="N3" s="62" t="str">
        <f t="shared" ref="N3:N6" si="1">CONCATENATE(M3,"_",F3,"_","000000_000000.mp4")</f>
        <v>SS_6_2__000000_000000.mp4</v>
      </c>
    </row>
    <row r="4" ht="12.75" customHeight="1">
      <c r="A4" s="57" t="s">
        <v>315</v>
      </c>
      <c r="B4" s="57" t="s">
        <v>32</v>
      </c>
      <c r="C4" s="10" t="s">
        <v>324</v>
      </c>
      <c r="D4" s="71">
        <v>0.5104166666666666</v>
      </c>
      <c r="E4" s="71">
        <v>0.5520833333333334</v>
      </c>
      <c r="G4" s="72">
        <v>43775.0</v>
      </c>
      <c r="H4" s="71">
        <v>0.5104166666666666</v>
      </c>
      <c r="I4" s="72">
        <v>43775.0</v>
      </c>
      <c r="J4" s="71">
        <v>0.5520833333333334</v>
      </c>
      <c r="K4" s="71">
        <v>0.041666666666666664</v>
      </c>
      <c r="L4" s="57">
        <v>10000.0</v>
      </c>
      <c r="M4" s="46" t="s">
        <v>325</v>
      </c>
      <c r="N4" s="62" t="str">
        <f t="shared" si="1"/>
        <v>SS_6_3__000000_000000.mp4</v>
      </c>
    </row>
    <row r="5">
      <c r="A5" s="57" t="s">
        <v>315</v>
      </c>
      <c r="B5" s="57" t="s">
        <v>32</v>
      </c>
      <c r="C5" s="57" t="s">
        <v>328</v>
      </c>
      <c r="D5" s="71">
        <v>0.59375</v>
      </c>
      <c r="E5" s="71">
        <v>0.6354166666666666</v>
      </c>
      <c r="G5" s="72">
        <v>43775.0</v>
      </c>
      <c r="H5" s="71">
        <v>0.59375</v>
      </c>
      <c r="I5" s="72">
        <v>43775.0</v>
      </c>
      <c r="J5" s="71">
        <v>0.6354166666666666</v>
      </c>
      <c r="K5" s="71">
        <v>0.041666666666666664</v>
      </c>
      <c r="L5" s="57">
        <v>10000.0</v>
      </c>
      <c r="M5" s="46" t="s">
        <v>329</v>
      </c>
      <c r="N5" s="62" t="str">
        <f t="shared" si="1"/>
        <v>SS_6_4__000000_000000.mp4</v>
      </c>
    </row>
    <row r="6">
      <c r="A6" s="57" t="s">
        <v>315</v>
      </c>
      <c r="B6" s="57" t="s">
        <v>32</v>
      </c>
      <c r="C6" s="57" t="s">
        <v>333</v>
      </c>
      <c r="D6" s="71">
        <v>0.6354166666666666</v>
      </c>
      <c r="E6" s="71">
        <v>0.6770833333333334</v>
      </c>
      <c r="G6" s="72">
        <v>43775.0</v>
      </c>
      <c r="H6" s="71">
        <v>0.6354166666666666</v>
      </c>
      <c r="I6" s="72">
        <v>43775.0</v>
      </c>
      <c r="J6" s="71">
        <v>0.6770833333333334</v>
      </c>
      <c r="K6" s="71">
        <v>0.041666666666666664</v>
      </c>
      <c r="L6" s="57">
        <v>10000.0</v>
      </c>
      <c r="M6" s="46" t="s">
        <v>335</v>
      </c>
      <c r="N6" s="62" t="str">
        <f t="shared" si="1"/>
        <v>SS_6_5__000000_000000.mp4</v>
      </c>
    </row>
  </sheetData>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3" max="3" width="29.43"/>
    <col hidden="1" min="4" max="5" width="14.43"/>
    <col hidden="1" min="9" max="9" width="14.43"/>
  </cols>
  <sheetData>
    <row r="1">
      <c r="A1" s="55" t="s">
        <v>79</v>
      </c>
      <c r="B1" s="55" t="s">
        <v>80</v>
      </c>
      <c r="C1" s="56" t="s">
        <v>81</v>
      </c>
      <c r="D1" s="55" t="s">
        <v>82</v>
      </c>
      <c r="E1" s="55" t="s">
        <v>83</v>
      </c>
      <c r="F1" s="55" t="s">
        <v>84</v>
      </c>
      <c r="G1" s="55" t="s">
        <v>85</v>
      </c>
      <c r="H1" s="55" t="s">
        <v>86</v>
      </c>
      <c r="I1" s="55" t="s">
        <v>87</v>
      </c>
      <c r="J1" s="55" t="s">
        <v>88</v>
      </c>
      <c r="K1" s="55" t="s">
        <v>89</v>
      </c>
      <c r="L1" s="55" t="s">
        <v>90</v>
      </c>
      <c r="M1" s="46" t="s">
        <v>91</v>
      </c>
      <c r="N1" s="46" t="s">
        <v>92</v>
      </c>
      <c r="O1" s="48" t="s">
        <v>93</v>
      </c>
      <c r="P1" s="48" t="s">
        <v>94</v>
      </c>
      <c r="Q1" s="48" t="s">
        <v>95</v>
      </c>
    </row>
    <row r="2">
      <c r="A2" s="57" t="s">
        <v>319</v>
      </c>
      <c r="B2" s="57" t="s">
        <v>34</v>
      </c>
      <c r="C2" s="58" t="s">
        <v>320</v>
      </c>
      <c r="G2" s="60">
        <v>43776.0</v>
      </c>
      <c r="H2" s="59">
        <v>0.4270833333333333</v>
      </c>
      <c r="J2" s="59">
        <v>0.46875</v>
      </c>
      <c r="K2" s="61">
        <f t="shared" ref="K2:K5" si="1">J2-H2</f>
        <v>0.04166666667</v>
      </c>
      <c r="M2" s="46" t="s">
        <v>323</v>
      </c>
      <c r="N2" s="75" t="str">
        <f t="shared" ref="N2:N5" si="2">CONCATENATE(M2,"_",F2,"_","000000_000000.mp4")</f>
        <v>MD_7_1__000000_000000.mp4</v>
      </c>
      <c r="O2" s="74"/>
      <c r="P2" s="74"/>
      <c r="Q2" s="74"/>
    </row>
    <row r="3">
      <c r="A3" s="57" t="s">
        <v>326</v>
      </c>
      <c r="B3" s="57" t="s">
        <v>34</v>
      </c>
      <c r="C3" s="58" t="s">
        <v>327</v>
      </c>
      <c r="G3" s="60">
        <v>43776.0</v>
      </c>
      <c r="H3" s="59">
        <v>0.46875</v>
      </c>
      <c r="J3" s="59">
        <v>0.5104166666666666</v>
      </c>
      <c r="K3" s="61">
        <f t="shared" si="1"/>
        <v>0.04166666667</v>
      </c>
      <c r="M3" s="46" t="s">
        <v>330</v>
      </c>
      <c r="N3" s="75" t="str">
        <f t="shared" si="2"/>
        <v>MD_7_2__000000_000000.mp4</v>
      </c>
    </row>
    <row r="4">
      <c r="A4" s="57" t="s">
        <v>331</v>
      </c>
      <c r="B4" s="57" t="s">
        <v>34</v>
      </c>
      <c r="C4" s="58" t="s">
        <v>332</v>
      </c>
      <c r="G4" s="60">
        <v>43776.0</v>
      </c>
      <c r="H4" s="59">
        <v>0.5104166666666666</v>
      </c>
      <c r="J4" s="59">
        <v>0.5520833333333334</v>
      </c>
      <c r="K4" s="61">
        <f t="shared" si="1"/>
        <v>0.04166666667</v>
      </c>
      <c r="M4" s="46" t="s">
        <v>334</v>
      </c>
      <c r="N4" s="75" t="str">
        <f t="shared" si="2"/>
        <v>MD_7_3__000000_000000.mp4</v>
      </c>
    </row>
    <row r="5">
      <c r="A5" s="57" t="s">
        <v>336</v>
      </c>
      <c r="B5" s="57" t="s">
        <v>34</v>
      </c>
      <c r="C5" s="58" t="s">
        <v>337</v>
      </c>
      <c r="G5" s="60">
        <v>43776.0</v>
      </c>
      <c r="H5" s="59">
        <v>0.6041666666666666</v>
      </c>
      <c r="J5" s="59">
        <v>0.6354166666666666</v>
      </c>
      <c r="K5" s="61">
        <f t="shared" si="1"/>
        <v>0.03125</v>
      </c>
      <c r="M5" s="46" t="s">
        <v>338</v>
      </c>
      <c r="N5" s="75" t="str">
        <f t="shared" si="2"/>
        <v>MD_7_4__000000_000000.mp4</v>
      </c>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0"/>
    <col customWidth="1" min="3" max="3" width="23.86"/>
    <col hidden="1" min="4" max="5" width="14.43"/>
    <col customWidth="1" min="6" max="6" width="36.86"/>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'creatiff' ORDER BY F"")"),"Opening remarks")</f>
        <v>Opening remarks</v>
      </c>
      <c r="B2" s="49" t="str">
        <f>IFERROR(__xludf.DUMMYFUNCTION("""COMPUTED_VALUE"""),"creatiff")</f>
        <v>creatiff</v>
      </c>
      <c r="C2" s="51" t="str">
        <f>IFERROR(__xludf.DUMMYFUNCTION("""COMPUTED_VALUE"""),"Cat How")</f>
        <v>Cat How</v>
      </c>
      <c r="D2" s="49" t="str">
        <f>IFERROR(__xludf.DUMMYFUNCTION("""COMPUTED_VALUE"""),"2019/11/05 11:00:00")</f>
        <v>2019/11/05 11:00:00</v>
      </c>
      <c r="E2" s="49" t="str">
        <f>IFERROR(__xludf.DUMMYFUNCTION("""COMPUTED_VALUE"""),"2019/11/05 11:15:00")</f>
        <v>2019/11/05 11:15:00</v>
      </c>
      <c r="F2" s="49" t="str">
        <f>IFERROR(__xludf.DUMMYFUNCTION("""COMPUTED_VALUE"""),"457f714b-695c-43f3-8226-29f0902597d2")</f>
        <v>457f714b-695c-43f3-8226-29f0902597d2</v>
      </c>
      <c r="G2" s="54">
        <f>IFERROR(__xludf.DUMMYFUNCTION("ARRAYFORMULA(SPLIT(D2:D521,"" ""))"),43774.0)</f>
        <v>43774</v>
      </c>
      <c r="H2" s="53">
        <f>IFERROR(__xludf.DUMMYFUNCTION("""COMPUTED_VALUE"""),0.4583333333333333)</f>
        <v>0.4583333333</v>
      </c>
      <c r="I2" s="54">
        <f>IFERROR(__xludf.DUMMYFUNCTION("ARRAYFORMULA(SPLIT(E2:E521,"" ""))"),43774.0)</f>
        <v>43774</v>
      </c>
      <c r="J2" s="53">
        <f>IFERROR(__xludf.DUMMYFUNCTION("""COMPUTED_VALUE"""),0.46875)</f>
        <v>0.46875</v>
      </c>
      <c r="K2" s="53">
        <f t="shared" ref="K2:K20" si="1">J2-H2</f>
        <v>0.01041666667</v>
      </c>
      <c r="L2" s="50" t="str">
        <f t="array" ref="L2:L521">TEXT(K2:K521,"hhmmss")</f>
        <v>001500</v>
      </c>
      <c r="M2" s="62" t="s">
        <v>339</v>
      </c>
      <c r="N2" s="76" t="str">
        <f t="shared" ref="N2:N15" si="2">CONCATENATE(M2,"_",F2,"_","000000_000000.mp4")</f>
        <v>CT_5_1_457f714b-695c-43f3-8226-29f0902597d2_000000_000000.mp4</v>
      </c>
      <c r="O2" s="48"/>
      <c r="P2" s="48"/>
      <c r="Q2" s="63"/>
      <c r="R2" s="49"/>
      <c r="S2" s="49"/>
      <c r="T2" s="49"/>
    </row>
    <row r="3">
      <c r="A3" s="49" t="str">
        <f>IFERROR(__xludf.DUMMYFUNCTION("""COMPUTED_VALUE"""),"21st century design is for everyone")</f>
        <v>21st century design is for everyone</v>
      </c>
      <c r="B3" s="49" t="str">
        <f>IFERROR(__xludf.DUMMYFUNCTION("""COMPUTED_VALUE"""),"creatiff")</f>
        <v>creatiff</v>
      </c>
      <c r="C3" s="51" t="str">
        <f>IFERROR(__xludf.DUMMYFUNCTION("""COMPUTED_VALUE"""),"Melanie Perkins")</f>
        <v>Melanie Perkins</v>
      </c>
      <c r="D3" s="49" t="str">
        <f>IFERROR(__xludf.DUMMYFUNCTION("""COMPUTED_VALUE"""),"2019/11/05 11:15:00")</f>
        <v>2019/11/05 11:15:00</v>
      </c>
      <c r="E3" s="49" t="str">
        <f>IFERROR(__xludf.DUMMYFUNCTION("""COMPUTED_VALUE"""),"2019/11/05 11:35:00")</f>
        <v>2019/11/05 11:35:00</v>
      </c>
      <c r="F3" s="49" t="str">
        <f>IFERROR(__xludf.DUMMYFUNCTION("""COMPUTED_VALUE"""),"0363dbf3-9a0c-498b-9119-2dd41e3a9148")</f>
        <v>0363dbf3-9a0c-498b-9119-2dd41e3a9148</v>
      </c>
      <c r="G3" s="52">
        <f>IFERROR(__xludf.DUMMYFUNCTION("""COMPUTED_VALUE"""),43774.0)</f>
        <v>43774</v>
      </c>
      <c r="H3" s="53">
        <f>IFERROR(__xludf.DUMMYFUNCTION("""COMPUTED_VALUE"""),0.46875)</f>
        <v>0.46875</v>
      </c>
      <c r="I3" s="52">
        <f>IFERROR(__xludf.DUMMYFUNCTION("""COMPUTED_VALUE"""),43774.0)</f>
        <v>43774</v>
      </c>
      <c r="J3" s="53">
        <f>IFERROR(__xludf.DUMMYFUNCTION("""COMPUTED_VALUE"""),0.4826388888888889)</f>
        <v>0.4826388889</v>
      </c>
      <c r="K3" s="53">
        <f t="shared" si="1"/>
        <v>0.01388888889</v>
      </c>
      <c r="L3" s="49" t="s">
        <v>109</v>
      </c>
      <c r="M3" s="62" t="s">
        <v>340</v>
      </c>
      <c r="N3" s="76" t="str">
        <f t="shared" si="2"/>
        <v>CT_5_2_0363dbf3-9a0c-498b-9119-2dd41e3a9148_000000_000000.mp4</v>
      </c>
      <c r="O3" s="48"/>
      <c r="P3" s="48"/>
      <c r="Q3" s="63"/>
      <c r="R3" s="49"/>
      <c r="S3" s="49"/>
      <c r="T3" s="49"/>
    </row>
    <row r="4">
      <c r="A4" s="49" t="str">
        <f>IFERROR(__xludf.DUMMYFUNCTION("""COMPUTED_VALUE"""),"Data addiction: AI and the future of design")</f>
        <v>Data addiction: AI and the future of design</v>
      </c>
      <c r="B4" s="49" t="str">
        <f>IFERROR(__xludf.DUMMYFUNCTION("""COMPUTED_VALUE"""),"creatiff")</f>
        <v>creatiff</v>
      </c>
      <c r="C4" s="51" t="str">
        <f>IFERROR(__xludf.DUMMYFUNCTION("""COMPUTED_VALUE"""),"Pete Stein, Yali Saar, Zak Normandin and Marcus Fairs")</f>
        <v>Pete Stein, Yali Saar, Zak Normandin and Marcus Fairs</v>
      </c>
      <c r="D4" s="49" t="str">
        <f>IFERROR(__xludf.DUMMYFUNCTION("""COMPUTED_VALUE"""),"2019/11/05 11:35:00")</f>
        <v>2019/11/05 11:35:00</v>
      </c>
      <c r="E4" s="49" t="str">
        <f>IFERROR(__xludf.DUMMYFUNCTION("""COMPUTED_VALUE"""),"2019/11/05 12:00:00")</f>
        <v>2019/11/05 12:00:00</v>
      </c>
      <c r="F4" s="49" t="str">
        <f>IFERROR(__xludf.DUMMYFUNCTION("""COMPUTED_VALUE"""),"ef858518-b75a-4a1d-8fd2-2ae1b889dc6a")</f>
        <v>ef858518-b75a-4a1d-8fd2-2ae1b889dc6a</v>
      </c>
      <c r="G4" s="52">
        <f>IFERROR(__xludf.DUMMYFUNCTION("""COMPUTED_VALUE"""),43774.0)</f>
        <v>43774</v>
      </c>
      <c r="H4" s="53">
        <f>IFERROR(__xludf.DUMMYFUNCTION("""COMPUTED_VALUE"""),0.4826388888888889)</f>
        <v>0.4826388889</v>
      </c>
      <c r="I4" s="52">
        <f>IFERROR(__xludf.DUMMYFUNCTION("""COMPUTED_VALUE"""),43774.0)</f>
        <v>43774</v>
      </c>
      <c r="J4" s="53">
        <f>IFERROR(__xludf.DUMMYFUNCTION("""COMPUTED_VALUE"""),0.5)</f>
        <v>0.5</v>
      </c>
      <c r="K4" s="53">
        <f t="shared" si="1"/>
        <v>0.01736111111</v>
      </c>
      <c r="L4" s="49" t="s">
        <v>111</v>
      </c>
      <c r="M4" s="62" t="s">
        <v>341</v>
      </c>
      <c r="N4" s="76" t="str">
        <f t="shared" si="2"/>
        <v>CT_5_3_ef858518-b75a-4a1d-8fd2-2ae1b889dc6a_000000_000000.mp4</v>
      </c>
      <c r="O4" s="48"/>
      <c r="P4" s="48"/>
      <c r="Q4" s="63"/>
      <c r="R4" s="49"/>
      <c r="S4" s="49"/>
      <c r="T4" s="49"/>
    </row>
    <row r="5">
      <c r="A5" s="49" t="str">
        <f>IFERROR(__xludf.DUMMYFUNCTION("""COMPUTED_VALUE"""),"UI and the future of the customer experience")</f>
        <v>UI and the future of the customer experience</v>
      </c>
      <c r="B5" s="49" t="str">
        <f>IFERROR(__xludf.DUMMYFUNCTION("""COMPUTED_VALUE"""),"creatiff")</f>
        <v>creatiff</v>
      </c>
      <c r="C5" s="51" t="str">
        <f>IFERROR(__xludf.DUMMYFUNCTION("""COMPUTED_VALUE"""),"Olga Madejska, Georg Petschnigg, Hector Ouilhet and Katie Deighton")</f>
        <v>Olga Madejska, Georg Petschnigg, Hector Ouilhet and Katie Deighton</v>
      </c>
      <c r="D5" s="49" t="str">
        <f>IFERROR(__xludf.DUMMYFUNCTION("""COMPUTED_VALUE"""),"2019/11/05 11:55:00")</f>
        <v>2019/11/05 11:55:00</v>
      </c>
      <c r="E5" s="49" t="str">
        <f>IFERROR(__xludf.DUMMYFUNCTION("""COMPUTED_VALUE"""),"2019/11/05 12:20:00")</f>
        <v>2019/11/05 12:20:00</v>
      </c>
      <c r="F5" s="49" t="str">
        <f>IFERROR(__xludf.DUMMYFUNCTION("""COMPUTED_VALUE"""),"58eb2fcd-42b4-4cca-9c6e-24d2309f15e7")</f>
        <v>58eb2fcd-42b4-4cca-9c6e-24d2309f15e7</v>
      </c>
      <c r="G5" s="52">
        <f>IFERROR(__xludf.DUMMYFUNCTION("""COMPUTED_VALUE"""),43774.0)</f>
        <v>43774</v>
      </c>
      <c r="H5" s="53">
        <f>IFERROR(__xludf.DUMMYFUNCTION("""COMPUTED_VALUE"""),0.4965277777777778)</f>
        <v>0.4965277778</v>
      </c>
      <c r="I5" s="52">
        <f>IFERROR(__xludf.DUMMYFUNCTION("""COMPUTED_VALUE"""),43774.0)</f>
        <v>43774</v>
      </c>
      <c r="J5" s="53">
        <f>IFERROR(__xludf.DUMMYFUNCTION("""COMPUTED_VALUE"""),0.5138888888888888)</f>
        <v>0.5138888889</v>
      </c>
      <c r="K5" s="53">
        <f t="shared" si="1"/>
        <v>0.01736111111</v>
      </c>
      <c r="L5" s="49" t="s">
        <v>111</v>
      </c>
      <c r="M5" s="62" t="s">
        <v>344</v>
      </c>
      <c r="N5" s="76" t="str">
        <f t="shared" si="2"/>
        <v>CT_5_4_58eb2fcd-42b4-4cca-9c6e-24d2309f15e7_000000_000000.mp4</v>
      </c>
      <c r="O5" s="48"/>
      <c r="P5" s="48"/>
      <c r="Q5" s="63"/>
      <c r="R5" s="49"/>
      <c r="S5" s="49"/>
      <c r="T5" s="49"/>
    </row>
    <row r="6">
      <c r="A6" s="49" t="str">
        <f>IFERROR(__xludf.DUMMYFUNCTION("""COMPUTED_VALUE"""),"Is design thinking overrated? How Garmin survived disruption")</f>
        <v>Is design thinking overrated? How Garmin survived disruption</v>
      </c>
      <c r="B6" s="49" t="str">
        <f>IFERROR(__xludf.DUMMYFUNCTION("""COMPUTED_VALUE"""),"creatiff")</f>
        <v>creatiff</v>
      </c>
      <c r="C6" s="51" t="str">
        <f>IFERROR(__xludf.DUMMYFUNCTION("""COMPUTED_VALUE"""),"Wai Lee")</f>
        <v>Wai Lee</v>
      </c>
      <c r="D6" s="49" t="str">
        <f>IFERROR(__xludf.DUMMYFUNCTION("""COMPUTED_VALUE"""),"2019/11/05 12:25:00")</f>
        <v>2019/11/05 12:25:00</v>
      </c>
      <c r="E6" s="49" t="str">
        <f>IFERROR(__xludf.DUMMYFUNCTION("""COMPUTED_VALUE"""),"2019/11/05 12:45:00")</f>
        <v>2019/11/05 12:45:00</v>
      </c>
      <c r="F6" s="49" t="str">
        <f>IFERROR(__xludf.DUMMYFUNCTION("""COMPUTED_VALUE"""),"bfc4c186-abd3-475d-b5d7-ed59f92d97d2")</f>
        <v>bfc4c186-abd3-475d-b5d7-ed59f92d97d2</v>
      </c>
      <c r="G6" s="52">
        <f>IFERROR(__xludf.DUMMYFUNCTION("""COMPUTED_VALUE"""),43774.0)</f>
        <v>43774</v>
      </c>
      <c r="H6" s="53">
        <f>IFERROR(__xludf.DUMMYFUNCTION("""COMPUTED_VALUE"""),0.5173611111111112)</f>
        <v>0.5173611111</v>
      </c>
      <c r="I6" s="52">
        <f>IFERROR(__xludf.DUMMYFUNCTION("""COMPUTED_VALUE"""),43774.0)</f>
        <v>43774</v>
      </c>
      <c r="J6" s="53">
        <f>IFERROR(__xludf.DUMMYFUNCTION("""COMPUTED_VALUE"""),0.53125)</f>
        <v>0.53125</v>
      </c>
      <c r="K6" s="53">
        <f t="shared" si="1"/>
        <v>0.01388888889</v>
      </c>
      <c r="L6" s="49" t="s">
        <v>109</v>
      </c>
      <c r="M6" s="62" t="s">
        <v>347</v>
      </c>
      <c r="N6" s="76" t="str">
        <f t="shared" si="2"/>
        <v>CT_5_5_bfc4c186-abd3-475d-b5d7-ed59f92d97d2_000000_000000.mp4</v>
      </c>
      <c r="O6" s="48"/>
      <c r="P6" s="48"/>
      <c r="Q6" s="63"/>
      <c r="R6" s="49"/>
      <c r="S6" s="49"/>
      <c r="T6" s="49"/>
    </row>
    <row r="7">
      <c r="A7" s="49" t="str">
        <f>IFERROR(__xludf.DUMMYFUNCTION("""COMPUTED_VALUE"""),"How does your brand sound?  Fine tuning for voice assistants")</f>
        <v>How does your brand sound?  Fine tuning for voice assistants</v>
      </c>
      <c r="B7" s="49" t="str">
        <f>IFERROR(__xludf.DUMMYFUNCTION("""COMPUTED_VALUE"""),"creatiff")</f>
        <v>creatiff</v>
      </c>
      <c r="C7" s="51" t="str">
        <f>IFERROR(__xludf.DUMMYFUNCTION("""COMPUTED_VALUE"""),"Daniel Leyser")</f>
        <v>Daniel Leyser</v>
      </c>
      <c r="D7" s="49" t="str">
        <f>IFERROR(__xludf.DUMMYFUNCTION("""COMPUTED_VALUE"""),"2019/11/05 12:45:00")</f>
        <v>2019/11/05 12:45:00</v>
      </c>
      <c r="E7" s="49" t="str">
        <f>IFERROR(__xludf.DUMMYFUNCTION("""COMPUTED_VALUE"""),"2019/11/05 13:05:00")</f>
        <v>2019/11/05 13:05:00</v>
      </c>
      <c r="F7" s="49" t="str">
        <f>IFERROR(__xludf.DUMMYFUNCTION("""COMPUTED_VALUE"""),"03ba1bae-c970-4c0a-9b29-aa6dca5b6410")</f>
        <v>03ba1bae-c970-4c0a-9b29-aa6dca5b6410</v>
      </c>
      <c r="G7" s="52">
        <f>IFERROR(__xludf.DUMMYFUNCTION("""COMPUTED_VALUE"""),43774.0)</f>
        <v>43774</v>
      </c>
      <c r="H7" s="53">
        <f>IFERROR(__xludf.DUMMYFUNCTION("""COMPUTED_VALUE"""),0.53125)</f>
        <v>0.53125</v>
      </c>
      <c r="I7" s="52">
        <f>IFERROR(__xludf.DUMMYFUNCTION("""COMPUTED_VALUE"""),43774.0)</f>
        <v>43774</v>
      </c>
      <c r="J7" s="53">
        <f>IFERROR(__xludf.DUMMYFUNCTION("""COMPUTED_VALUE"""),0.5451388888888888)</f>
        <v>0.5451388889</v>
      </c>
      <c r="K7" s="53">
        <f t="shared" si="1"/>
        <v>0.01388888889</v>
      </c>
      <c r="L7" s="49" t="s">
        <v>109</v>
      </c>
      <c r="M7" s="62" t="s">
        <v>349</v>
      </c>
      <c r="N7" s="76" t="str">
        <f t="shared" si="2"/>
        <v>CT_5_6_03ba1bae-c970-4c0a-9b29-aa6dca5b6410_000000_000000.mp4</v>
      </c>
      <c r="O7" s="48"/>
      <c r="P7" s="48"/>
      <c r="Q7" s="63"/>
      <c r="R7" s="49"/>
      <c r="S7" s="49"/>
      <c r="T7" s="49"/>
    </row>
    <row r="8">
      <c r="A8" s="49" t="str">
        <f>IFERROR(__xludf.DUMMYFUNCTION("""COMPUTED_VALUE"""),"Designing the ultimate driving experience")</f>
        <v>Designing the ultimate driving experience</v>
      </c>
      <c r="B8" s="49" t="str">
        <f>IFERROR(__xludf.DUMMYFUNCTION("""COMPUTED_VALUE"""),"creatiff")</f>
        <v>creatiff</v>
      </c>
      <c r="C8" s="51" t="str">
        <f>IFERROR(__xludf.DUMMYFUNCTION("""COMPUTED_VALUE"""),"Halldora von Koenigsegg")</f>
        <v>Halldora von Koenigsegg</v>
      </c>
      <c r="D8" s="49" t="str">
        <f>IFERROR(__xludf.DUMMYFUNCTION("""COMPUTED_VALUE"""),"2019/11/05 13:05:00")</f>
        <v>2019/11/05 13:05:00</v>
      </c>
      <c r="E8" s="49" t="str">
        <f>IFERROR(__xludf.DUMMYFUNCTION("""COMPUTED_VALUE"""),"2019/11/05 13:25:00")</f>
        <v>2019/11/05 13:25:00</v>
      </c>
      <c r="F8" s="49" t="str">
        <f>IFERROR(__xludf.DUMMYFUNCTION("""COMPUTED_VALUE"""),"8741a0b8-dd04-46cf-b991-dd2e7ff8d203")</f>
        <v>8741a0b8-dd04-46cf-b991-dd2e7ff8d203</v>
      </c>
      <c r="G8" s="52">
        <f>IFERROR(__xludf.DUMMYFUNCTION("""COMPUTED_VALUE"""),43774.0)</f>
        <v>43774</v>
      </c>
      <c r="H8" s="53">
        <f>IFERROR(__xludf.DUMMYFUNCTION("""COMPUTED_VALUE"""),0.5451388888888888)</f>
        <v>0.5451388889</v>
      </c>
      <c r="I8" s="52">
        <f>IFERROR(__xludf.DUMMYFUNCTION("""COMPUTED_VALUE"""),43774.0)</f>
        <v>43774</v>
      </c>
      <c r="J8" s="53">
        <f>IFERROR(__xludf.DUMMYFUNCTION("""COMPUTED_VALUE"""),0.5590277777777778)</f>
        <v>0.5590277778</v>
      </c>
      <c r="K8" s="53">
        <f t="shared" si="1"/>
        <v>0.01388888889</v>
      </c>
      <c r="L8" s="49" t="s">
        <v>109</v>
      </c>
      <c r="M8" s="62" t="s">
        <v>353</v>
      </c>
      <c r="N8" s="76" t="str">
        <f t="shared" si="2"/>
        <v>CT_5_7_8741a0b8-dd04-46cf-b991-dd2e7ff8d203_000000_000000.mp4</v>
      </c>
      <c r="O8" s="48"/>
      <c r="P8" s="48"/>
      <c r="Q8" s="63"/>
      <c r="R8" s="49"/>
      <c r="S8" s="49"/>
      <c r="T8" s="49"/>
    </row>
    <row r="9">
      <c r="A9" s="49" t="str">
        <f>IFERROR(__xludf.DUMMYFUNCTION("""COMPUTED_VALUE"""),"Lunch break")</f>
        <v>Lunch break</v>
      </c>
      <c r="B9" s="49" t="str">
        <f>IFERROR(__xludf.DUMMYFUNCTION("""COMPUTED_VALUE"""),"creatiff")</f>
        <v>creatiff</v>
      </c>
      <c r="C9" s="51" t="str">
        <f>IFERROR(__xludf.DUMMYFUNCTION("""COMPUTED_VALUE"""),"")</f>
        <v/>
      </c>
      <c r="D9" s="49" t="str">
        <f>IFERROR(__xludf.DUMMYFUNCTION("""COMPUTED_VALUE"""),"2019/11/05 13:25:00")</f>
        <v>2019/11/05 13:25:00</v>
      </c>
      <c r="E9" s="49" t="str">
        <f>IFERROR(__xludf.DUMMYFUNCTION("""COMPUTED_VALUE"""),"2019/11/05 14:20:00")</f>
        <v>2019/11/05 14:20:00</v>
      </c>
      <c r="F9" s="49" t="str">
        <f>IFERROR(__xludf.DUMMYFUNCTION("""COMPUTED_VALUE"""),"1a0b0cbf-027d-4c1d-a142-ce4ec843bf64")</f>
        <v>1a0b0cbf-027d-4c1d-a142-ce4ec843bf64</v>
      </c>
      <c r="G9" s="52">
        <f>IFERROR(__xludf.DUMMYFUNCTION("""COMPUTED_VALUE"""),43774.0)</f>
        <v>43774</v>
      </c>
      <c r="H9" s="53">
        <f>IFERROR(__xludf.DUMMYFUNCTION("""COMPUTED_VALUE"""),0.5590277777777778)</f>
        <v>0.5590277778</v>
      </c>
      <c r="I9" s="52">
        <f>IFERROR(__xludf.DUMMYFUNCTION("""COMPUTED_VALUE"""),43774.0)</f>
        <v>43774</v>
      </c>
      <c r="J9" s="53">
        <f>IFERROR(__xludf.DUMMYFUNCTION("""COMPUTED_VALUE"""),0.5972222222222222)</f>
        <v>0.5972222222</v>
      </c>
      <c r="K9" s="53">
        <f t="shared" si="1"/>
        <v>0.03819444444</v>
      </c>
      <c r="L9" s="49" t="s">
        <v>355</v>
      </c>
      <c r="M9" s="49"/>
      <c r="N9" s="76" t="str">
        <f t="shared" si="2"/>
        <v>_1a0b0cbf-027d-4c1d-a142-ce4ec843bf64_000000_000000.mp4</v>
      </c>
      <c r="O9" s="48"/>
      <c r="P9" s="48"/>
      <c r="Q9" s="63"/>
      <c r="R9" s="49"/>
      <c r="S9" s="49"/>
      <c r="T9" s="49"/>
    </row>
    <row r="10">
      <c r="A10" s="49" t="str">
        <f>IFERROR(__xludf.DUMMYFUNCTION("""COMPUTED_VALUE"""),"Opening remarks")</f>
        <v>Opening remarks</v>
      </c>
      <c r="B10" s="49" t="str">
        <f>IFERROR(__xludf.DUMMYFUNCTION("""COMPUTED_VALUE"""),"creatiff")</f>
        <v>creatiff</v>
      </c>
      <c r="C10" s="51" t="str">
        <f>IFERROR(__xludf.DUMMYFUNCTION("""COMPUTED_VALUE"""),"Sandra Lopes")</f>
        <v>Sandra Lopes</v>
      </c>
      <c r="D10" s="49" t="str">
        <f>IFERROR(__xludf.DUMMYFUNCTION("""COMPUTED_VALUE"""),"2019/11/05 14:20:00")</f>
        <v>2019/11/05 14:20:00</v>
      </c>
      <c r="E10" s="49" t="str">
        <f>IFERROR(__xludf.DUMMYFUNCTION("""COMPUTED_VALUE"""),"2019/11/05 14:25:00")</f>
        <v>2019/11/05 14:25:00</v>
      </c>
      <c r="F10" s="49" t="str">
        <f>IFERROR(__xludf.DUMMYFUNCTION("""COMPUTED_VALUE"""),"3249c047-573d-44d2-8b55-90cde570f634")</f>
        <v>3249c047-573d-44d2-8b55-90cde570f634</v>
      </c>
      <c r="G10" s="52">
        <f>IFERROR(__xludf.DUMMYFUNCTION("""COMPUTED_VALUE"""),43774.0)</f>
        <v>43774</v>
      </c>
      <c r="H10" s="53">
        <f>IFERROR(__xludf.DUMMYFUNCTION("""COMPUTED_VALUE"""),0.5972222222222222)</f>
        <v>0.5972222222</v>
      </c>
      <c r="I10" s="52">
        <f>IFERROR(__xludf.DUMMYFUNCTION("""COMPUTED_VALUE"""),43774.0)</f>
        <v>43774</v>
      </c>
      <c r="J10" s="53">
        <f>IFERROR(__xludf.DUMMYFUNCTION("""COMPUTED_VALUE"""),0.6006944444444444)</f>
        <v>0.6006944444</v>
      </c>
      <c r="K10" s="53">
        <f t="shared" si="1"/>
        <v>0.003472222222</v>
      </c>
      <c r="L10" s="49" t="s">
        <v>228</v>
      </c>
      <c r="M10" s="62" t="s">
        <v>358</v>
      </c>
      <c r="N10" s="76" t="str">
        <f t="shared" si="2"/>
        <v>CT_5_8_3249c047-573d-44d2-8b55-90cde570f634_000000_000000.mp4</v>
      </c>
      <c r="O10" s="48"/>
      <c r="P10" s="48"/>
      <c r="Q10" s="63"/>
      <c r="R10" s="49"/>
      <c r="S10" s="49"/>
      <c r="T10" s="49"/>
    </row>
    <row r="11">
      <c r="A11" s="49" t="str">
        <f>IFERROR(__xludf.DUMMYFUNCTION("""COMPUTED_VALUE"""),"The commercial value of brand principles in 2019")</f>
        <v>The commercial value of brand principles in 2019</v>
      </c>
      <c r="B11" s="49" t="str">
        <f>IFERROR(__xludf.DUMMYFUNCTION("""COMPUTED_VALUE"""),"creatiff")</f>
        <v>creatiff</v>
      </c>
      <c r="C11" s="51" t="str">
        <f>IFERROR(__xludf.DUMMYFUNCTION("""COMPUTED_VALUE"""),"Sairah Ashman, Fabian Birgfeld, Edwina Dunn and Rog How")</f>
        <v>Sairah Ashman, Fabian Birgfeld, Edwina Dunn and Rog How</v>
      </c>
      <c r="D11" s="49" t="str">
        <f>IFERROR(__xludf.DUMMYFUNCTION("""COMPUTED_VALUE"""),"2019/11/05 14:25:00")</f>
        <v>2019/11/05 14:25:00</v>
      </c>
      <c r="E11" s="49" t="str">
        <f>IFERROR(__xludf.DUMMYFUNCTION("""COMPUTED_VALUE"""),"2019/11/05 14:50:00")</f>
        <v>2019/11/05 14:50:00</v>
      </c>
      <c r="F11" s="49" t="str">
        <f>IFERROR(__xludf.DUMMYFUNCTION("""COMPUTED_VALUE"""),"35134165-554f-4a13-9081-632b2eaf3083")</f>
        <v>35134165-554f-4a13-9081-632b2eaf3083</v>
      </c>
      <c r="G11" s="52">
        <f>IFERROR(__xludf.DUMMYFUNCTION("""COMPUTED_VALUE"""),43774.0)</f>
        <v>43774</v>
      </c>
      <c r="H11" s="53">
        <f>IFERROR(__xludf.DUMMYFUNCTION("""COMPUTED_VALUE"""),0.6006944444444444)</f>
        <v>0.6006944444</v>
      </c>
      <c r="I11" s="52">
        <f>IFERROR(__xludf.DUMMYFUNCTION("""COMPUTED_VALUE"""),43774.0)</f>
        <v>43774</v>
      </c>
      <c r="J11" s="53">
        <f>IFERROR(__xludf.DUMMYFUNCTION("""COMPUTED_VALUE"""),0.6180555555555556)</f>
        <v>0.6180555556</v>
      </c>
      <c r="K11" s="53">
        <f t="shared" si="1"/>
        <v>0.01736111111</v>
      </c>
      <c r="L11" s="49" t="s">
        <v>111</v>
      </c>
      <c r="M11" s="62" t="s">
        <v>361</v>
      </c>
      <c r="N11" s="76" t="str">
        <f t="shared" si="2"/>
        <v>CT_5_9_35134165-554f-4a13-9081-632b2eaf3083_000000_000000.mp4</v>
      </c>
      <c r="O11" s="48"/>
      <c r="P11" s="48"/>
      <c r="Q11" s="63"/>
      <c r="R11" s="49"/>
      <c r="S11" s="49"/>
      <c r="T11" s="49"/>
    </row>
    <row r="12">
      <c r="A12" s="49" t="str">
        <f>IFERROR(__xludf.DUMMYFUNCTION("""COMPUTED_VALUE"""),"Friend or foe? Technology and the future of animation")</f>
        <v>Friend or foe? Technology and the future of animation</v>
      </c>
      <c r="B12" s="49" t="str">
        <f>IFERROR(__xludf.DUMMYFUNCTION("""COMPUTED_VALUE"""),"creatiff")</f>
        <v>creatiff</v>
      </c>
      <c r="C12" s="51" t="str">
        <f>IFERROR(__xludf.DUMMYFUNCTION("""COMPUTED_VALUE"""),"Darragh O'Connell, Sarah Fell, Mike McGee and Rob Schwartz")</f>
        <v>Darragh O'Connell, Sarah Fell, Mike McGee and Rob Schwartz</v>
      </c>
      <c r="D12" s="49" t="str">
        <f>IFERROR(__xludf.DUMMYFUNCTION("""COMPUTED_VALUE"""),"2019/11/05 14:50:00")</f>
        <v>2019/11/05 14:50:00</v>
      </c>
      <c r="E12" s="49" t="str">
        <f>IFERROR(__xludf.DUMMYFUNCTION("""COMPUTED_VALUE"""),"2019/11/05 15:15:00")</f>
        <v>2019/11/05 15:15:00</v>
      </c>
      <c r="F12" s="49" t="str">
        <f>IFERROR(__xludf.DUMMYFUNCTION("""COMPUTED_VALUE"""),"94dc0e43-42c9-4685-bcaf-fa1ed2cb29b8")</f>
        <v>94dc0e43-42c9-4685-bcaf-fa1ed2cb29b8</v>
      </c>
      <c r="G12" s="52">
        <f>IFERROR(__xludf.DUMMYFUNCTION("""COMPUTED_VALUE"""),43774.0)</f>
        <v>43774</v>
      </c>
      <c r="H12" s="53">
        <f>IFERROR(__xludf.DUMMYFUNCTION("""COMPUTED_VALUE"""),0.6180555555555556)</f>
        <v>0.6180555556</v>
      </c>
      <c r="I12" s="52">
        <f>IFERROR(__xludf.DUMMYFUNCTION("""COMPUTED_VALUE"""),43774.0)</f>
        <v>43774</v>
      </c>
      <c r="J12" s="53">
        <f>IFERROR(__xludf.DUMMYFUNCTION("""COMPUTED_VALUE"""),0.6354166666666666)</f>
        <v>0.6354166667</v>
      </c>
      <c r="K12" s="53">
        <f t="shared" si="1"/>
        <v>0.01736111111</v>
      </c>
      <c r="L12" s="49" t="s">
        <v>111</v>
      </c>
      <c r="M12" s="62" t="s">
        <v>363</v>
      </c>
      <c r="N12" s="76" t="str">
        <f t="shared" si="2"/>
        <v>CT_5_10_94dc0e43-42c9-4685-bcaf-fa1ed2cb29b8_000000_000000.mp4</v>
      </c>
      <c r="O12" s="48"/>
      <c r="P12" s="48"/>
      <c r="Q12" s="63"/>
      <c r="R12" s="49"/>
      <c r="S12" s="49"/>
      <c r="T12" s="49"/>
    </row>
    <row r="13">
      <c r="A13" s="49" t="str">
        <f>IFERROR(__xludf.DUMMYFUNCTION("""COMPUTED_VALUE"""),"Design without borders: The future of globalisation and the industry")</f>
        <v>Design without borders: The future of globalisation and the industry</v>
      </c>
      <c r="B13" s="49" t="str">
        <f>IFERROR(__xludf.DUMMYFUNCTION("""COMPUTED_VALUE"""),"creatiff")</f>
        <v>creatiff</v>
      </c>
      <c r="C13" s="51" t="str">
        <f>IFERROR(__xludf.DUMMYFUNCTION("""COMPUTED_VALUE"""),"Patrick Llewellyn, Rosanne Somerson, Tim Kobe, Charlie Smith and Erika Allen")</f>
        <v>Patrick Llewellyn, Rosanne Somerson, Tim Kobe, Charlie Smith and Erika Allen</v>
      </c>
      <c r="D13" s="49" t="str">
        <f>IFERROR(__xludf.DUMMYFUNCTION("""COMPUTED_VALUE"""),"2019/11/05 15:15:00")</f>
        <v>2019/11/05 15:15:00</v>
      </c>
      <c r="E13" s="49" t="str">
        <f>IFERROR(__xludf.DUMMYFUNCTION("""COMPUTED_VALUE"""),"2019/11/05 15:40:00")</f>
        <v>2019/11/05 15:40:00</v>
      </c>
      <c r="F13" s="49" t="str">
        <f>IFERROR(__xludf.DUMMYFUNCTION("""COMPUTED_VALUE"""),"2d100e0d-79ae-4018-aea8-ce7b4f8967bf")</f>
        <v>2d100e0d-79ae-4018-aea8-ce7b4f8967bf</v>
      </c>
      <c r="G13" s="52">
        <f>IFERROR(__xludf.DUMMYFUNCTION("""COMPUTED_VALUE"""),43774.0)</f>
        <v>43774</v>
      </c>
      <c r="H13" s="53">
        <f>IFERROR(__xludf.DUMMYFUNCTION("""COMPUTED_VALUE"""),0.6354166666666666)</f>
        <v>0.6354166667</v>
      </c>
      <c r="I13" s="52">
        <f>IFERROR(__xludf.DUMMYFUNCTION("""COMPUTED_VALUE"""),43774.0)</f>
        <v>43774</v>
      </c>
      <c r="J13" s="53">
        <f>IFERROR(__xludf.DUMMYFUNCTION("""COMPUTED_VALUE"""),0.6527777777777778)</f>
        <v>0.6527777778</v>
      </c>
      <c r="K13" s="53">
        <f t="shared" si="1"/>
        <v>0.01736111111</v>
      </c>
      <c r="L13" s="49" t="s">
        <v>111</v>
      </c>
      <c r="M13" s="62" t="s">
        <v>365</v>
      </c>
      <c r="N13" s="76" t="str">
        <f t="shared" si="2"/>
        <v>CT_5_11_2d100e0d-79ae-4018-aea8-ce7b4f8967bf_000000_000000.mp4</v>
      </c>
      <c r="O13" s="48"/>
      <c r="P13" s="48"/>
      <c r="Q13" s="63"/>
      <c r="R13" s="49"/>
      <c r="S13" s="49"/>
      <c r="T13" s="49"/>
    </row>
    <row r="14">
      <c r="A14" s="49" t="str">
        <f>IFERROR(__xludf.DUMMYFUNCTION("""COMPUTED_VALUE"""),"Key lessons from the art of the successful rebrand")</f>
        <v>Key lessons from the art of the successful rebrand</v>
      </c>
      <c r="B14" s="49" t="str">
        <f>IFERROR(__xludf.DUMMYFUNCTION("""COMPUTED_VALUE"""),"creatiff")</f>
        <v>creatiff</v>
      </c>
      <c r="C14" s="51" t="str">
        <f>IFERROR(__xludf.DUMMYFUNCTION("""COMPUTED_VALUE"""),"Margaret Molloy, Tom Klein, Paul Stafford and Charlie Wood")</f>
        <v>Margaret Molloy, Tom Klein, Paul Stafford and Charlie Wood</v>
      </c>
      <c r="D14" s="49" t="str">
        <f>IFERROR(__xludf.DUMMYFUNCTION("""COMPUTED_VALUE"""),"2019/11/05 15:40:00")</f>
        <v>2019/11/05 15:40:00</v>
      </c>
      <c r="E14" s="49" t="str">
        <f>IFERROR(__xludf.DUMMYFUNCTION("""COMPUTED_VALUE"""),"2019/11/05 16:05:00")</f>
        <v>2019/11/05 16:05:00</v>
      </c>
      <c r="F14" s="49" t="str">
        <f>IFERROR(__xludf.DUMMYFUNCTION("""COMPUTED_VALUE"""),"0576748e-f5be-424c-bd28-d0622dfe0af3")</f>
        <v>0576748e-f5be-424c-bd28-d0622dfe0af3</v>
      </c>
      <c r="G14" s="52">
        <f>IFERROR(__xludf.DUMMYFUNCTION("""COMPUTED_VALUE"""),43774.0)</f>
        <v>43774</v>
      </c>
      <c r="H14" s="53">
        <f>IFERROR(__xludf.DUMMYFUNCTION("""COMPUTED_VALUE"""),0.6527777777777778)</f>
        <v>0.6527777778</v>
      </c>
      <c r="I14" s="52">
        <f>IFERROR(__xludf.DUMMYFUNCTION("""COMPUTED_VALUE"""),43774.0)</f>
        <v>43774</v>
      </c>
      <c r="J14" s="53">
        <f>IFERROR(__xludf.DUMMYFUNCTION("""COMPUTED_VALUE"""),0.6701388888888888)</f>
        <v>0.6701388889</v>
      </c>
      <c r="K14" s="53">
        <f t="shared" si="1"/>
        <v>0.01736111111</v>
      </c>
      <c r="L14" s="49" t="s">
        <v>111</v>
      </c>
      <c r="M14" s="62" t="s">
        <v>368</v>
      </c>
      <c r="N14" s="76" t="str">
        <f t="shared" si="2"/>
        <v>CT_5_12_0576748e-f5be-424c-bd28-d0622dfe0af3_000000_000000.mp4</v>
      </c>
      <c r="O14" s="48"/>
      <c r="P14" s="48"/>
      <c r="Q14" s="63"/>
      <c r="R14" s="49"/>
      <c r="S14" s="49"/>
      <c r="T14" s="49"/>
    </row>
    <row r="15">
      <c r="A15" s="49" t="str">
        <f>IFERROR(__xludf.DUMMYFUNCTION("""COMPUTED_VALUE"""),"Why the future belongs only to the imaginative")</f>
        <v>Why the future belongs only to the imaginative</v>
      </c>
      <c r="B15" s="49" t="str">
        <f>IFERROR(__xludf.DUMMYFUNCTION("""COMPUTED_VALUE"""),"creatiff")</f>
        <v>creatiff</v>
      </c>
      <c r="C15" s="51" t="str">
        <f>IFERROR(__xludf.DUMMYFUNCTION("""COMPUTED_VALUE"""),"Brian Collins")</f>
        <v>Brian Collins</v>
      </c>
      <c r="D15" s="49" t="str">
        <f>IFERROR(__xludf.DUMMYFUNCTION("""COMPUTED_VALUE"""),"2019/11/05 16:05:00")</f>
        <v>2019/11/05 16:05:00</v>
      </c>
      <c r="E15" s="49" t="str">
        <f>IFERROR(__xludf.DUMMYFUNCTION("""COMPUTED_VALUE"""),"2019/11/05 16:30:00")</f>
        <v>2019/11/05 16:30:00</v>
      </c>
      <c r="F15" s="49" t="str">
        <f>IFERROR(__xludf.DUMMYFUNCTION("""COMPUTED_VALUE"""),"c1eaafe1-5956-448c-8cca-bb3dcaeb4f79")</f>
        <v>c1eaafe1-5956-448c-8cca-bb3dcaeb4f79</v>
      </c>
      <c r="G15" s="52">
        <f>IFERROR(__xludf.DUMMYFUNCTION("""COMPUTED_VALUE"""),43774.0)</f>
        <v>43774</v>
      </c>
      <c r="H15" s="53">
        <f>IFERROR(__xludf.DUMMYFUNCTION("""COMPUTED_VALUE"""),0.6701388888888888)</f>
        <v>0.6701388889</v>
      </c>
      <c r="I15" s="52">
        <f>IFERROR(__xludf.DUMMYFUNCTION("""COMPUTED_VALUE"""),43774.0)</f>
        <v>43774</v>
      </c>
      <c r="J15" s="53">
        <f>IFERROR(__xludf.DUMMYFUNCTION("""COMPUTED_VALUE"""),0.6875)</f>
        <v>0.6875</v>
      </c>
      <c r="K15" s="53">
        <f t="shared" si="1"/>
        <v>0.01736111111</v>
      </c>
      <c r="L15" s="49" t="s">
        <v>111</v>
      </c>
      <c r="M15" s="62" t="s">
        <v>371</v>
      </c>
      <c r="N15" s="76" t="str">
        <f t="shared" si="2"/>
        <v>CT_5_13_c1eaafe1-5956-448c-8cca-bb3dcaeb4f79_000000_000000.mp4</v>
      </c>
      <c r="O15" s="48"/>
      <c r="P15" s="48"/>
      <c r="Q15" s="63"/>
      <c r="R15" s="49"/>
      <c r="S15" s="49"/>
      <c r="T15" s="49"/>
    </row>
    <row r="16">
      <c r="A16" s="49"/>
      <c r="B16" s="49"/>
      <c r="C16" s="51"/>
      <c r="D16" s="49"/>
      <c r="E16" s="49"/>
      <c r="F16" s="49"/>
      <c r="G16" s="49" t="str">
        <f>IFERROR(__xludf.DUMMYFUNCTION("""COMPUTED_VALUE"""),"#VALUE!")</f>
        <v>#VALUE!</v>
      </c>
      <c r="H16" s="49" t="str">
        <f>IFERROR(__xludf.DUMMYFUNCTION("""COMPUTED_VALUE"""),"")</f>
        <v/>
      </c>
      <c r="I16" s="49" t="str">
        <f>IFERROR(__xludf.DUMMYFUNCTION("""COMPUTED_VALUE"""),"#VALUE!")</f>
        <v>#VALUE!</v>
      </c>
      <c r="J16" s="49" t="str">
        <f>IFERROR(__xludf.DUMMYFUNCTION("""COMPUTED_VALUE"""),"")</f>
        <v/>
      </c>
      <c r="K16" s="49">
        <f t="shared" si="1"/>
        <v>0</v>
      </c>
      <c r="L16" s="49" t="s">
        <v>255</v>
      </c>
      <c r="M16" s="49"/>
      <c r="N16" s="49"/>
      <c r="O16" s="49"/>
      <c r="P16" s="49"/>
      <c r="Q16" s="49"/>
      <c r="R16" s="49"/>
      <c r="S16" s="49"/>
      <c r="T16" s="49"/>
    </row>
    <row r="17">
      <c r="A17" s="49"/>
      <c r="B17" s="49"/>
      <c r="C17" s="51"/>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255</v>
      </c>
      <c r="M17" s="49"/>
      <c r="N17" s="49"/>
      <c r="O17" s="49"/>
      <c r="P17" s="49"/>
      <c r="Q17" s="49"/>
      <c r="R17" s="49"/>
      <c r="S17" s="49"/>
      <c r="T17" s="49"/>
    </row>
    <row r="18">
      <c r="A18" s="49"/>
      <c r="B18" s="49"/>
      <c r="C18" s="51"/>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255</v>
      </c>
      <c r="M18" s="49"/>
      <c r="N18" s="49"/>
      <c r="O18" s="49"/>
      <c r="P18" s="49"/>
      <c r="Q18" s="49"/>
      <c r="R18" s="49"/>
      <c r="S18" s="49"/>
      <c r="T18" s="49"/>
    </row>
    <row r="19">
      <c r="A19" s="49"/>
      <c r="B19" s="49"/>
      <c r="C19" s="51"/>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255</v>
      </c>
      <c r="M19" s="49"/>
      <c r="N19" s="49"/>
      <c r="O19" s="49"/>
      <c r="P19" s="49"/>
      <c r="Q19" s="49"/>
      <c r="R19" s="49"/>
      <c r="S19" s="49"/>
      <c r="T19" s="49"/>
    </row>
    <row r="20">
      <c r="A20" s="49"/>
      <c r="B20" s="49"/>
      <c r="C20" s="51"/>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255</v>
      </c>
      <c r="M20" s="49"/>
      <c r="N20" s="49"/>
      <c r="O20" s="49"/>
      <c r="P20" s="49"/>
      <c r="Q20" s="49"/>
      <c r="R20" s="49"/>
      <c r="S20" s="49"/>
      <c r="T20" s="49"/>
    </row>
    <row r="21">
      <c r="A21" s="49"/>
      <c r="B21" s="49"/>
      <c r="C21" s="51"/>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c r="L21" s="49" t="s">
        <v>255</v>
      </c>
      <c r="M21" s="49"/>
      <c r="N21" s="49"/>
      <c r="O21" s="49"/>
      <c r="P21" s="49"/>
      <c r="Q21" s="49"/>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c r="L22" s="49" t="s">
        <v>255</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c r="L23" s="49" t="s">
        <v>255</v>
      </c>
      <c r="M23" s="49"/>
      <c r="N23" s="49"/>
      <c r="O23" s="49"/>
      <c r="P23" s="49"/>
      <c r="Q23" s="49"/>
      <c r="R23" s="49"/>
      <c r="S23" s="49"/>
      <c r="T23" s="49"/>
    </row>
    <row r="24">
      <c r="A24" s="49"/>
      <c r="B24" s="49"/>
      <c r="C24" s="51"/>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255</v>
      </c>
      <c r="M24" s="49"/>
      <c r="N24" s="49"/>
      <c r="O24" s="49"/>
      <c r="P24" s="49"/>
      <c r="Q24" s="49"/>
      <c r="R24" s="49"/>
      <c r="S24" s="49"/>
      <c r="T24" s="49"/>
    </row>
    <row r="25">
      <c r="A25" s="49"/>
      <c r="B25" s="49"/>
      <c r="C25" s="51"/>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255</v>
      </c>
      <c r="M25" s="49"/>
      <c r="N25" s="49"/>
      <c r="O25" s="49"/>
      <c r="P25" s="49"/>
      <c r="Q25" s="49"/>
      <c r="R25" s="49"/>
      <c r="S25" s="49"/>
      <c r="T25" s="49"/>
    </row>
    <row r="26">
      <c r="A26" s="49"/>
      <c r="B26" s="49"/>
      <c r="C26" s="51"/>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255</v>
      </c>
      <c r="M26" s="49"/>
      <c r="N26" s="49"/>
      <c r="O26" s="49"/>
      <c r="P26" s="49"/>
      <c r="Q26" s="49"/>
      <c r="R26" s="49"/>
      <c r="S26" s="49"/>
      <c r="T26" s="49"/>
    </row>
    <row r="27">
      <c r="A27" s="49"/>
      <c r="B27" s="49"/>
      <c r="C27" s="51"/>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255</v>
      </c>
      <c r="M27" s="49"/>
      <c r="N27" s="49"/>
      <c r="O27" s="49"/>
      <c r="P27" s="49"/>
      <c r="Q27" s="49"/>
      <c r="R27" s="49"/>
      <c r="S27" s="49"/>
      <c r="T27" s="49"/>
    </row>
    <row r="28">
      <c r="A28" s="49"/>
      <c r="B28" s="49"/>
      <c r="C28" s="51"/>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255</v>
      </c>
      <c r="M28" s="49"/>
      <c r="N28" s="49"/>
      <c r="O28" s="49"/>
      <c r="P28" s="49"/>
      <c r="Q28" s="49"/>
      <c r="R28" s="49"/>
      <c r="S28" s="49"/>
      <c r="T28" s="49"/>
    </row>
    <row r="29">
      <c r="A29" s="49"/>
      <c r="B29" s="49"/>
      <c r="C29" s="51"/>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255</v>
      </c>
      <c r="M29" s="49"/>
      <c r="N29" s="49"/>
      <c r="O29" s="49"/>
      <c r="P29" s="49"/>
      <c r="Q29" s="49"/>
      <c r="R29" s="49"/>
      <c r="S29" s="49"/>
      <c r="T29" s="49"/>
    </row>
    <row r="30">
      <c r="A30" s="49"/>
      <c r="B30" s="49"/>
      <c r="C30" s="51"/>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255</v>
      </c>
      <c r="M30" s="49"/>
      <c r="N30" s="49"/>
      <c r="O30" s="49"/>
      <c r="P30" s="49"/>
      <c r="Q30" s="49"/>
      <c r="R30" s="49"/>
      <c r="S30" s="49"/>
      <c r="T30" s="49"/>
    </row>
    <row r="31">
      <c r="A31" s="49"/>
      <c r="B31" s="49"/>
      <c r="C31" s="51"/>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255</v>
      </c>
      <c r="M31" s="49"/>
      <c r="N31" s="49"/>
      <c r="O31" s="49"/>
      <c r="P31" s="49"/>
      <c r="Q31" s="49"/>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255</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255</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255</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255</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255</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255</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255</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255</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255</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255</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255</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255</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255</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255</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255</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255</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255</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255</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255</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255</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255</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255</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255</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255</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255</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255</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255</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255</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255</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255</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255</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255</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255</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255</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255</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255</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255</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255</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255</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255</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255</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255</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255</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255</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255</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255</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255</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255</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255</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255</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255</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255</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255</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255</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255</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255</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255</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255</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255</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255</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255</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255</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255</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255</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255</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255</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255</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255</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255</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255</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255</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255</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255</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255</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255</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255</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255</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255</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255</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255</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255</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255</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255</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255</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255</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255</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255</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255</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255</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255</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255</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255</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255</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255</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255</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255</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255</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255</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255</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255</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255</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255</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255</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255</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255</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255</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255</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255</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255</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255</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255</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255</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255</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255</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255</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255</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255</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255</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255</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255</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255</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255</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255</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255</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255</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255</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255</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255</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255</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255</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255</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255</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255</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255</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255</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255</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255</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255</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255</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255</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255</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255</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255</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255</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255</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255</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255</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255</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255</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255</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255</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255</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255</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255</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255</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255</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255</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255</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255</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255</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255</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255</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255</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255</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255</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255</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255</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255</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255</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255</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255</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255</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255</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255</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255</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255</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255</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255</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255</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255</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255</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255</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255</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255</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255</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255</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255</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255</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255</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255</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255</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255</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255</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255</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255</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255</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255</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255</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255</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255</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255</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255</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255</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255</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255</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255</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255</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255</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255</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255</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255</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255</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255</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255</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255</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255</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255</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255</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255</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255</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255</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255</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255</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255</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255</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255</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255</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255</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255</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255</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255</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255</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255</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255</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255</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255</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255</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255</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255</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255</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255</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255</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255</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255</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255</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255</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255</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255</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255</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255</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255</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255</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255</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255</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255</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255</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255</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255</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255</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255</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255</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255</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255</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255</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255</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255</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255</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255</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255</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255</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255</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255</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255</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255</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255</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255</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255</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255</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255</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255</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255</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255</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255</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255</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255</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255</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255</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255</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255</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255</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255</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255</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255</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255</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255</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255</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255</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255</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255</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255</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255</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255</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255</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255</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255</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255</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255</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255</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255</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255</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255</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255</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255</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255</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255</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255</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255</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255</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255</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255</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255</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255</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255</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255</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255</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255</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255</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255</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255</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255</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255</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255</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255</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255</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255</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255</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255</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255</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255</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255</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255</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255</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255</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255</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255</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255</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255</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255</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255</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255</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255</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255</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255</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255</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255</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255</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255</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255</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255</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255</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255</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255</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255</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255</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255</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255</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255</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255</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255</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255</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255</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255</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255</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255</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255</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255</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255</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255</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255</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255</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255</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255</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255</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255</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255</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255</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255</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255</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255</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255</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255</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255</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255</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255</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255</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255</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255</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255</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255</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255</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255</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255</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255</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255</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255</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255</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255</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255</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255</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255</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255</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255</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255</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255</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255</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255</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255</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255</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255</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255</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255</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255</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255</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255</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255</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255</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255</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255</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255</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255</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255</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255</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255</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255</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255</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255</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255</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255</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255</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255</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255</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255</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255</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255</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255</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255</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255</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255</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255</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255</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255</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255</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255</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255</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255</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255</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255</v>
      </c>
      <c r="M521" s="49"/>
      <c r="N521" s="49"/>
      <c r="O521" s="49"/>
      <c r="P521" s="49"/>
      <c r="Q521" s="49"/>
      <c r="R521" s="49"/>
      <c r="S521" s="49"/>
      <c r="T521" s="49"/>
    </row>
  </sheetData>
  <conditionalFormatting sqref="O2:O15">
    <cfRule type="containsText" dxfId="4" priority="1" operator="containsText" text="YES">
      <formula>NOT(ISERROR(SEARCH(("YES"),(O2))))</formula>
    </cfRule>
  </conditionalFormatting>
  <conditionalFormatting sqref="O2:O15">
    <cfRule type="cellIs" dxfId="5" priority="2" operator="equal">
      <formula>"NO"</formula>
    </cfRule>
  </conditionalFormatting>
  <conditionalFormatting sqref="P2:P15">
    <cfRule type="cellIs" dxfId="4" priority="3" operator="equal">
      <formula>"AVAILABLE"</formula>
    </cfRule>
  </conditionalFormatting>
  <conditionalFormatting sqref="P2:P15">
    <cfRule type="cellIs" dxfId="5" priority="4" operator="equal">
      <formula>"NOT AVAILABLE"</formula>
    </cfRule>
  </conditionalFormatting>
  <conditionalFormatting sqref="Q2:Q15">
    <cfRule type="cellIs" dxfId="4" priority="5" operator="equal">
      <formula>"AVAILABLE"</formula>
    </cfRule>
  </conditionalFormatting>
  <conditionalFormatting sqref="Q2:Q15">
    <cfRule type="cellIs" dxfId="6" priority="6" operator="equal">
      <formula>"UPLOADING"</formula>
    </cfRule>
  </conditionalFormatting>
  <conditionalFormatting sqref="Q2:Q15">
    <cfRule type="cellIs" dxfId="5" priority="7" operator="equal">
      <formula>"NOT AVAILABLE"</formula>
    </cfRule>
  </conditionalFormatting>
  <dataValidations>
    <dataValidation type="list" allowBlank="1" sqref="O2:O15">
      <formula1>"YES,NO"</formula1>
    </dataValidation>
    <dataValidation type="list" allowBlank="1" sqref="P2:P15">
      <formula1>"AVAILABLE,NOT AVAILABLE"</formula1>
    </dataValidation>
    <dataValidation type="list" allowBlank="1" sqref="Q2:Q15">
      <formula1>"AVAILABLE,UPLOADING,NOT AVAILABLE"</formula1>
    </dataValidation>
  </dataValidations>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14"/>
    <col customWidth="1" min="3" max="3" width="23.14"/>
    <col hidden="1" min="4" max="5" width="14.43"/>
    <col customWidth="1" min="6" max="6" width="38.71"/>
    <col hidden="1" min="9" max="9" width="14.43"/>
    <col customWidth="1" min="14" max="14" width="32.71"/>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'binate.io' ORDER BY F"")"),"Opening remarks")</f>
        <v>Opening remarks</v>
      </c>
      <c r="B2" s="69" t="str">
        <f>IFERROR(__xludf.DUMMYFUNCTION("""COMPUTED_VALUE"""),"binate.io")</f>
        <v>binate.io</v>
      </c>
      <c r="C2" s="51" t="str">
        <f>IFERROR(__xludf.DUMMYFUNCTION("""COMPUTED_VALUE"""),"Bas Wouterse")</f>
        <v>Bas Wouterse</v>
      </c>
      <c r="D2" s="49" t="str">
        <f>IFERROR(__xludf.DUMMYFUNCTION("""COMPUTED_VALUE"""),"2019/11/06 11:00:00")</f>
        <v>2019/11/06 11:00:00</v>
      </c>
      <c r="E2" s="49" t="str">
        <f>IFERROR(__xludf.DUMMYFUNCTION("""COMPUTED_VALUE"""),"2019/11/06 11:15:00")</f>
        <v>2019/11/06 11:15:00</v>
      </c>
      <c r="F2" s="49" t="str">
        <f>IFERROR(__xludf.DUMMYFUNCTION("""COMPUTED_VALUE"""),"0fa3111e-e336-4a86-a21c-8574cecc1ab4")</f>
        <v>0fa3111e-e336-4a86-a21c-8574cecc1ab4</v>
      </c>
      <c r="G2" s="54">
        <f>IFERROR(__xludf.DUMMYFUNCTION("ARRAYFORMULA(SPLIT(D2:D517,"" ""))"),43775.0)</f>
        <v>43775</v>
      </c>
      <c r="H2" s="53">
        <f>IFERROR(__xludf.DUMMYFUNCTION("""COMPUTED_VALUE"""),0.4583333333333333)</f>
        <v>0.4583333333</v>
      </c>
      <c r="I2" s="54">
        <f>IFERROR(__xludf.DUMMYFUNCTION("ARRAYFORMULA(SPLIT(E2:E517,"" ""))"),43775.0)</f>
        <v>43775</v>
      </c>
      <c r="J2" s="53">
        <f>IFERROR(__xludf.DUMMYFUNCTION("""COMPUTED_VALUE"""),0.46875)</f>
        <v>0.46875</v>
      </c>
      <c r="K2" s="53">
        <f t="shared" ref="K2:K16" si="1">J2-H2</f>
        <v>0.01041666667</v>
      </c>
      <c r="L2" s="50" t="str">
        <f t="array" ref="L2:L517">TEXT(K2:K517,"hhmmss")</f>
        <v>001500</v>
      </c>
      <c r="M2" s="62" t="s">
        <v>342</v>
      </c>
      <c r="N2" s="75" t="str">
        <f t="shared" ref="N2:N14" si="2">CONCATENATE(M2,"_",F2,"_","000000_000000.mp4")</f>
        <v>BI_4_1_0fa3111e-e336-4a86-a21c-8574cecc1ab4_000000_000000.mp4</v>
      </c>
      <c r="O2" s="48"/>
      <c r="P2" s="48"/>
      <c r="Q2" s="63"/>
      <c r="R2" s="49"/>
      <c r="S2" s="49"/>
      <c r="T2" s="49"/>
    </row>
    <row r="3">
      <c r="A3" s="49" t="str">
        <f>IFERROR(__xludf.DUMMYFUNCTION("""COMPUTED_VALUE"""),"From the underdog to the top dog")</f>
        <v>From the underdog to the top dog</v>
      </c>
      <c r="B3" s="69" t="str">
        <f>IFERROR(__xludf.DUMMYFUNCTION("""COMPUTED_VALUE"""),"binate.io")</f>
        <v>binate.io</v>
      </c>
      <c r="C3" s="51" t="str">
        <f>IFERROR(__xludf.DUMMYFUNCTION("""COMPUTED_VALUE"""),"Olivier Pomel and Shardul Shah")</f>
        <v>Olivier Pomel and Shardul Shah</v>
      </c>
      <c r="D3" s="49" t="str">
        <f>IFERROR(__xludf.DUMMYFUNCTION("""COMPUTED_VALUE"""),"2019/11/06 11:15:00")</f>
        <v>2019/11/06 11:15:00</v>
      </c>
      <c r="E3" s="49" t="str">
        <f>IFERROR(__xludf.DUMMYFUNCTION("""COMPUTED_VALUE"""),"2019/11/06 11:40:00")</f>
        <v>2019/11/06 11:40:00</v>
      </c>
      <c r="F3" s="49" t="str">
        <f>IFERROR(__xludf.DUMMYFUNCTION("""COMPUTED_VALUE"""),"3974faaa-ed12-41bb-b79a-d134ab9edfd7")</f>
        <v>3974faaa-ed12-41bb-b79a-d134ab9edfd7</v>
      </c>
      <c r="G3" s="52">
        <f>IFERROR(__xludf.DUMMYFUNCTION("""COMPUTED_VALUE"""),43775.0)</f>
        <v>43775</v>
      </c>
      <c r="H3" s="53">
        <f>IFERROR(__xludf.DUMMYFUNCTION("""COMPUTED_VALUE"""),0.46875)</f>
        <v>0.46875</v>
      </c>
      <c r="I3" s="52">
        <f>IFERROR(__xludf.DUMMYFUNCTION("""COMPUTED_VALUE"""),43775.0)</f>
        <v>43775</v>
      </c>
      <c r="J3" s="53">
        <f>IFERROR(__xludf.DUMMYFUNCTION("""COMPUTED_VALUE"""),0.4861111111111111)</f>
        <v>0.4861111111</v>
      </c>
      <c r="K3" s="53">
        <f t="shared" si="1"/>
        <v>0.01736111111</v>
      </c>
      <c r="L3" s="49" t="s">
        <v>111</v>
      </c>
      <c r="M3" s="62" t="s">
        <v>346</v>
      </c>
      <c r="N3" s="75" t="str">
        <f t="shared" si="2"/>
        <v>BI_4_2_3974faaa-ed12-41bb-b79a-d134ab9edfd7_000000_000000.mp4</v>
      </c>
      <c r="O3" s="48"/>
      <c r="P3" s="48"/>
      <c r="Q3" s="63"/>
      <c r="R3" s="49"/>
      <c r="S3" s="49"/>
      <c r="T3" s="49"/>
    </row>
    <row r="4">
      <c r="A4" s="49" t="str">
        <f>IFERROR(__xludf.DUMMYFUNCTION("""COMPUTED_VALUE"""),"Big data = big gains?")</f>
        <v>Big data = big gains?</v>
      </c>
      <c r="B4" s="69" t="str">
        <f>IFERROR(__xludf.DUMMYFUNCTION("""COMPUTED_VALUE"""),"binate.io")</f>
        <v>binate.io</v>
      </c>
      <c r="C4" s="51" t="str">
        <f>IFERROR(__xludf.DUMMYFUNCTION("""COMPUTED_VALUE"""),"Ilan Twig, Winnie Lee, Karthic Bala, Lori Fink and Rani Molla")</f>
        <v>Ilan Twig, Winnie Lee, Karthic Bala, Lori Fink and Rani Molla</v>
      </c>
      <c r="D4" s="49" t="str">
        <f>IFERROR(__xludf.DUMMYFUNCTION("""COMPUTED_VALUE"""),"2019/11/06 11:40:00")</f>
        <v>2019/11/06 11:40:00</v>
      </c>
      <c r="E4" s="49" t="str">
        <f>IFERROR(__xludf.DUMMYFUNCTION("""COMPUTED_VALUE"""),"2019/11/06 12:05:00")</f>
        <v>2019/11/06 12:05:00</v>
      </c>
      <c r="F4" s="49" t="str">
        <f>IFERROR(__xludf.DUMMYFUNCTION("""COMPUTED_VALUE"""),"94cb956d-fb44-48da-be1a-c1d81057c018")</f>
        <v>94cb956d-fb44-48da-be1a-c1d81057c018</v>
      </c>
      <c r="G4" s="52">
        <f>IFERROR(__xludf.DUMMYFUNCTION("""COMPUTED_VALUE"""),43775.0)</f>
        <v>43775</v>
      </c>
      <c r="H4" s="53">
        <f>IFERROR(__xludf.DUMMYFUNCTION("""COMPUTED_VALUE"""),0.4861111111111111)</f>
        <v>0.4861111111</v>
      </c>
      <c r="I4" s="52">
        <f>IFERROR(__xludf.DUMMYFUNCTION("""COMPUTED_VALUE"""),43775.0)</f>
        <v>43775</v>
      </c>
      <c r="J4" s="53">
        <f>IFERROR(__xludf.DUMMYFUNCTION("""COMPUTED_VALUE"""),0.5034722222222222)</f>
        <v>0.5034722222</v>
      </c>
      <c r="K4" s="53">
        <f t="shared" si="1"/>
        <v>0.01736111111</v>
      </c>
      <c r="L4" s="49" t="s">
        <v>111</v>
      </c>
      <c r="M4" s="62" t="s">
        <v>351</v>
      </c>
      <c r="N4" s="75" t="str">
        <f t="shared" si="2"/>
        <v>BI_4_3_94cb956d-fb44-48da-be1a-c1d81057c018_000000_000000.mp4</v>
      </c>
      <c r="O4" s="48"/>
      <c r="P4" s="48"/>
      <c r="Q4" s="63"/>
      <c r="R4" s="49"/>
      <c r="S4" s="49"/>
      <c r="T4" s="49"/>
    </row>
    <row r="5">
      <c r="A5" s="49" t="str">
        <f>IFERROR(__xludf.DUMMYFUNCTION("""COMPUTED_VALUE"""),"How AI has opened up the world of data")</f>
        <v>How AI has opened up the world of data</v>
      </c>
      <c r="B5" s="69" t="str">
        <f>IFERROR(__xludf.DUMMYFUNCTION("""COMPUTED_VALUE"""),"binate.io")</f>
        <v>binate.io</v>
      </c>
      <c r="C5" s="51" t="str">
        <f>IFERROR(__xludf.DUMMYFUNCTION("""COMPUTED_VALUE"""),"Sudheesh Nair")</f>
        <v>Sudheesh Nair</v>
      </c>
      <c r="D5" s="49" t="str">
        <f>IFERROR(__xludf.DUMMYFUNCTION("""COMPUTED_VALUE"""),"2019/11/06 12:05:00")</f>
        <v>2019/11/06 12:05:00</v>
      </c>
      <c r="E5" s="49" t="str">
        <f>IFERROR(__xludf.DUMMYFUNCTION("""COMPUTED_VALUE"""),"2019/11/06 12:25:00")</f>
        <v>2019/11/06 12:25:00</v>
      </c>
      <c r="F5" s="49" t="str">
        <f>IFERROR(__xludf.DUMMYFUNCTION("""COMPUTED_VALUE"""),"582f0ad8-e334-4559-916d-7039f21ac2e6")</f>
        <v>582f0ad8-e334-4559-916d-7039f21ac2e6</v>
      </c>
      <c r="G5" s="52">
        <f>IFERROR(__xludf.DUMMYFUNCTION("""COMPUTED_VALUE"""),43775.0)</f>
        <v>43775</v>
      </c>
      <c r="H5" s="53">
        <f>IFERROR(__xludf.DUMMYFUNCTION("""COMPUTED_VALUE"""),0.5034722222222222)</f>
        <v>0.5034722222</v>
      </c>
      <c r="I5" s="52">
        <f>IFERROR(__xludf.DUMMYFUNCTION("""COMPUTED_VALUE"""),43775.0)</f>
        <v>43775</v>
      </c>
      <c r="J5" s="53">
        <f>IFERROR(__xludf.DUMMYFUNCTION("""COMPUTED_VALUE"""),0.5173611111111112)</f>
        <v>0.5173611111</v>
      </c>
      <c r="K5" s="53">
        <f t="shared" si="1"/>
        <v>0.01388888889</v>
      </c>
      <c r="L5" s="49" t="s">
        <v>109</v>
      </c>
      <c r="M5" s="62" t="s">
        <v>354</v>
      </c>
      <c r="N5" s="75" t="str">
        <f t="shared" si="2"/>
        <v>BI_4_4_582f0ad8-e334-4559-916d-7039f21ac2e6_000000_000000.mp4</v>
      </c>
      <c r="O5" s="48"/>
      <c r="P5" s="48"/>
      <c r="Q5" s="63"/>
      <c r="R5" s="49"/>
      <c r="S5" s="49"/>
      <c r="T5" s="49"/>
    </row>
    <row r="6">
      <c r="A6" s="49" t="str">
        <f>IFERROR(__xludf.DUMMYFUNCTION("""COMPUTED_VALUE"""),"Why digitalisation requires new ways for cybersecurity")</f>
        <v>Why digitalisation requires new ways for cybersecurity</v>
      </c>
      <c r="B6" s="69" t="str">
        <f>IFERROR(__xludf.DUMMYFUNCTION("""COMPUTED_VALUE"""),"binate.io")</f>
        <v>binate.io</v>
      </c>
      <c r="C6" s="51" t="str">
        <f>IFERROR(__xludf.DUMMYFUNCTION("""COMPUTED_VALUE"""),"Natalia Oropeza")</f>
        <v>Natalia Oropeza</v>
      </c>
      <c r="D6" s="49" t="str">
        <f>IFERROR(__xludf.DUMMYFUNCTION("""COMPUTED_VALUE"""),"2019/11/06 12:25:00")</f>
        <v>2019/11/06 12:25:00</v>
      </c>
      <c r="E6" s="49" t="str">
        <f>IFERROR(__xludf.DUMMYFUNCTION("""COMPUTED_VALUE"""),"2019/11/06 12:45:00")</f>
        <v>2019/11/06 12:45:00</v>
      </c>
      <c r="F6" s="49" t="str">
        <f>IFERROR(__xludf.DUMMYFUNCTION("""COMPUTED_VALUE"""),"b2a9c498-e4f1-49a0-a2f6-c6da5d3a2240")</f>
        <v>b2a9c498-e4f1-49a0-a2f6-c6da5d3a2240</v>
      </c>
      <c r="G6" s="52">
        <f>IFERROR(__xludf.DUMMYFUNCTION("""COMPUTED_VALUE"""),43775.0)</f>
        <v>43775</v>
      </c>
      <c r="H6" s="53">
        <f>IFERROR(__xludf.DUMMYFUNCTION("""COMPUTED_VALUE"""),0.5173611111111112)</f>
        <v>0.5173611111</v>
      </c>
      <c r="I6" s="52">
        <f>IFERROR(__xludf.DUMMYFUNCTION("""COMPUTED_VALUE"""),43775.0)</f>
        <v>43775</v>
      </c>
      <c r="J6" s="53">
        <f>IFERROR(__xludf.DUMMYFUNCTION("""COMPUTED_VALUE"""),0.53125)</f>
        <v>0.53125</v>
      </c>
      <c r="K6" s="53">
        <f t="shared" si="1"/>
        <v>0.01388888889</v>
      </c>
      <c r="L6" s="49" t="s">
        <v>109</v>
      </c>
      <c r="M6" s="62" t="s">
        <v>357</v>
      </c>
      <c r="N6" s="75" t="str">
        <f t="shared" si="2"/>
        <v>BI_4_5_b2a9c498-e4f1-49a0-a2f6-c6da5d3a2240_000000_000000.mp4</v>
      </c>
      <c r="O6" s="48"/>
      <c r="P6" s="48"/>
      <c r="Q6" s="63"/>
      <c r="R6" s="49"/>
      <c r="S6" s="49"/>
      <c r="T6" s="49"/>
    </row>
    <row r="7">
      <c r="A7" s="49" t="str">
        <f>IFERROR(__xludf.DUMMYFUNCTION("""COMPUTED_VALUE"""),"To boldly hack where no one has hacked before")</f>
        <v>To boldly hack where no one has hacked before</v>
      </c>
      <c r="B7" s="69" t="str">
        <f>IFERROR(__xludf.DUMMYFUNCTION("""COMPUTED_VALUE"""),"binate.io")</f>
        <v>binate.io</v>
      </c>
      <c r="C7" s="51" t="str">
        <f>IFERROR(__xludf.DUMMYFUNCTION("""COMPUTED_VALUE"""),"Eduardo Cabrera")</f>
        <v>Eduardo Cabrera</v>
      </c>
      <c r="D7" s="49" t="str">
        <f>IFERROR(__xludf.DUMMYFUNCTION("""COMPUTED_VALUE"""),"2019/11/06 12:45:00")</f>
        <v>2019/11/06 12:45:00</v>
      </c>
      <c r="E7" s="49" t="str">
        <f>IFERROR(__xludf.DUMMYFUNCTION("""COMPUTED_VALUE"""),"2019/11/06 13:05:00")</f>
        <v>2019/11/06 13:05:00</v>
      </c>
      <c r="F7" s="49" t="str">
        <f>IFERROR(__xludf.DUMMYFUNCTION("""COMPUTED_VALUE"""),"9ee604b7-e376-4226-8b7b-a5ddf0cafc4d")</f>
        <v>9ee604b7-e376-4226-8b7b-a5ddf0cafc4d</v>
      </c>
      <c r="G7" s="52">
        <f>IFERROR(__xludf.DUMMYFUNCTION("""COMPUTED_VALUE"""),43775.0)</f>
        <v>43775</v>
      </c>
      <c r="H7" s="53">
        <f>IFERROR(__xludf.DUMMYFUNCTION("""COMPUTED_VALUE"""),0.53125)</f>
        <v>0.53125</v>
      </c>
      <c r="I7" s="52">
        <f>IFERROR(__xludf.DUMMYFUNCTION("""COMPUTED_VALUE"""),43775.0)</f>
        <v>43775</v>
      </c>
      <c r="J7" s="53">
        <f>IFERROR(__xludf.DUMMYFUNCTION("""COMPUTED_VALUE"""),0.5451388888888888)</f>
        <v>0.5451388889</v>
      </c>
      <c r="K7" s="53">
        <f t="shared" si="1"/>
        <v>0.01388888889</v>
      </c>
      <c r="L7" s="49" t="s">
        <v>109</v>
      </c>
      <c r="M7" s="62" t="s">
        <v>360</v>
      </c>
      <c r="N7" s="75" t="str">
        <f t="shared" si="2"/>
        <v>BI_4_6_9ee604b7-e376-4226-8b7b-a5ddf0cafc4d_000000_000000.mp4</v>
      </c>
      <c r="O7" s="48"/>
      <c r="P7" s="48"/>
      <c r="Q7" s="63"/>
      <c r="R7" s="49"/>
      <c r="S7" s="49"/>
      <c r="T7" s="49"/>
    </row>
    <row r="8">
      <c r="A8" s="49" t="str">
        <f>IFERROR(__xludf.DUMMYFUNCTION("""COMPUTED_VALUE"""),"Lunch break")</f>
        <v>Lunch break</v>
      </c>
      <c r="B8" s="69" t="str">
        <f>IFERROR(__xludf.DUMMYFUNCTION("""COMPUTED_VALUE"""),"binate.io")</f>
        <v>binate.io</v>
      </c>
      <c r="C8" s="51" t="str">
        <f>IFERROR(__xludf.DUMMYFUNCTION("""COMPUTED_VALUE"""),"")</f>
        <v/>
      </c>
      <c r="D8" s="49" t="str">
        <f>IFERROR(__xludf.DUMMYFUNCTION("""COMPUTED_VALUE"""),"2019/11/06 13:05:00")</f>
        <v>2019/11/06 13:05:00</v>
      </c>
      <c r="E8" s="49" t="str">
        <f>IFERROR(__xludf.DUMMYFUNCTION("""COMPUTED_VALUE"""),"2019/11/06 13:50:00")</f>
        <v>2019/11/06 13:50:00</v>
      </c>
      <c r="F8" s="49" t="str">
        <f>IFERROR(__xludf.DUMMYFUNCTION("""COMPUTED_VALUE"""),"da4fc303-cfe8-4656-83f6-cbd1d333596d")</f>
        <v>da4fc303-cfe8-4656-83f6-cbd1d333596d</v>
      </c>
      <c r="G8" s="52">
        <f>IFERROR(__xludf.DUMMYFUNCTION("""COMPUTED_VALUE"""),43775.0)</f>
        <v>43775</v>
      </c>
      <c r="H8" s="53">
        <f>IFERROR(__xludf.DUMMYFUNCTION("""COMPUTED_VALUE"""),0.5451388888888888)</f>
        <v>0.5451388889</v>
      </c>
      <c r="I8" s="52">
        <f>IFERROR(__xludf.DUMMYFUNCTION("""COMPUTED_VALUE"""),43775.0)</f>
        <v>43775</v>
      </c>
      <c r="J8" s="53">
        <f>IFERROR(__xludf.DUMMYFUNCTION("""COMPUTED_VALUE"""),0.5763888888888888)</f>
        <v>0.5763888889</v>
      </c>
      <c r="K8" s="53">
        <f t="shared" si="1"/>
        <v>0.03125</v>
      </c>
      <c r="L8" s="49" t="s">
        <v>127</v>
      </c>
      <c r="M8" s="62" t="s">
        <v>364</v>
      </c>
      <c r="N8" s="75" t="str">
        <f t="shared" si="2"/>
        <v>BI_4_7_da4fc303-cfe8-4656-83f6-cbd1d333596d_000000_000000.mp4</v>
      </c>
      <c r="O8" s="48"/>
      <c r="P8" s="48"/>
      <c r="Q8" s="63"/>
      <c r="R8" s="49"/>
      <c r="S8" s="49"/>
      <c r="T8" s="49"/>
    </row>
    <row r="9">
      <c r="A9" s="49" t="str">
        <f>IFERROR(__xludf.DUMMYFUNCTION("""COMPUTED_VALUE"""),"Opening remarks")</f>
        <v>Opening remarks</v>
      </c>
      <c r="B9" s="69" t="str">
        <f>IFERROR(__xludf.DUMMYFUNCTION("""COMPUTED_VALUE"""),"binate.io")</f>
        <v>binate.io</v>
      </c>
      <c r="C9" s="51" t="str">
        <f>IFERROR(__xludf.DUMMYFUNCTION("""COMPUTED_VALUE"""),"Josh Holmes")</f>
        <v>Josh Holmes</v>
      </c>
      <c r="D9" s="49" t="str">
        <f>IFERROR(__xludf.DUMMYFUNCTION("""COMPUTED_VALUE"""),"2019/11/06 13:50:00")</f>
        <v>2019/11/06 13:50:00</v>
      </c>
      <c r="E9" s="49" t="str">
        <f>IFERROR(__xludf.DUMMYFUNCTION("""COMPUTED_VALUE"""),"2019/11/06 14:05:00")</f>
        <v>2019/11/06 14:05:00</v>
      </c>
      <c r="F9" s="49" t="str">
        <f>IFERROR(__xludf.DUMMYFUNCTION("""COMPUTED_VALUE"""),"9d714d63-b884-4c31-aee7-36124f71ac27")</f>
        <v>9d714d63-b884-4c31-aee7-36124f71ac27</v>
      </c>
      <c r="G9" s="52">
        <f>IFERROR(__xludf.DUMMYFUNCTION("""COMPUTED_VALUE"""),43775.0)</f>
        <v>43775</v>
      </c>
      <c r="H9" s="53">
        <f>IFERROR(__xludf.DUMMYFUNCTION("""COMPUTED_VALUE"""),0.5763888888888888)</f>
        <v>0.5763888889</v>
      </c>
      <c r="I9" s="52">
        <f>IFERROR(__xludf.DUMMYFUNCTION("""COMPUTED_VALUE"""),43775.0)</f>
        <v>43775</v>
      </c>
      <c r="J9" s="53">
        <f>IFERROR(__xludf.DUMMYFUNCTION("""COMPUTED_VALUE"""),0.5868055555555556)</f>
        <v>0.5868055556</v>
      </c>
      <c r="K9" s="53">
        <f t="shared" si="1"/>
        <v>0.01041666667</v>
      </c>
      <c r="L9" s="49" t="s">
        <v>118</v>
      </c>
      <c r="M9" s="62" t="s">
        <v>367</v>
      </c>
      <c r="N9" s="75" t="str">
        <f t="shared" si="2"/>
        <v>BI_4_8_9d714d63-b884-4c31-aee7-36124f71ac27_000000_000000.mp4</v>
      </c>
      <c r="O9" s="48"/>
      <c r="P9" s="48"/>
      <c r="Q9" s="63"/>
      <c r="R9" s="49"/>
      <c r="S9" s="49"/>
      <c r="T9" s="49"/>
    </row>
    <row r="10">
      <c r="A10" s="49" t="str">
        <f>IFERROR(__xludf.DUMMYFUNCTION("""COMPUTED_VALUE"""),"The future education powered by AI ")</f>
        <v>The future education powered by AI </v>
      </c>
      <c r="B10" s="69" t="str">
        <f>IFERROR(__xludf.DUMMYFUNCTION("""COMPUTED_VALUE"""),"binate.io")</f>
        <v>binate.io</v>
      </c>
      <c r="C10" s="51" t="str">
        <f>IFERROR(__xludf.DUMMYFUNCTION("""COMPUTED_VALUE"""),"Derek Haoyang Li")</f>
        <v>Derek Haoyang Li</v>
      </c>
      <c r="D10" s="49" t="str">
        <f>IFERROR(__xludf.DUMMYFUNCTION("""COMPUTED_VALUE"""),"2019/11/06 14:05:00")</f>
        <v>2019/11/06 14:05:00</v>
      </c>
      <c r="E10" s="49" t="str">
        <f>IFERROR(__xludf.DUMMYFUNCTION("""COMPUTED_VALUE"""),"2019/11/06 14:25:00")</f>
        <v>2019/11/06 14:25:00</v>
      </c>
      <c r="F10" s="49" t="str">
        <f>IFERROR(__xludf.DUMMYFUNCTION("""COMPUTED_VALUE"""),"4df90319-cc96-41ff-9fab-d47ea71ad0c7")</f>
        <v>4df90319-cc96-41ff-9fab-d47ea71ad0c7</v>
      </c>
      <c r="G10" s="52">
        <f>IFERROR(__xludf.DUMMYFUNCTION("""COMPUTED_VALUE"""),43775.0)</f>
        <v>43775</v>
      </c>
      <c r="H10" s="53">
        <f>IFERROR(__xludf.DUMMYFUNCTION("""COMPUTED_VALUE"""),0.5868055555555556)</f>
        <v>0.5868055556</v>
      </c>
      <c r="I10" s="52">
        <f>IFERROR(__xludf.DUMMYFUNCTION("""COMPUTED_VALUE"""),43775.0)</f>
        <v>43775</v>
      </c>
      <c r="J10" s="53">
        <f>IFERROR(__xludf.DUMMYFUNCTION("""COMPUTED_VALUE"""),0.6006944444444444)</f>
        <v>0.6006944444</v>
      </c>
      <c r="K10" s="53">
        <f t="shared" si="1"/>
        <v>0.01388888889</v>
      </c>
      <c r="L10" s="49" t="s">
        <v>109</v>
      </c>
      <c r="M10" s="62" t="s">
        <v>370</v>
      </c>
      <c r="N10" s="75" t="str">
        <f t="shared" si="2"/>
        <v>BI_4_9_4df90319-cc96-41ff-9fab-d47ea71ad0c7_000000_000000.mp4</v>
      </c>
      <c r="O10" s="48"/>
      <c r="P10" s="48"/>
      <c r="Q10" s="63"/>
      <c r="R10" s="49"/>
      <c r="S10" s="49"/>
      <c r="T10" s="49"/>
    </row>
    <row r="11">
      <c r="A11" s="49" t="str">
        <f>IFERROR(__xludf.DUMMYFUNCTION("""COMPUTED_VALUE"""),"Are we AI-ready?")</f>
        <v>Are we AI-ready?</v>
      </c>
      <c r="B11" s="69" t="str">
        <f>IFERROR(__xludf.DUMMYFUNCTION("""COMPUTED_VALUE"""),"binate.io")</f>
        <v>binate.io</v>
      </c>
      <c r="C11" s="51" t="str">
        <f>IFERROR(__xludf.DUMMYFUNCTION("""COMPUTED_VALUE"""),"Jean-François Gagné and Tim Stevens")</f>
        <v>Jean-François Gagné and Tim Stevens</v>
      </c>
      <c r="D11" s="49" t="str">
        <f>IFERROR(__xludf.DUMMYFUNCTION("""COMPUTED_VALUE"""),"2019/11/06 14:25:00")</f>
        <v>2019/11/06 14:25:00</v>
      </c>
      <c r="E11" s="49" t="str">
        <f>IFERROR(__xludf.DUMMYFUNCTION("""COMPUTED_VALUE"""),"2019/11/06 14:45:00")</f>
        <v>2019/11/06 14:45:00</v>
      </c>
      <c r="F11" s="49" t="str">
        <f>IFERROR(__xludf.DUMMYFUNCTION("""COMPUTED_VALUE"""),"723e8585-eb70-4302-b1c5-a977bfb2a9da")</f>
        <v>723e8585-eb70-4302-b1c5-a977bfb2a9da</v>
      </c>
      <c r="G11" s="52">
        <f>IFERROR(__xludf.DUMMYFUNCTION("""COMPUTED_VALUE"""),43775.0)</f>
        <v>43775</v>
      </c>
      <c r="H11" s="53">
        <f>IFERROR(__xludf.DUMMYFUNCTION("""COMPUTED_VALUE"""),0.6006944444444444)</f>
        <v>0.6006944444</v>
      </c>
      <c r="I11" s="52">
        <f>IFERROR(__xludf.DUMMYFUNCTION("""COMPUTED_VALUE"""),43775.0)</f>
        <v>43775</v>
      </c>
      <c r="J11" s="53">
        <f>IFERROR(__xludf.DUMMYFUNCTION("""COMPUTED_VALUE"""),0.6145833333333334)</f>
        <v>0.6145833333</v>
      </c>
      <c r="K11" s="53">
        <f t="shared" si="1"/>
        <v>0.01388888889</v>
      </c>
      <c r="L11" s="49" t="s">
        <v>109</v>
      </c>
      <c r="M11" s="62" t="s">
        <v>374</v>
      </c>
      <c r="N11" s="75" t="str">
        <f t="shared" si="2"/>
        <v>BI_4_10_723e8585-eb70-4302-b1c5-a977bfb2a9da_000000_000000.mp4</v>
      </c>
      <c r="O11" s="48"/>
      <c r="P11" s="48"/>
      <c r="Q11" s="63"/>
      <c r="R11" s="49"/>
      <c r="S11" s="49"/>
      <c r="T11" s="49"/>
    </row>
    <row r="12">
      <c r="A12" s="49" t="str">
        <f>IFERROR(__xludf.DUMMYFUNCTION("""COMPUTED_VALUE"""),"How to create trust in data to transform a global media company?")</f>
        <v>How to create trust in data to transform a global media company?</v>
      </c>
      <c r="B12" s="69" t="str">
        <f>IFERROR(__xludf.DUMMYFUNCTION("""COMPUTED_VALUE"""),"binate.io")</f>
        <v>binate.io</v>
      </c>
      <c r="C12" s="51" t="str">
        <f>IFERROR(__xludf.DUMMYFUNCTION("""COMPUTED_VALUE"""),"Karthic Bala")</f>
        <v>Karthic Bala</v>
      </c>
      <c r="D12" s="49" t="str">
        <f>IFERROR(__xludf.DUMMYFUNCTION("""COMPUTED_VALUE"""),"2019/11/06 14:45:00")</f>
        <v>2019/11/06 14:45:00</v>
      </c>
      <c r="E12" s="49" t="str">
        <f>IFERROR(__xludf.DUMMYFUNCTION("""COMPUTED_VALUE"""),"2019/11/06 15:05:00")</f>
        <v>2019/11/06 15:05:00</v>
      </c>
      <c r="F12" s="49" t="str">
        <f>IFERROR(__xludf.DUMMYFUNCTION("""COMPUTED_VALUE"""),"6782683f-4383-4523-b056-5bc11a84c2b4")</f>
        <v>6782683f-4383-4523-b056-5bc11a84c2b4</v>
      </c>
      <c r="G12" s="52">
        <f>IFERROR(__xludf.DUMMYFUNCTION("""COMPUTED_VALUE"""),43775.0)</f>
        <v>43775</v>
      </c>
      <c r="H12" s="53">
        <f>IFERROR(__xludf.DUMMYFUNCTION("""COMPUTED_VALUE"""),0.6145833333333334)</f>
        <v>0.6145833333</v>
      </c>
      <c r="I12" s="52">
        <f>IFERROR(__xludf.DUMMYFUNCTION("""COMPUTED_VALUE"""),43775.0)</f>
        <v>43775</v>
      </c>
      <c r="J12" s="53">
        <f>IFERROR(__xludf.DUMMYFUNCTION("""COMPUTED_VALUE"""),0.6284722222222222)</f>
        <v>0.6284722222</v>
      </c>
      <c r="K12" s="53">
        <f t="shared" si="1"/>
        <v>0.01388888889</v>
      </c>
      <c r="L12" s="49" t="s">
        <v>109</v>
      </c>
      <c r="M12" s="62" t="s">
        <v>376</v>
      </c>
      <c r="N12" s="75" t="str">
        <f t="shared" si="2"/>
        <v>BI_4_11_6782683f-4383-4523-b056-5bc11a84c2b4_000000_000000.mp4</v>
      </c>
      <c r="O12" s="48"/>
      <c r="P12" s="48"/>
      <c r="Q12" s="63"/>
      <c r="R12" s="49"/>
      <c r="S12" s="49"/>
      <c r="T12" s="49"/>
    </row>
    <row r="13">
      <c r="A13" s="49" t="str">
        <f>IFERROR(__xludf.DUMMYFUNCTION("""COMPUTED_VALUE"""),"Enterprise SaaS 2.0")</f>
        <v>Enterprise SaaS 2.0</v>
      </c>
      <c r="B13" s="69" t="str">
        <f>IFERROR(__xludf.DUMMYFUNCTION("""COMPUTED_VALUE"""),"binate.io")</f>
        <v>binate.io</v>
      </c>
      <c r="C13" s="51" t="str">
        <f>IFERROR(__xludf.DUMMYFUNCTION("""COMPUTED_VALUE"""),"David Cancel")</f>
        <v>David Cancel</v>
      </c>
      <c r="D13" s="49" t="str">
        <f>IFERROR(__xludf.DUMMYFUNCTION("""COMPUTED_VALUE"""),"2019/11/06 15:05:00")</f>
        <v>2019/11/06 15:05:00</v>
      </c>
      <c r="E13" s="49" t="str">
        <f>IFERROR(__xludf.DUMMYFUNCTION("""COMPUTED_VALUE"""),"2019/11/06 15:25:00")</f>
        <v>2019/11/06 15:25:00</v>
      </c>
      <c r="F13" s="49" t="str">
        <f>IFERROR(__xludf.DUMMYFUNCTION("""COMPUTED_VALUE"""),"6171d51d-3459-461e-a7fa-d445d25521d9")</f>
        <v>6171d51d-3459-461e-a7fa-d445d25521d9</v>
      </c>
      <c r="G13" s="52">
        <f>IFERROR(__xludf.DUMMYFUNCTION("""COMPUTED_VALUE"""),43775.0)</f>
        <v>43775</v>
      </c>
      <c r="H13" s="53">
        <f>IFERROR(__xludf.DUMMYFUNCTION("""COMPUTED_VALUE"""),0.6284722222222222)</f>
        <v>0.6284722222</v>
      </c>
      <c r="I13" s="52">
        <f>IFERROR(__xludf.DUMMYFUNCTION("""COMPUTED_VALUE"""),43775.0)</f>
        <v>43775</v>
      </c>
      <c r="J13" s="53">
        <f>IFERROR(__xludf.DUMMYFUNCTION("""COMPUTED_VALUE"""),0.6423611111111112)</f>
        <v>0.6423611111</v>
      </c>
      <c r="K13" s="53">
        <f t="shared" si="1"/>
        <v>0.01388888889</v>
      </c>
      <c r="L13" s="49" t="s">
        <v>109</v>
      </c>
      <c r="M13" s="62" t="s">
        <v>378</v>
      </c>
      <c r="N13" s="75" t="str">
        <f t="shared" si="2"/>
        <v>BI_4_12_6171d51d-3459-461e-a7fa-d445d25521d9_000000_000000.mp4</v>
      </c>
      <c r="O13" s="48"/>
      <c r="P13" s="48"/>
      <c r="Q13" s="63"/>
      <c r="R13" s="49"/>
      <c r="S13" s="49"/>
      <c r="T13" s="49"/>
    </row>
    <row r="14">
      <c r="A14" s="49" t="str">
        <f>IFERROR(__xludf.DUMMYFUNCTION("""COMPUTED_VALUE"""),"Advancing in the age of automation ")</f>
        <v>Advancing in the age of automation </v>
      </c>
      <c r="B14" s="69" t="str">
        <f>IFERROR(__xludf.DUMMYFUNCTION("""COMPUTED_VALUE"""),"binate.io")</f>
        <v>binate.io</v>
      </c>
      <c r="C14" s="51" t="str">
        <f>IFERROR(__xludf.DUMMYFUNCTION("""COMPUTED_VALUE"""),"Gaurav Dhillon")</f>
        <v>Gaurav Dhillon</v>
      </c>
      <c r="D14" s="49" t="str">
        <f>IFERROR(__xludf.DUMMYFUNCTION("""COMPUTED_VALUE"""),"2019/11/06 15:25:00")</f>
        <v>2019/11/06 15:25:00</v>
      </c>
      <c r="E14" s="49" t="str">
        <f>IFERROR(__xludf.DUMMYFUNCTION("""COMPUTED_VALUE"""),"2019/11/06 15:45:00")</f>
        <v>2019/11/06 15:45:00</v>
      </c>
      <c r="F14" s="49" t="str">
        <f>IFERROR(__xludf.DUMMYFUNCTION("""COMPUTED_VALUE"""),"ce5cb8a4-44c3-435d-bb53-87dfe5cb3eda")</f>
        <v>ce5cb8a4-44c3-435d-bb53-87dfe5cb3eda</v>
      </c>
      <c r="G14" s="52">
        <f>IFERROR(__xludf.DUMMYFUNCTION("""COMPUTED_VALUE"""),43775.0)</f>
        <v>43775</v>
      </c>
      <c r="H14" s="53">
        <f>IFERROR(__xludf.DUMMYFUNCTION("""COMPUTED_VALUE"""),0.6423611111111112)</f>
        <v>0.6423611111</v>
      </c>
      <c r="I14" s="52">
        <f>IFERROR(__xludf.DUMMYFUNCTION("""COMPUTED_VALUE"""),43775.0)</f>
        <v>43775</v>
      </c>
      <c r="J14" s="53">
        <f>IFERROR(__xludf.DUMMYFUNCTION("""COMPUTED_VALUE"""),0.65625)</f>
        <v>0.65625</v>
      </c>
      <c r="K14" s="53">
        <f t="shared" si="1"/>
        <v>0.01388888889</v>
      </c>
      <c r="L14" s="49" t="s">
        <v>109</v>
      </c>
      <c r="M14" s="62" t="s">
        <v>379</v>
      </c>
      <c r="N14" s="75" t="str">
        <f t="shared" si="2"/>
        <v>BI_4_13_ce5cb8a4-44c3-435d-bb53-87dfe5cb3eda_000000_000000.mp4</v>
      </c>
      <c r="O14" s="48"/>
      <c r="P14" s="48"/>
      <c r="Q14" s="63"/>
      <c r="R14" s="49"/>
      <c r="S14" s="49"/>
      <c r="T14" s="49"/>
    </row>
    <row r="15">
      <c r="A15" s="49"/>
      <c r="B15" s="49"/>
      <c r="C15" s="51"/>
      <c r="D15" s="49"/>
      <c r="E15" s="49"/>
      <c r="F15" s="49"/>
      <c r="G15" s="49" t="str">
        <f>IFERROR(__xludf.DUMMYFUNCTION("""COMPUTED_VALUE"""),"#VALUE!")</f>
        <v>#VALUE!</v>
      </c>
      <c r="H15" s="49" t="str">
        <f>IFERROR(__xludf.DUMMYFUNCTION("""COMPUTED_VALUE"""),"")</f>
        <v/>
      </c>
      <c r="I15" s="49" t="str">
        <f>IFERROR(__xludf.DUMMYFUNCTION("""COMPUTED_VALUE"""),"#VALUE!")</f>
        <v>#VALUE!</v>
      </c>
      <c r="J15" s="49" t="str">
        <f>IFERROR(__xludf.DUMMYFUNCTION("""COMPUTED_VALUE"""),"")</f>
        <v/>
      </c>
      <c r="K15" s="49">
        <f t="shared" si="1"/>
        <v>0</v>
      </c>
      <c r="L15" s="49" t="s">
        <v>255</v>
      </c>
      <c r="M15" s="49"/>
      <c r="N15" s="49"/>
      <c r="O15" s="49"/>
      <c r="P15" s="49"/>
      <c r="Q15" s="49"/>
      <c r="R15" s="49"/>
      <c r="S15" s="49"/>
      <c r="T15" s="49"/>
    </row>
    <row r="16">
      <c r="A16" s="49"/>
      <c r="B16" s="49"/>
      <c r="C16" s="51"/>
      <c r="D16" s="49"/>
      <c r="E16" s="49"/>
      <c r="F16" s="49"/>
      <c r="G16" s="49" t="str">
        <f>IFERROR(__xludf.DUMMYFUNCTION("""COMPUTED_VALUE"""),"#VALUE!")</f>
        <v>#VALUE!</v>
      </c>
      <c r="H16" s="49" t="str">
        <f>IFERROR(__xludf.DUMMYFUNCTION("""COMPUTED_VALUE"""),"")</f>
        <v/>
      </c>
      <c r="I16" s="49" t="str">
        <f>IFERROR(__xludf.DUMMYFUNCTION("""COMPUTED_VALUE"""),"#VALUE!")</f>
        <v>#VALUE!</v>
      </c>
      <c r="J16" s="49" t="str">
        <f>IFERROR(__xludf.DUMMYFUNCTION("""COMPUTED_VALUE"""),"")</f>
        <v/>
      </c>
      <c r="K16" s="49">
        <f t="shared" si="1"/>
        <v>0</v>
      </c>
      <c r="L16" s="49" t="s">
        <v>255</v>
      </c>
      <c r="M16" s="49"/>
      <c r="N16" s="49"/>
      <c r="O16" s="49"/>
      <c r="P16" s="49"/>
      <c r="Q16" s="49"/>
      <c r="R16" s="49"/>
      <c r="S16" s="49"/>
      <c r="T16" s="49"/>
    </row>
    <row r="17">
      <c r="A17" s="49"/>
      <c r="B17" s="49"/>
      <c r="C17" s="51"/>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c r="L17" s="49" t="s">
        <v>255</v>
      </c>
      <c r="M17" s="49"/>
      <c r="N17" s="49"/>
      <c r="O17" s="49"/>
      <c r="P17" s="49"/>
      <c r="Q17" s="49"/>
      <c r="R17" s="49"/>
      <c r="S17" s="49"/>
      <c r="T17" s="49"/>
    </row>
    <row r="18">
      <c r="A18" s="49"/>
      <c r="B18" s="49"/>
      <c r="C18" s="51"/>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c r="L18" s="49" t="s">
        <v>255</v>
      </c>
      <c r="M18" s="49"/>
      <c r="N18" s="49"/>
      <c r="O18" s="49"/>
      <c r="P18" s="49"/>
      <c r="Q18" s="49"/>
      <c r="R18" s="49"/>
      <c r="S18" s="49"/>
      <c r="T18" s="49"/>
    </row>
    <row r="19">
      <c r="A19" s="49"/>
      <c r="B19" s="49"/>
      <c r="C19" s="51"/>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c r="L19" s="49" t="s">
        <v>255</v>
      </c>
      <c r="M19" s="49"/>
      <c r="N19" s="49"/>
      <c r="O19" s="49"/>
      <c r="P19" s="49"/>
      <c r="Q19" s="49"/>
      <c r="R19" s="49"/>
      <c r="S19" s="49"/>
      <c r="T19" s="49"/>
    </row>
    <row r="20">
      <c r="A20" s="49"/>
      <c r="B20" s="49"/>
      <c r="C20" s="51"/>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c r="L20" s="49" t="s">
        <v>255</v>
      </c>
      <c r="M20" s="49"/>
      <c r="N20" s="49"/>
      <c r="O20" s="49"/>
      <c r="P20" s="49"/>
      <c r="Q20" s="49"/>
      <c r="R20" s="49"/>
      <c r="S20" s="49"/>
      <c r="T20" s="49"/>
    </row>
    <row r="21">
      <c r="A21" s="49"/>
      <c r="B21" s="49"/>
      <c r="C21" s="51"/>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c r="L21" s="49" t="s">
        <v>255</v>
      </c>
      <c r="M21" s="49"/>
      <c r="N21" s="49"/>
      <c r="O21" s="49"/>
      <c r="P21" s="49"/>
      <c r="Q21" s="49"/>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c r="L22" s="49" t="s">
        <v>255</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c r="L23" s="49" t="s">
        <v>255</v>
      </c>
      <c r="M23" s="49"/>
      <c r="N23" s="49"/>
      <c r="O23" s="49"/>
      <c r="P23" s="49"/>
      <c r="Q23" s="49"/>
      <c r="R23" s="49"/>
      <c r="S23" s="49"/>
      <c r="T23" s="49"/>
    </row>
    <row r="24">
      <c r="A24" s="49"/>
      <c r="B24" s="49"/>
      <c r="C24" s="51"/>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255</v>
      </c>
      <c r="M24" s="49"/>
      <c r="N24" s="49"/>
      <c r="O24" s="49"/>
      <c r="P24" s="49"/>
      <c r="Q24" s="49"/>
      <c r="R24" s="49"/>
      <c r="S24" s="49"/>
      <c r="T24" s="49"/>
    </row>
    <row r="25">
      <c r="A25" s="49"/>
      <c r="B25" s="49"/>
      <c r="C25" s="51"/>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255</v>
      </c>
      <c r="M25" s="49"/>
      <c r="N25" s="49"/>
      <c r="O25" s="49"/>
      <c r="P25" s="49"/>
      <c r="Q25" s="49"/>
      <c r="R25" s="49"/>
      <c r="S25" s="49"/>
      <c r="T25" s="49"/>
    </row>
    <row r="26">
      <c r="A26" s="49"/>
      <c r="B26" s="49"/>
      <c r="C26" s="51"/>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255</v>
      </c>
      <c r="M26" s="49"/>
      <c r="N26" s="49"/>
      <c r="O26" s="49"/>
      <c r="P26" s="49"/>
      <c r="Q26" s="49"/>
      <c r="R26" s="49"/>
      <c r="S26" s="49"/>
      <c r="T26" s="49"/>
    </row>
    <row r="27">
      <c r="A27" s="49"/>
      <c r="B27" s="49"/>
      <c r="C27" s="51"/>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255</v>
      </c>
      <c r="M27" s="49"/>
      <c r="N27" s="49"/>
      <c r="O27" s="49"/>
      <c r="P27" s="49"/>
      <c r="Q27" s="49"/>
      <c r="R27" s="49"/>
      <c r="S27" s="49"/>
      <c r="T27" s="49"/>
    </row>
    <row r="28">
      <c r="A28" s="49"/>
      <c r="B28" s="49"/>
      <c r="C28" s="51"/>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255</v>
      </c>
      <c r="M28" s="49"/>
      <c r="N28" s="49"/>
      <c r="O28" s="49"/>
      <c r="P28" s="49"/>
      <c r="Q28" s="49"/>
      <c r="R28" s="49"/>
      <c r="S28" s="49"/>
      <c r="T28" s="49"/>
    </row>
    <row r="29">
      <c r="A29" s="49"/>
      <c r="B29" s="49"/>
      <c r="C29" s="51"/>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255</v>
      </c>
      <c r="M29" s="49"/>
      <c r="N29" s="49"/>
      <c r="O29" s="49"/>
      <c r="P29" s="49"/>
      <c r="Q29" s="49"/>
      <c r="R29" s="49"/>
      <c r="S29" s="49"/>
      <c r="T29" s="49"/>
    </row>
    <row r="30">
      <c r="A30" s="49"/>
      <c r="B30" s="49"/>
      <c r="C30" s="51"/>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255</v>
      </c>
      <c r="M30" s="49"/>
      <c r="N30" s="49"/>
      <c r="O30" s="49"/>
      <c r="P30" s="49"/>
      <c r="Q30" s="49"/>
      <c r="R30" s="49"/>
      <c r="S30" s="49"/>
      <c r="T30" s="49"/>
    </row>
    <row r="31">
      <c r="A31" s="49"/>
      <c r="B31" s="49"/>
      <c r="C31" s="51"/>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255</v>
      </c>
      <c r="M31" s="49"/>
      <c r="N31" s="49"/>
      <c r="O31" s="49"/>
      <c r="P31" s="49"/>
      <c r="Q31" s="49"/>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255</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255</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255</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255</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255</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255</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255</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255</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255</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255</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255</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255</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255</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255</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255</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255</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255</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255</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255</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255</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255</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255</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255</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255</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255</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255</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255</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255</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255</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255</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255</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255</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255</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255</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255</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255</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255</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255</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255</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255</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255</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255</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255</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255</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255</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255</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255</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255</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255</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255</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255</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255</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255</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255</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255</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255</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255</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255</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255</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255</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255</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255</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255</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255</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255</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255</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255</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255</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255</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255</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255</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255</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255</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255</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255</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255</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255</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255</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255</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255</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255</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255</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255</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255</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255</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255</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255</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255</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255</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255</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255</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255</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255</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255</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255</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255</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255</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255</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255</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255</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255</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255</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255</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255</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255</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255</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255</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255</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255</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255</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255</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255</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255</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255</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255</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255</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255</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255</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255</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255</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255</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255</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255</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255</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255</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255</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255</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255</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255</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255</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255</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255</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255</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255</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255</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255</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255</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255</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255</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255</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255</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255</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255</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255</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255</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255</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255</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255</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255</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255</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255</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255</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255</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255</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255</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255</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255</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255</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255</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255</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255</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255</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255</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255</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255</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255</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255</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255</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255</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255</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255</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255</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255</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255</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255</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255</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255</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255</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255</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255</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255</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255</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255</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255</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255</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255</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255</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255</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255</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255</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255</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255</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255</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255</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255</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255</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255</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255</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255</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255</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255</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255</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255</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255</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255</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255</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255</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255</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255</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255</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255</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255</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255</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255</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255</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255</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255</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255</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255</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255</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255</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255</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255</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255</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255</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255</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255</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255</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255</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255</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255</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255</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255</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255</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255</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255</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255</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255</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255</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255</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255</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255</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255</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255</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255</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255</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255</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255</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255</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255</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255</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255</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255</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255</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255</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255</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255</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255</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255</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255</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255</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255</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255</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255</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255</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255</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255</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255</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255</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255</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255</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255</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255</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255</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255</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255</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255</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255</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255</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255</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255</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255</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255</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255</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255</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255</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255</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255</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255</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255</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255</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255</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255</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255</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255</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255</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255</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255</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255</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255</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255</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255</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255</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255</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255</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255</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255</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255</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255</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255</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255</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255</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255</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255</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255</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255</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255</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255</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255</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255</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255</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255</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255</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255</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255</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255</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255</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255</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255</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255</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255</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255</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255</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255</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255</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255</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255</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255</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255</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255</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255</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255</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255</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255</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255</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255</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255</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255</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255</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255</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255</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255</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255</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255</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255</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255</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255</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255</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255</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255</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255</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255</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255</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255</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255</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255</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255</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255</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255</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255</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255</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255</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255</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255</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255</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255</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255</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255</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255</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255</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255</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255</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255</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255</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255</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255</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255</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255</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255</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255</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255</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255</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255</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255</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255</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255</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255</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255</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255</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255</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255</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255</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255</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255</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255</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255</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255</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255</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255</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255</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255</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255</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255</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255</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255</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255</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255</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255</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255</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255</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255</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255</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255</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255</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255</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255</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255</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255</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255</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255</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255</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255</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255</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255</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255</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255</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255</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255</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255</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255</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255</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255</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255</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255</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255</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255</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255</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255</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255</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255</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255</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255</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255</v>
      </c>
      <c r="M517" s="49"/>
      <c r="N517" s="49"/>
      <c r="O517" s="49"/>
      <c r="P517" s="49"/>
      <c r="Q517" s="49"/>
      <c r="R517" s="49"/>
      <c r="S517" s="49"/>
      <c r="T517" s="49"/>
    </row>
  </sheetData>
  <conditionalFormatting sqref="O2:O14">
    <cfRule type="containsText" dxfId="4" priority="1" operator="containsText" text="YES">
      <formula>NOT(ISERROR(SEARCH(("YES"),(O2))))</formula>
    </cfRule>
  </conditionalFormatting>
  <conditionalFormatting sqref="O2:O14">
    <cfRule type="cellIs" dxfId="5" priority="2" operator="equal">
      <formula>"NO"</formula>
    </cfRule>
  </conditionalFormatting>
  <conditionalFormatting sqref="P2:P14">
    <cfRule type="cellIs" dxfId="4" priority="3" operator="equal">
      <formula>"AVAILABLE"</formula>
    </cfRule>
  </conditionalFormatting>
  <conditionalFormatting sqref="P2:P14">
    <cfRule type="cellIs" dxfId="5" priority="4" operator="equal">
      <formula>"NOT AVAILABLE"</formula>
    </cfRule>
  </conditionalFormatting>
  <conditionalFormatting sqref="Q2:Q14">
    <cfRule type="cellIs" dxfId="4" priority="5" operator="equal">
      <formula>"AVAILABLE"</formula>
    </cfRule>
  </conditionalFormatting>
  <conditionalFormatting sqref="Q2:Q14">
    <cfRule type="cellIs" dxfId="6" priority="6" operator="equal">
      <formula>"UPLOADING"</formula>
    </cfRule>
  </conditionalFormatting>
  <conditionalFormatting sqref="Q2:Q14">
    <cfRule type="cellIs" dxfId="5" priority="7" operator="equal">
      <formula>"NOT AVAILABLE"</formula>
    </cfRule>
  </conditionalFormatting>
  <dataValidations>
    <dataValidation type="list" allowBlank="1" sqref="O2:O14">
      <formula1>"YES,NO"</formula1>
    </dataValidation>
    <dataValidation type="list" allowBlank="1" sqref="P2:P14">
      <formula1>"AVAILABLE,NOT AVAILABLE"</formula1>
    </dataValidation>
    <dataValidation type="list" allowBlank="1" sqref="Q2:Q14">
      <formula1>"AVAILABLE,UPLOADING,NOT AVAILABLE"</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s>
  <drawing r:id="rId14"/>
  <tableParts count="1">
    <tablePart r:id="rId16"/>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71"/>
    <col customWidth="1" min="3" max="3" width="30.14"/>
    <col hidden="1" min="4" max="5" width="14.43"/>
    <col customWidth="1" min="6" max="6" width="35.71"/>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'FullSTK' ORDER BY F"")"),"Opening remarks")</f>
        <v>Opening remarks</v>
      </c>
      <c r="B2" s="49" t="str">
        <f>IFERROR(__xludf.DUMMYFUNCTION("""COMPUTED_VALUE"""),"FullSTK")</f>
        <v>FullSTK</v>
      </c>
      <c r="C2" s="51" t="str">
        <f>IFERROR(__xludf.DUMMYFUNCTION("""COMPUTED_VALUE"""),"Bas Wouterse")</f>
        <v>Bas Wouterse</v>
      </c>
      <c r="D2" s="49" t="str">
        <f>IFERROR(__xludf.DUMMYFUNCTION("""COMPUTED_VALUE"""),"2019/11/07 11:00:00")</f>
        <v>2019/11/07 11:00:00</v>
      </c>
      <c r="E2" s="49" t="str">
        <f>IFERROR(__xludf.DUMMYFUNCTION("""COMPUTED_VALUE"""),"2019/11/07 11:15:00")</f>
        <v>2019/11/07 11:15:00</v>
      </c>
      <c r="F2" s="49" t="str">
        <f>IFERROR(__xludf.DUMMYFUNCTION("""COMPUTED_VALUE"""),"0139e1ca-73b2-48c4-8c1a-10e9559eac8c")</f>
        <v>0139e1ca-73b2-48c4-8c1a-10e9559eac8c</v>
      </c>
      <c r="G2" s="54">
        <f>IFERROR(__xludf.DUMMYFUNCTION("ARRAYFORMULA(SPLIT(D2:D17,"" ""))"),43776.0)</f>
        <v>43776</v>
      </c>
      <c r="H2" s="53">
        <f>IFERROR(__xludf.DUMMYFUNCTION("""COMPUTED_VALUE"""),0.4583333333333333)</f>
        <v>0.4583333333</v>
      </c>
      <c r="I2" s="54">
        <f>IFERROR(__xludf.DUMMYFUNCTION("ARRAYFORMULA(SPLIT(E2:E17,"" ""))"),43776.0)</f>
        <v>43776</v>
      </c>
      <c r="J2" s="53">
        <f>IFERROR(__xludf.DUMMYFUNCTION("""COMPUTED_VALUE"""),0.46875)</f>
        <v>0.46875</v>
      </c>
      <c r="K2" s="53">
        <f t="shared" ref="K2:K17" si="1">J2-H2</f>
        <v>0.01041666667</v>
      </c>
      <c r="L2" s="50" t="str">
        <f t="array" ref="L2:L17">TEXT(K2:K17,"hhmmss")</f>
        <v>001500</v>
      </c>
      <c r="M2" s="62" t="s">
        <v>343</v>
      </c>
      <c r="N2" s="75" t="str">
        <f t="shared" ref="N2:N16" si="2">CONCATENATE(M2,"_",F2,"_","000000_000000.mp4")</f>
        <v>FK_4_1_0139e1ca-73b2-48c4-8c1a-10e9559eac8c_000000_000000.mp4</v>
      </c>
      <c r="O2" s="48"/>
      <c r="P2" s="48"/>
      <c r="Q2" s="63"/>
      <c r="R2" s="49"/>
      <c r="S2" s="49"/>
      <c r="T2" s="49"/>
    </row>
    <row r="3">
      <c r="A3" s="49" t="str">
        <f>IFERROR(__xludf.DUMMYFUNCTION("""COMPUTED_VALUE"""),"Chasing clouds: An immigrant story")</f>
        <v>Chasing clouds: An immigrant story</v>
      </c>
      <c r="B3" s="49" t="str">
        <f>IFERROR(__xludf.DUMMYFUNCTION("""COMPUTED_VALUE"""),"FullSTK")</f>
        <v>FullSTK</v>
      </c>
      <c r="C3" s="51" t="str">
        <f>IFERROR(__xludf.DUMMYFUNCTION("""COMPUTED_VALUE"""),"Ben Uretsky, Moisey Uretskey and Andrei Brasoveanu")</f>
        <v>Ben Uretsky, Moisey Uretskey and Andrei Brasoveanu</v>
      </c>
      <c r="D3" s="49" t="str">
        <f>IFERROR(__xludf.DUMMYFUNCTION("""COMPUTED_VALUE"""),"2019/11/07 11:15:00")</f>
        <v>2019/11/07 11:15:00</v>
      </c>
      <c r="E3" s="49" t="str">
        <f>IFERROR(__xludf.DUMMYFUNCTION("""COMPUTED_VALUE"""),"2019/11/07 11:35:00")</f>
        <v>2019/11/07 11:35:00</v>
      </c>
      <c r="F3" s="49" t="str">
        <f>IFERROR(__xludf.DUMMYFUNCTION("""COMPUTED_VALUE"""),"0fc71f65-2642-45ac-9106-20a2f5d16075")</f>
        <v>0fc71f65-2642-45ac-9106-20a2f5d16075</v>
      </c>
      <c r="G3" s="52">
        <f>IFERROR(__xludf.DUMMYFUNCTION("""COMPUTED_VALUE"""),43776.0)</f>
        <v>43776</v>
      </c>
      <c r="H3" s="53">
        <f>IFERROR(__xludf.DUMMYFUNCTION("""COMPUTED_VALUE"""),0.46875)</f>
        <v>0.46875</v>
      </c>
      <c r="I3" s="52">
        <f>IFERROR(__xludf.DUMMYFUNCTION("""COMPUTED_VALUE"""),43776.0)</f>
        <v>43776</v>
      </c>
      <c r="J3" s="53">
        <f>IFERROR(__xludf.DUMMYFUNCTION("""COMPUTED_VALUE"""),0.4826388888888889)</f>
        <v>0.4826388889</v>
      </c>
      <c r="K3" s="53">
        <f t="shared" si="1"/>
        <v>0.01388888889</v>
      </c>
      <c r="L3" s="49" t="s">
        <v>109</v>
      </c>
      <c r="M3" s="62" t="s">
        <v>345</v>
      </c>
      <c r="N3" s="75" t="str">
        <f t="shared" si="2"/>
        <v>FK_4_2_0fc71f65-2642-45ac-9106-20a2f5d16075_000000_000000.mp4</v>
      </c>
      <c r="O3" s="48"/>
      <c r="P3" s="48"/>
      <c r="Q3" s="63"/>
      <c r="R3" s="49"/>
      <c r="S3" s="49"/>
      <c r="T3" s="49"/>
    </row>
    <row r="4">
      <c r="A4" s="49" t="str">
        <f>IFERROR(__xludf.DUMMYFUNCTION("""COMPUTED_VALUE"""),"The future of privacy-by-default")</f>
        <v>The future of privacy-by-default</v>
      </c>
      <c r="B4" s="49" t="str">
        <f>IFERROR(__xludf.DUMMYFUNCTION("""COMPUTED_VALUE"""),"FullSTK")</f>
        <v>FullSTK</v>
      </c>
      <c r="C4" s="51" t="str">
        <f>IFERROR(__xludf.DUMMYFUNCTION("""COMPUTED_VALUE"""),"Brendan Eich")</f>
        <v>Brendan Eich</v>
      </c>
      <c r="D4" s="49" t="str">
        <f>IFERROR(__xludf.DUMMYFUNCTION("""COMPUTED_VALUE"""),"2019/11/07 11:35:00")</f>
        <v>2019/11/07 11:35:00</v>
      </c>
      <c r="E4" s="49" t="str">
        <f>IFERROR(__xludf.DUMMYFUNCTION("""COMPUTED_VALUE"""),"2019/11/07 11:55:00")</f>
        <v>2019/11/07 11:55:00</v>
      </c>
      <c r="F4" s="49" t="str">
        <f>IFERROR(__xludf.DUMMYFUNCTION("""COMPUTED_VALUE"""),"571f2c12-2d3a-4cb9-bb18-40eb0151c52e")</f>
        <v>571f2c12-2d3a-4cb9-bb18-40eb0151c52e</v>
      </c>
      <c r="G4" s="52">
        <f>IFERROR(__xludf.DUMMYFUNCTION("""COMPUTED_VALUE"""),43776.0)</f>
        <v>43776</v>
      </c>
      <c r="H4" s="53">
        <f>IFERROR(__xludf.DUMMYFUNCTION("""COMPUTED_VALUE"""),0.4826388888888889)</f>
        <v>0.4826388889</v>
      </c>
      <c r="I4" s="52">
        <f>IFERROR(__xludf.DUMMYFUNCTION("""COMPUTED_VALUE"""),43776.0)</f>
        <v>43776</v>
      </c>
      <c r="J4" s="53">
        <f>IFERROR(__xludf.DUMMYFUNCTION("""COMPUTED_VALUE"""),0.4965277777777778)</f>
        <v>0.4965277778</v>
      </c>
      <c r="K4" s="53">
        <f t="shared" si="1"/>
        <v>0.01388888889</v>
      </c>
      <c r="L4" s="49" t="s">
        <v>109</v>
      </c>
      <c r="M4" s="62" t="s">
        <v>348</v>
      </c>
      <c r="N4" s="75" t="str">
        <f t="shared" si="2"/>
        <v>FK_4_3_571f2c12-2d3a-4cb9-bb18-40eb0151c52e_000000_000000.mp4</v>
      </c>
      <c r="O4" s="48"/>
      <c r="P4" s="48"/>
      <c r="Q4" s="63"/>
      <c r="R4" s="49"/>
      <c r="S4" s="49"/>
      <c r="T4" s="49"/>
    </row>
    <row r="5">
      <c r="A5" s="49" t="str">
        <f>IFERROR(__xludf.DUMMYFUNCTION("""COMPUTED_VALUE"""),"How to win over a developer")</f>
        <v>How to win over a developer</v>
      </c>
      <c r="B5" s="49" t="str">
        <f>IFERROR(__xludf.DUMMYFUNCTION("""COMPUTED_VALUE"""),"FullSTK")</f>
        <v>FullSTK</v>
      </c>
      <c r="C5" s="51" t="str">
        <f>IFERROR(__xludf.DUMMYFUNCTION("""COMPUTED_VALUE"""),"Christina Sass and Rob Pegoraro")</f>
        <v>Christina Sass and Rob Pegoraro</v>
      </c>
      <c r="D5" s="49" t="str">
        <f>IFERROR(__xludf.DUMMYFUNCTION("""COMPUTED_VALUE"""),"2019/11/07 11:55:00")</f>
        <v>2019/11/07 11:55:00</v>
      </c>
      <c r="E5" s="49" t="str">
        <f>IFERROR(__xludf.DUMMYFUNCTION("""COMPUTED_VALUE"""),"2019/11/07 12:15:00")</f>
        <v>2019/11/07 12:15:00</v>
      </c>
      <c r="F5" s="49" t="str">
        <f>IFERROR(__xludf.DUMMYFUNCTION("""COMPUTED_VALUE"""),"45c790df-7ce6-4e8e-b4cf-65dab2f74bac")</f>
        <v>45c790df-7ce6-4e8e-b4cf-65dab2f74bac</v>
      </c>
      <c r="G5" s="52">
        <f>IFERROR(__xludf.DUMMYFUNCTION("""COMPUTED_VALUE"""),43776.0)</f>
        <v>43776</v>
      </c>
      <c r="H5" s="53">
        <f>IFERROR(__xludf.DUMMYFUNCTION("""COMPUTED_VALUE"""),0.4965277777777778)</f>
        <v>0.4965277778</v>
      </c>
      <c r="I5" s="52">
        <f>IFERROR(__xludf.DUMMYFUNCTION("""COMPUTED_VALUE"""),43776.0)</f>
        <v>43776</v>
      </c>
      <c r="J5" s="53">
        <f>IFERROR(__xludf.DUMMYFUNCTION("""COMPUTED_VALUE"""),0.5104166666666666)</f>
        <v>0.5104166667</v>
      </c>
      <c r="K5" s="53">
        <f t="shared" si="1"/>
        <v>0.01388888889</v>
      </c>
      <c r="L5" s="49" t="s">
        <v>109</v>
      </c>
      <c r="M5" s="62" t="s">
        <v>350</v>
      </c>
      <c r="N5" s="75" t="str">
        <f t="shared" si="2"/>
        <v>FK_4_4_45c790df-7ce6-4e8e-b4cf-65dab2f74bac_000000_000000.mp4</v>
      </c>
      <c r="O5" s="48"/>
      <c r="P5" s="48"/>
      <c r="Q5" s="63"/>
      <c r="R5" s="49"/>
      <c r="S5" s="49"/>
      <c r="T5" s="49"/>
    </row>
    <row r="6">
      <c r="A6" s="49" t="str">
        <f>IFERROR(__xludf.DUMMYFUNCTION("""COMPUTED_VALUE"""),"Keeping open source open")</f>
        <v>Keeping open source open</v>
      </c>
      <c r="B6" s="49" t="str">
        <f>IFERROR(__xludf.DUMMYFUNCTION("""COMPUTED_VALUE"""),"FullSTK")</f>
        <v>FullSTK</v>
      </c>
      <c r="C6" s="51" t="str">
        <f>IFERROR(__xludf.DUMMYFUNCTION("""COMPUTED_VALUE"""),"Katharina Borchert, Rashmi Gopinath and John Rampton")</f>
        <v>Katharina Borchert, Rashmi Gopinath and John Rampton</v>
      </c>
      <c r="D6" s="49" t="str">
        <f>IFERROR(__xludf.DUMMYFUNCTION("""COMPUTED_VALUE"""),"2019/11/07 12:15:00")</f>
        <v>2019/11/07 12:15:00</v>
      </c>
      <c r="E6" s="49" t="str">
        <f>IFERROR(__xludf.DUMMYFUNCTION("""COMPUTED_VALUE"""),"2019/11/07 12:35:00")</f>
        <v>2019/11/07 12:35:00</v>
      </c>
      <c r="F6" s="49" t="str">
        <f>IFERROR(__xludf.DUMMYFUNCTION("""COMPUTED_VALUE"""),"2e5449ec-46ea-4bff-aabe-76c77c5da660")</f>
        <v>2e5449ec-46ea-4bff-aabe-76c77c5da660</v>
      </c>
      <c r="G6" s="52">
        <f>IFERROR(__xludf.DUMMYFUNCTION("""COMPUTED_VALUE"""),43776.0)</f>
        <v>43776</v>
      </c>
      <c r="H6" s="53">
        <f>IFERROR(__xludf.DUMMYFUNCTION("""COMPUTED_VALUE"""),0.5104166666666666)</f>
        <v>0.5104166667</v>
      </c>
      <c r="I6" s="52">
        <f>IFERROR(__xludf.DUMMYFUNCTION("""COMPUTED_VALUE"""),43776.0)</f>
        <v>43776</v>
      </c>
      <c r="J6" s="53">
        <f>IFERROR(__xludf.DUMMYFUNCTION("""COMPUTED_VALUE"""),0.5243055555555556)</f>
        <v>0.5243055556</v>
      </c>
      <c r="K6" s="53">
        <f t="shared" si="1"/>
        <v>0.01388888889</v>
      </c>
      <c r="L6" s="49" t="s">
        <v>109</v>
      </c>
      <c r="M6" s="62" t="s">
        <v>352</v>
      </c>
      <c r="N6" s="75" t="str">
        <f t="shared" si="2"/>
        <v>FK_4_5_2e5449ec-46ea-4bff-aabe-76c77c5da660_000000_000000.mp4</v>
      </c>
      <c r="O6" s="48"/>
      <c r="P6" s="48"/>
      <c r="Q6" s="63"/>
      <c r="R6" s="49"/>
      <c r="S6" s="49"/>
      <c r="T6" s="49"/>
    </row>
    <row r="7">
      <c r="A7" s="49" t="str">
        <f>IFERROR(__xludf.DUMMYFUNCTION("""COMPUTED_VALUE"""),"How to build and scale products for and with users")</f>
        <v>How to build and scale products for and with users</v>
      </c>
      <c r="B7" s="49" t="str">
        <f>IFERROR(__xludf.DUMMYFUNCTION("""COMPUTED_VALUE"""),"FullSTK")</f>
        <v>FullSTK</v>
      </c>
      <c r="C7" s="51" t="str">
        <f>IFERROR(__xludf.DUMMYFUNCTION("""COMPUTED_VALUE"""),"Chris Slowe")</f>
        <v>Chris Slowe</v>
      </c>
      <c r="D7" s="49" t="str">
        <f>IFERROR(__xludf.DUMMYFUNCTION("""COMPUTED_VALUE"""),"2019/11/07 12:35:00")</f>
        <v>2019/11/07 12:35:00</v>
      </c>
      <c r="E7" s="49" t="str">
        <f>IFERROR(__xludf.DUMMYFUNCTION("""COMPUTED_VALUE"""),"2019/11/07 12:55:00")</f>
        <v>2019/11/07 12:55:00</v>
      </c>
      <c r="F7" s="49" t="str">
        <f>IFERROR(__xludf.DUMMYFUNCTION("""COMPUTED_VALUE"""),"8e629f04-926e-4248-8bc8-b9b92ff863b4")</f>
        <v>8e629f04-926e-4248-8bc8-b9b92ff863b4</v>
      </c>
      <c r="G7" s="52">
        <f>IFERROR(__xludf.DUMMYFUNCTION("""COMPUTED_VALUE"""),43776.0)</f>
        <v>43776</v>
      </c>
      <c r="H7" s="53">
        <f>IFERROR(__xludf.DUMMYFUNCTION("""COMPUTED_VALUE"""),0.5243055555555556)</f>
        <v>0.5243055556</v>
      </c>
      <c r="I7" s="52">
        <f>IFERROR(__xludf.DUMMYFUNCTION("""COMPUTED_VALUE"""),43776.0)</f>
        <v>43776</v>
      </c>
      <c r="J7" s="53">
        <f>IFERROR(__xludf.DUMMYFUNCTION("""COMPUTED_VALUE"""),0.5381944444444444)</f>
        <v>0.5381944444</v>
      </c>
      <c r="K7" s="53">
        <f t="shared" si="1"/>
        <v>0.01388888889</v>
      </c>
      <c r="L7" s="49" t="s">
        <v>109</v>
      </c>
      <c r="M7" s="62" t="s">
        <v>356</v>
      </c>
      <c r="N7" s="75" t="str">
        <f t="shared" si="2"/>
        <v>FK_4_6_8e629f04-926e-4248-8bc8-b9b92ff863b4_000000_000000.mp4</v>
      </c>
      <c r="O7" s="48"/>
      <c r="P7" s="48"/>
      <c r="Q7" s="63"/>
      <c r="R7" s="49"/>
      <c r="S7" s="49"/>
      <c r="T7" s="49"/>
    </row>
    <row r="8">
      <c r="A8" s="49" t="str">
        <f>IFERROR(__xludf.DUMMYFUNCTION("""COMPUTED_VALUE"""),"Evolutionary architecture and governance: What's the future like?")</f>
        <v>Evolutionary architecture and governance: What's the future like?</v>
      </c>
      <c r="B8" s="49" t="str">
        <f>IFERROR(__xludf.DUMMYFUNCTION("""COMPUTED_VALUE"""),"FullSTK")</f>
        <v>FullSTK</v>
      </c>
      <c r="C8" s="51" t="str">
        <f>IFERROR(__xludf.DUMMYFUNCTION("""COMPUTED_VALUE"""),"Rebecca Parsons")</f>
        <v>Rebecca Parsons</v>
      </c>
      <c r="D8" s="49" t="str">
        <f>IFERROR(__xludf.DUMMYFUNCTION("""COMPUTED_VALUE"""),"2019/11/07 12:55:00")</f>
        <v>2019/11/07 12:55:00</v>
      </c>
      <c r="E8" s="49" t="str">
        <f>IFERROR(__xludf.DUMMYFUNCTION("""COMPUTED_VALUE"""),"2019/11/07 13:15:00")</f>
        <v>2019/11/07 13:15:00</v>
      </c>
      <c r="F8" s="49" t="str">
        <f>IFERROR(__xludf.DUMMYFUNCTION("""COMPUTED_VALUE"""),"fd8dbcea-df13-4f56-9109-c883af6536ad")</f>
        <v>fd8dbcea-df13-4f56-9109-c883af6536ad</v>
      </c>
      <c r="G8" s="52">
        <f>IFERROR(__xludf.DUMMYFUNCTION("""COMPUTED_VALUE"""),43776.0)</f>
        <v>43776</v>
      </c>
      <c r="H8" s="53">
        <f>IFERROR(__xludf.DUMMYFUNCTION("""COMPUTED_VALUE"""),0.5381944444444444)</f>
        <v>0.5381944444</v>
      </c>
      <c r="I8" s="52">
        <f>IFERROR(__xludf.DUMMYFUNCTION("""COMPUTED_VALUE"""),43776.0)</f>
        <v>43776</v>
      </c>
      <c r="J8" s="53">
        <f>IFERROR(__xludf.DUMMYFUNCTION("""COMPUTED_VALUE"""),0.5520833333333334)</f>
        <v>0.5520833333</v>
      </c>
      <c r="K8" s="53">
        <f t="shared" si="1"/>
        <v>0.01388888889</v>
      </c>
      <c r="L8" s="49" t="s">
        <v>109</v>
      </c>
      <c r="M8" s="62" t="s">
        <v>359</v>
      </c>
      <c r="N8" s="75" t="str">
        <f t="shared" si="2"/>
        <v>FK_4_7_fd8dbcea-df13-4f56-9109-c883af6536ad_000000_000000.mp4</v>
      </c>
      <c r="O8" s="48"/>
      <c r="P8" s="48"/>
      <c r="Q8" s="63"/>
      <c r="R8" s="49"/>
      <c r="S8" s="49"/>
      <c r="T8" s="49"/>
    </row>
    <row r="9">
      <c r="A9" s="49" t="str">
        <f>IFERROR(__xludf.DUMMYFUNCTION("""COMPUTED_VALUE"""),"Advancing privacy for users at Google and across the industry")</f>
        <v>Advancing privacy for users at Google and across the industry</v>
      </c>
      <c r="B9" s="49" t="str">
        <f>IFERROR(__xludf.DUMMYFUNCTION("""COMPUTED_VALUE"""),"FullSTK")</f>
        <v>FullSTK</v>
      </c>
      <c r="C9" s="51" t="str">
        <f>IFERROR(__xludf.DUMMYFUNCTION("""COMPUTED_VALUE"""),"Stephan Micklitz")</f>
        <v>Stephan Micklitz</v>
      </c>
      <c r="D9" s="49" t="str">
        <f>IFERROR(__xludf.DUMMYFUNCTION("""COMPUTED_VALUE"""),"2019/11/07 13:15:00")</f>
        <v>2019/11/07 13:15:00</v>
      </c>
      <c r="E9" s="49" t="str">
        <f>IFERROR(__xludf.DUMMYFUNCTION("""COMPUTED_VALUE"""),"2019/11/07 13:35:00")</f>
        <v>2019/11/07 13:35:00</v>
      </c>
      <c r="F9" s="49" t="str">
        <f>IFERROR(__xludf.DUMMYFUNCTION("""COMPUTED_VALUE"""),"e528c4a9-0d87-4472-b5c2-3de9c887a823")</f>
        <v>e528c4a9-0d87-4472-b5c2-3de9c887a823</v>
      </c>
      <c r="G9" s="52">
        <f>IFERROR(__xludf.DUMMYFUNCTION("""COMPUTED_VALUE"""),43776.0)</f>
        <v>43776</v>
      </c>
      <c r="H9" s="53">
        <f>IFERROR(__xludf.DUMMYFUNCTION("""COMPUTED_VALUE"""),0.5520833333333334)</f>
        <v>0.5520833333</v>
      </c>
      <c r="I9" s="52">
        <f>IFERROR(__xludf.DUMMYFUNCTION("""COMPUTED_VALUE"""),43776.0)</f>
        <v>43776</v>
      </c>
      <c r="J9" s="53">
        <f>IFERROR(__xludf.DUMMYFUNCTION("""COMPUTED_VALUE"""),0.5659722222222222)</f>
        <v>0.5659722222</v>
      </c>
      <c r="K9" s="53">
        <f t="shared" si="1"/>
        <v>0.01388888889</v>
      </c>
      <c r="L9" s="49" t="s">
        <v>109</v>
      </c>
      <c r="M9" s="62" t="s">
        <v>362</v>
      </c>
      <c r="N9" s="75" t="str">
        <f t="shared" si="2"/>
        <v>FK_4_8_e528c4a9-0d87-4472-b5c2-3de9c887a823_000000_000000.mp4</v>
      </c>
      <c r="O9" s="48"/>
      <c r="P9" s="48"/>
      <c r="Q9" s="63"/>
      <c r="R9" s="49"/>
      <c r="S9" s="49"/>
      <c r="T9" s="49"/>
    </row>
    <row r="10">
      <c r="A10" s="49" t="str">
        <f>IFERROR(__xludf.DUMMYFUNCTION("""COMPUTED_VALUE"""),"Lunch break")</f>
        <v>Lunch break</v>
      </c>
      <c r="B10" s="49" t="str">
        <f>IFERROR(__xludf.DUMMYFUNCTION("""COMPUTED_VALUE"""),"FullSTK")</f>
        <v>FullSTK</v>
      </c>
      <c r="C10" s="51" t="str">
        <f>IFERROR(__xludf.DUMMYFUNCTION("""COMPUTED_VALUE"""),"")</f>
        <v/>
      </c>
      <c r="D10" s="49" t="str">
        <f>IFERROR(__xludf.DUMMYFUNCTION("""COMPUTED_VALUE"""),"2019/11/07 13:35:00")</f>
        <v>2019/11/07 13:35:00</v>
      </c>
      <c r="E10" s="49" t="str">
        <f>IFERROR(__xludf.DUMMYFUNCTION("""COMPUTED_VALUE"""),"2019/11/07 14:10:00")</f>
        <v>2019/11/07 14:10:00</v>
      </c>
      <c r="F10" s="49" t="str">
        <f>IFERROR(__xludf.DUMMYFUNCTION("""COMPUTED_VALUE"""),"d426f130-7278-4386-b397-d10322a138b8")</f>
        <v>d426f130-7278-4386-b397-d10322a138b8</v>
      </c>
      <c r="G10" s="52">
        <f>IFERROR(__xludf.DUMMYFUNCTION("""COMPUTED_VALUE"""),43776.0)</f>
        <v>43776</v>
      </c>
      <c r="H10" s="53">
        <f>IFERROR(__xludf.DUMMYFUNCTION("""COMPUTED_VALUE"""),0.5659722222222222)</f>
        <v>0.5659722222</v>
      </c>
      <c r="I10" s="52">
        <f>IFERROR(__xludf.DUMMYFUNCTION("""COMPUTED_VALUE"""),43776.0)</f>
        <v>43776</v>
      </c>
      <c r="J10" s="53">
        <f>IFERROR(__xludf.DUMMYFUNCTION("""COMPUTED_VALUE"""),0.5902777777777778)</f>
        <v>0.5902777778</v>
      </c>
      <c r="K10" s="53">
        <f t="shared" si="1"/>
        <v>0.02430555556</v>
      </c>
      <c r="L10" s="49" t="s">
        <v>158</v>
      </c>
      <c r="M10" s="49"/>
      <c r="N10" s="75" t="str">
        <f t="shared" si="2"/>
        <v>_d426f130-7278-4386-b397-d10322a138b8_000000_000000.mp4</v>
      </c>
      <c r="O10" s="48"/>
      <c r="P10" s="48"/>
      <c r="Q10" s="63"/>
      <c r="R10" s="49"/>
      <c r="S10" s="49"/>
      <c r="T10" s="49"/>
    </row>
    <row r="11">
      <c r="A11" s="49" t="str">
        <f>IFERROR(__xludf.DUMMYFUNCTION("""COMPUTED_VALUE"""),"Opening remarks")</f>
        <v>Opening remarks</v>
      </c>
      <c r="B11" s="49" t="str">
        <f>IFERROR(__xludf.DUMMYFUNCTION("""COMPUTED_VALUE"""),"FullSTK")</f>
        <v>FullSTK</v>
      </c>
      <c r="C11" s="51" t="str">
        <f>IFERROR(__xludf.DUMMYFUNCTION("""COMPUTED_VALUE"""),"Yamilette Cano")</f>
        <v>Yamilette Cano</v>
      </c>
      <c r="D11" s="49" t="str">
        <f>IFERROR(__xludf.DUMMYFUNCTION("""COMPUTED_VALUE"""),"2019/11/07 14:10:00")</f>
        <v>2019/11/07 14:10:00</v>
      </c>
      <c r="E11" s="49" t="str">
        <f>IFERROR(__xludf.DUMMYFUNCTION("""COMPUTED_VALUE"""),"2019/11/07 14:15:00")</f>
        <v>2019/11/07 14:15:00</v>
      </c>
      <c r="F11" s="49" t="str">
        <f>IFERROR(__xludf.DUMMYFUNCTION("""COMPUTED_VALUE"""),"d518dd8a-9c20-4f6f-822d-9e4126cee693")</f>
        <v>d518dd8a-9c20-4f6f-822d-9e4126cee693</v>
      </c>
      <c r="G11" s="52">
        <f>IFERROR(__xludf.DUMMYFUNCTION("""COMPUTED_VALUE"""),43776.0)</f>
        <v>43776</v>
      </c>
      <c r="H11" s="53">
        <f>IFERROR(__xludf.DUMMYFUNCTION("""COMPUTED_VALUE"""),0.5902777777777778)</f>
        <v>0.5902777778</v>
      </c>
      <c r="I11" s="52">
        <f>IFERROR(__xludf.DUMMYFUNCTION("""COMPUTED_VALUE"""),43776.0)</f>
        <v>43776</v>
      </c>
      <c r="J11" s="53">
        <f>IFERROR(__xludf.DUMMYFUNCTION("""COMPUTED_VALUE"""),0.59375)</f>
        <v>0.59375</v>
      </c>
      <c r="K11" s="53">
        <f t="shared" si="1"/>
        <v>0.003472222222</v>
      </c>
      <c r="L11" s="49" t="s">
        <v>228</v>
      </c>
      <c r="M11" s="62" t="s">
        <v>366</v>
      </c>
      <c r="N11" s="75" t="str">
        <f t="shared" si="2"/>
        <v>FK_4_9_d518dd8a-9c20-4f6f-822d-9e4126cee693_000000_000000.mp4</v>
      </c>
      <c r="O11" s="48"/>
      <c r="P11" s="48"/>
      <c r="Q11" s="63"/>
      <c r="R11" s="49"/>
      <c r="S11" s="49"/>
      <c r="T11" s="49"/>
    </row>
    <row r="12">
      <c r="A12" s="49" t="str">
        <f>IFERROR(__xludf.DUMMYFUNCTION("""COMPUTED_VALUE"""),"Riding a quantum computing wave ")</f>
        <v>Riding a quantum computing wave </v>
      </c>
      <c r="B12" s="49" t="str">
        <f>IFERROR(__xludf.DUMMYFUNCTION("""COMPUTED_VALUE"""),"FullSTK")</f>
        <v>FullSTK</v>
      </c>
      <c r="C12" s="51" t="str">
        <f>IFERROR(__xludf.DUMMYFUNCTION("""COMPUTED_VALUE"""),"Vern Brownell")</f>
        <v>Vern Brownell</v>
      </c>
      <c r="D12" s="49" t="str">
        <f>IFERROR(__xludf.DUMMYFUNCTION("""COMPUTED_VALUE"""),"2019/11/07 14:15:00")</f>
        <v>2019/11/07 14:15:00</v>
      </c>
      <c r="E12" s="49" t="str">
        <f>IFERROR(__xludf.DUMMYFUNCTION("""COMPUTED_VALUE"""),"2019/11/07 14:35:00")</f>
        <v>2019/11/07 14:35:00</v>
      </c>
      <c r="F12" s="49" t="str">
        <f>IFERROR(__xludf.DUMMYFUNCTION("""COMPUTED_VALUE"""),"24efa3bb-38f7-4748-9be0-4c8bc3ac0fe2")</f>
        <v>24efa3bb-38f7-4748-9be0-4c8bc3ac0fe2</v>
      </c>
      <c r="G12" s="52">
        <f>IFERROR(__xludf.DUMMYFUNCTION("""COMPUTED_VALUE"""),43776.0)</f>
        <v>43776</v>
      </c>
      <c r="H12" s="53">
        <f>IFERROR(__xludf.DUMMYFUNCTION("""COMPUTED_VALUE"""),0.59375)</f>
        <v>0.59375</v>
      </c>
      <c r="I12" s="52">
        <f>IFERROR(__xludf.DUMMYFUNCTION("""COMPUTED_VALUE"""),43776.0)</f>
        <v>43776</v>
      </c>
      <c r="J12" s="53">
        <f>IFERROR(__xludf.DUMMYFUNCTION("""COMPUTED_VALUE"""),0.6076388888888888)</f>
        <v>0.6076388889</v>
      </c>
      <c r="K12" s="53">
        <f t="shared" si="1"/>
        <v>0.01388888889</v>
      </c>
      <c r="L12" s="49" t="s">
        <v>109</v>
      </c>
      <c r="M12" s="62" t="s">
        <v>369</v>
      </c>
      <c r="N12" s="75" t="str">
        <f t="shared" si="2"/>
        <v>FK_4_10_24efa3bb-38f7-4748-9be0-4c8bc3ac0fe2_000000_000000.mp4</v>
      </c>
      <c r="O12" s="48"/>
      <c r="P12" s="48"/>
      <c r="Q12" s="63"/>
      <c r="R12" s="49"/>
      <c r="S12" s="49"/>
      <c r="T12" s="49"/>
    </row>
    <row r="13">
      <c r="A13" s="49" t="str">
        <f>IFERROR(__xludf.DUMMYFUNCTION("""COMPUTED_VALUE"""),"Living on the edge: The future of edge computing")</f>
        <v>Living on the edge: The future of edge computing</v>
      </c>
      <c r="B13" s="49" t="str">
        <f>IFERROR(__xludf.DUMMYFUNCTION("""COMPUTED_VALUE"""),"FullSTK")</f>
        <v>FullSTK</v>
      </c>
      <c r="C13" s="51" t="str">
        <f>IFERROR(__xludf.DUMMYFUNCTION("""COMPUTED_VALUE"""),"Tyler McMullen")</f>
        <v>Tyler McMullen</v>
      </c>
      <c r="D13" s="49" t="str">
        <f>IFERROR(__xludf.DUMMYFUNCTION("""COMPUTED_VALUE"""),"2019/11/07 14:35:00")</f>
        <v>2019/11/07 14:35:00</v>
      </c>
      <c r="E13" s="49" t="str">
        <f>IFERROR(__xludf.DUMMYFUNCTION("""COMPUTED_VALUE"""),"2019/11/07 14:55:00")</f>
        <v>2019/11/07 14:55:00</v>
      </c>
      <c r="F13" s="49" t="str">
        <f>IFERROR(__xludf.DUMMYFUNCTION("""COMPUTED_VALUE"""),"cc0447cd-c4ca-437d-bfa3-7c2eddc63cd7")</f>
        <v>cc0447cd-c4ca-437d-bfa3-7c2eddc63cd7</v>
      </c>
      <c r="G13" s="52">
        <f>IFERROR(__xludf.DUMMYFUNCTION("""COMPUTED_VALUE"""),43776.0)</f>
        <v>43776</v>
      </c>
      <c r="H13" s="53">
        <f>IFERROR(__xludf.DUMMYFUNCTION("""COMPUTED_VALUE"""),0.6076388888888888)</f>
        <v>0.6076388889</v>
      </c>
      <c r="I13" s="52">
        <f>IFERROR(__xludf.DUMMYFUNCTION("""COMPUTED_VALUE"""),43776.0)</f>
        <v>43776</v>
      </c>
      <c r="J13" s="53">
        <f>IFERROR(__xludf.DUMMYFUNCTION("""COMPUTED_VALUE"""),0.6215277777777778)</f>
        <v>0.6215277778</v>
      </c>
      <c r="K13" s="53">
        <f t="shared" si="1"/>
        <v>0.01388888889</v>
      </c>
      <c r="L13" s="49" t="s">
        <v>109</v>
      </c>
      <c r="M13" s="62" t="s">
        <v>372</v>
      </c>
      <c r="N13" s="75" t="str">
        <f t="shared" si="2"/>
        <v>FK_4_11_cc0447cd-c4ca-437d-bfa3-7c2eddc63cd7_000000_000000.mp4</v>
      </c>
      <c r="O13" s="48"/>
      <c r="P13" s="48"/>
      <c r="Q13" s="63"/>
      <c r="R13" s="49"/>
      <c r="S13" s="49"/>
      <c r="T13" s="49"/>
    </row>
    <row r="14">
      <c r="A14" s="49" t="str">
        <f>IFERROR(__xludf.DUMMYFUNCTION("""COMPUTED_VALUE"""),"The life and times of a modern CTO")</f>
        <v>The life and times of a modern CTO</v>
      </c>
      <c r="B14" s="49" t="str">
        <f>IFERROR(__xludf.DUMMYFUNCTION("""COMPUTED_VALUE"""),"FullSTK")</f>
        <v>FullSTK</v>
      </c>
      <c r="C14" s="51" t="str">
        <f>IFERROR(__xludf.DUMMYFUNCTION("""COMPUTED_VALUE"""),"Ilan Twig, Alan Boehme, Christine Spang, Calvin French-Owen and Julie Bort")</f>
        <v>Ilan Twig, Alan Boehme, Christine Spang, Calvin French-Owen and Julie Bort</v>
      </c>
      <c r="D14" s="49" t="str">
        <f>IFERROR(__xludf.DUMMYFUNCTION("""COMPUTED_VALUE"""),"2019/11/07 14:55:00")</f>
        <v>2019/11/07 14:55:00</v>
      </c>
      <c r="E14" s="49" t="str">
        <f>IFERROR(__xludf.DUMMYFUNCTION("""COMPUTED_VALUE"""),"2019/11/07 15:20:00")</f>
        <v>2019/11/07 15:20:00</v>
      </c>
      <c r="F14" s="49" t="str">
        <f>IFERROR(__xludf.DUMMYFUNCTION("""COMPUTED_VALUE"""),"e1646f75-7c16-472d-a930-3b956b842308")</f>
        <v>e1646f75-7c16-472d-a930-3b956b842308</v>
      </c>
      <c r="G14" s="52">
        <f>IFERROR(__xludf.DUMMYFUNCTION("""COMPUTED_VALUE"""),43776.0)</f>
        <v>43776</v>
      </c>
      <c r="H14" s="53">
        <f>IFERROR(__xludf.DUMMYFUNCTION("""COMPUTED_VALUE"""),0.6215277777777778)</f>
        <v>0.6215277778</v>
      </c>
      <c r="I14" s="52">
        <f>IFERROR(__xludf.DUMMYFUNCTION("""COMPUTED_VALUE"""),43776.0)</f>
        <v>43776</v>
      </c>
      <c r="J14" s="53">
        <f>IFERROR(__xludf.DUMMYFUNCTION("""COMPUTED_VALUE"""),0.6388888888888888)</f>
        <v>0.6388888889</v>
      </c>
      <c r="K14" s="53">
        <f t="shared" si="1"/>
        <v>0.01736111111</v>
      </c>
      <c r="L14" s="49" t="s">
        <v>111</v>
      </c>
      <c r="M14" s="62" t="s">
        <v>373</v>
      </c>
      <c r="N14" s="75" t="str">
        <f t="shared" si="2"/>
        <v>FK_4_12_e1646f75-7c16-472d-a930-3b956b842308_000000_000000.mp4</v>
      </c>
      <c r="O14" s="48"/>
      <c r="P14" s="48"/>
      <c r="Q14" s="63"/>
      <c r="R14" s="49"/>
      <c r="S14" s="49"/>
      <c r="T14" s="49"/>
    </row>
    <row r="15">
      <c r="A15" s="49" t="str">
        <f>IFERROR(__xludf.DUMMYFUNCTION("""COMPUTED_VALUE"""),"Is DevOps still relevant in a cloud-native world? ")</f>
        <v>Is DevOps still relevant in a cloud-native world? </v>
      </c>
      <c r="B15" s="49" t="str">
        <f>IFERROR(__xludf.DUMMYFUNCTION("""COMPUTED_VALUE"""),"FullSTK")</f>
        <v>FullSTK</v>
      </c>
      <c r="C15" s="51" t="str">
        <f>IFERROR(__xludf.DUMMYFUNCTION("""COMPUTED_VALUE"""),"Andi Mann, Rebecca Parsons and Paul Dolan")</f>
        <v>Andi Mann, Rebecca Parsons and Paul Dolan</v>
      </c>
      <c r="D15" s="49" t="str">
        <f>IFERROR(__xludf.DUMMYFUNCTION("""COMPUTED_VALUE"""),"2019/11/07 15:20:00")</f>
        <v>2019/11/07 15:20:00</v>
      </c>
      <c r="E15" s="49" t="str">
        <f>IFERROR(__xludf.DUMMYFUNCTION("""COMPUTED_VALUE"""),"2019/11/07 15:40:00")</f>
        <v>2019/11/07 15:40:00</v>
      </c>
      <c r="F15" s="49" t="str">
        <f>IFERROR(__xludf.DUMMYFUNCTION("""COMPUTED_VALUE"""),"4042891e-6fb6-410c-bf2f-62bcbcf561a1")</f>
        <v>4042891e-6fb6-410c-bf2f-62bcbcf561a1</v>
      </c>
      <c r="G15" s="52">
        <f>IFERROR(__xludf.DUMMYFUNCTION("""COMPUTED_VALUE"""),43776.0)</f>
        <v>43776</v>
      </c>
      <c r="H15" s="53">
        <f>IFERROR(__xludf.DUMMYFUNCTION("""COMPUTED_VALUE"""),0.6388888888888888)</f>
        <v>0.6388888889</v>
      </c>
      <c r="I15" s="52">
        <f>IFERROR(__xludf.DUMMYFUNCTION("""COMPUTED_VALUE"""),43776.0)</f>
        <v>43776</v>
      </c>
      <c r="J15" s="53">
        <f>IFERROR(__xludf.DUMMYFUNCTION("""COMPUTED_VALUE"""),0.6527777777777778)</f>
        <v>0.6527777778</v>
      </c>
      <c r="K15" s="53">
        <f t="shared" si="1"/>
        <v>0.01388888889</v>
      </c>
      <c r="L15" s="49" t="s">
        <v>109</v>
      </c>
      <c r="M15" s="62" t="s">
        <v>375</v>
      </c>
      <c r="N15" s="75" t="str">
        <f t="shared" si="2"/>
        <v>FK_4_13_4042891e-6fb6-410c-bf2f-62bcbcf561a1_000000_000000.mp4</v>
      </c>
      <c r="O15" s="48"/>
      <c r="P15" s="48"/>
      <c r="Q15" s="63"/>
      <c r="R15" s="49"/>
      <c r="S15" s="49"/>
      <c r="T15" s="49"/>
    </row>
    <row r="16">
      <c r="A16" s="49" t="str">
        <f>IFERROR(__xludf.DUMMYFUNCTION("""COMPUTED_VALUE"""),"The internet computer: Reinvent the internet using superpowered software")</f>
        <v>The internet computer: Reinvent the internet using superpowered software</v>
      </c>
      <c r="B16" s="49" t="str">
        <f>IFERROR(__xludf.DUMMYFUNCTION("""COMPUTED_VALUE"""),"FullSTK")</f>
        <v>FullSTK</v>
      </c>
      <c r="C16" s="51" t="str">
        <f>IFERROR(__xludf.DUMMYFUNCTION("""COMPUTED_VALUE"""),"Dominic Williams")</f>
        <v>Dominic Williams</v>
      </c>
      <c r="D16" s="49" t="str">
        <f>IFERROR(__xludf.DUMMYFUNCTION("""COMPUTED_VALUE"""),"2019/11/07 15:40:00")</f>
        <v>2019/11/07 15:40:00</v>
      </c>
      <c r="E16" s="49" t="str">
        <f>IFERROR(__xludf.DUMMYFUNCTION("""COMPUTED_VALUE"""),"2019/11/07 16:00:00")</f>
        <v>2019/11/07 16:00:00</v>
      </c>
      <c r="F16" s="49" t="str">
        <f>IFERROR(__xludf.DUMMYFUNCTION("""COMPUTED_VALUE"""),"9eb19daa-07f8-4c88-a5e9-38dda5e8b53d")</f>
        <v>9eb19daa-07f8-4c88-a5e9-38dda5e8b53d</v>
      </c>
      <c r="G16" s="52">
        <f>IFERROR(__xludf.DUMMYFUNCTION("""COMPUTED_VALUE"""),43776.0)</f>
        <v>43776</v>
      </c>
      <c r="H16" s="53">
        <f>IFERROR(__xludf.DUMMYFUNCTION("""COMPUTED_VALUE"""),0.6527777777777778)</f>
        <v>0.6527777778</v>
      </c>
      <c r="I16" s="52">
        <f>IFERROR(__xludf.DUMMYFUNCTION("""COMPUTED_VALUE"""),43776.0)</f>
        <v>43776</v>
      </c>
      <c r="J16" s="53">
        <f>IFERROR(__xludf.DUMMYFUNCTION("""COMPUTED_VALUE"""),0.6666666666666666)</f>
        <v>0.6666666667</v>
      </c>
      <c r="K16" s="53">
        <f t="shared" si="1"/>
        <v>0.01388888889</v>
      </c>
      <c r="L16" s="49" t="s">
        <v>109</v>
      </c>
      <c r="M16" s="62" t="s">
        <v>377</v>
      </c>
      <c r="N16" s="75" t="str">
        <f t="shared" si="2"/>
        <v>FK_4_14_9eb19daa-07f8-4c88-a5e9-38dda5e8b53d_000000_000000.mp4</v>
      </c>
      <c r="O16" s="48"/>
      <c r="P16" s="48"/>
      <c r="Q16" s="63"/>
      <c r="R16" s="49"/>
      <c r="S16" s="49"/>
      <c r="T16" s="49"/>
    </row>
    <row r="17">
      <c r="A17" s="49"/>
      <c r="B17" s="49"/>
      <c r="C17" s="51"/>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255</v>
      </c>
      <c r="M17" s="49"/>
      <c r="N17" s="49"/>
      <c r="O17" s="48"/>
      <c r="P17" s="48"/>
      <c r="Q17" s="63"/>
      <c r="R17" s="49"/>
      <c r="S17" s="49"/>
      <c r="T17" s="49"/>
    </row>
  </sheetData>
  <conditionalFormatting sqref="O2:O17">
    <cfRule type="containsText" dxfId="4" priority="1" operator="containsText" text="YES">
      <formula>NOT(ISERROR(SEARCH(("YES"),(O2))))</formula>
    </cfRule>
  </conditionalFormatting>
  <conditionalFormatting sqref="O2:O17">
    <cfRule type="cellIs" dxfId="5" priority="2" operator="equal">
      <formula>"NO"</formula>
    </cfRule>
  </conditionalFormatting>
  <conditionalFormatting sqref="P2:P17">
    <cfRule type="cellIs" dxfId="4" priority="3" operator="equal">
      <formula>"AVAILABLE"</formula>
    </cfRule>
  </conditionalFormatting>
  <conditionalFormatting sqref="P2:P17">
    <cfRule type="cellIs" dxfId="5" priority="4" operator="equal">
      <formula>"NOT AVAILABLE"</formula>
    </cfRule>
  </conditionalFormatting>
  <conditionalFormatting sqref="Q2:Q17">
    <cfRule type="cellIs" dxfId="4" priority="5" operator="equal">
      <formula>"AVAILABLE"</formula>
    </cfRule>
  </conditionalFormatting>
  <conditionalFormatting sqref="Q2:Q17">
    <cfRule type="cellIs" dxfId="6" priority="6" operator="equal">
      <formula>"UPLOADING"</formula>
    </cfRule>
  </conditionalFormatting>
  <conditionalFormatting sqref="Q2:Q17">
    <cfRule type="cellIs" dxfId="5" priority="7" operator="equal">
      <formula>"NOT AVAILABLE"</formula>
    </cfRule>
  </conditionalFormatting>
  <dataValidations>
    <dataValidation type="list" allowBlank="1" sqref="O2:O17">
      <formula1>"YES,NO"</formula1>
    </dataValidation>
    <dataValidation type="list" allowBlank="1" sqref="P2:P17">
      <formula1>"AVAILABLE,NOT AVAILABLE"</formula1>
    </dataValidation>
    <dataValidation type="list" allowBlank="1" sqref="Q2:Q17">
      <formula1>"AVAILABLE,UPLOADING,NOT AVAILABLE"</formula1>
    </dataValidation>
  </dataValidations>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86"/>
    <col customWidth="1" min="3" max="3" width="19.29"/>
    <col hidden="1" min="4" max="5" width="14.43"/>
    <col customWidth="1" min="6" max="6" width="39.86"/>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'Future Societies' ORDER BY F"")"),"Opening remarks")</f>
        <v>Opening remarks</v>
      </c>
      <c r="B2" s="49" t="str">
        <f>IFERROR(__xludf.DUMMYFUNCTION("""COMPUTED_VALUE"""),"Future Societies")</f>
        <v>Future Societies</v>
      </c>
      <c r="C2" s="51" t="str">
        <f>IFERROR(__xludf.DUMMYFUNCTION("""COMPUTED_VALUE"""),"Casper Klynge")</f>
        <v>Casper Klynge</v>
      </c>
      <c r="D2" s="49" t="str">
        <f>IFERROR(__xludf.DUMMYFUNCTION("""COMPUTED_VALUE"""),"2019/11/05 10:10:00")</f>
        <v>2019/11/05 10:10:00</v>
      </c>
      <c r="E2" s="49" t="str">
        <f>IFERROR(__xludf.DUMMYFUNCTION("""COMPUTED_VALUE"""),"2019/11/05 10:20:00")</f>
        <v>2019/11/05 10:20:00</v>
      </c>
      <c r="F2" s="49" t="str">
        <f>IFERROR(__xludf.DUMMYFUNCTION("""COMPUTED_VALUE"""),"812f199f-9fc9-4214-9191-5e4a8a78d4df")</f>
        <v>812f199f-9fc9-4214-9191-5e4a8a78d4df</v>
      </c>
      <c r="G2" s="54">
        <f>IFERROR(__xludf.DUMMYFUNCTION("ARRAYFORMULA(SPLIT(D2:D569,"" ""))"),43774.0)</f>
        <v>43774</v>
      </c>
      <c r="H2" s="53">
        <f>IFERROR(__xludf.DUMMYFUNCTION("""COMPUTED_VALUE"""),0.4236111111111111)</f>
        <v>0.4236111111</v>
      </c>
      <c r="I2" s="54">
        <f>IFERROR(__xludf.DUMMYFUNCTION("ARRAYFORMULA(SPLIT(E2:E569,"" ""))"),43774.0)</f>
        <v>43774</v>
      </c>
      <c r="J2" s="53">
        <f>IFERROR(__xludf.DUMMYFUNCTION("""COMPUTED_VALUE"""),0.4305555555555556)</f>
        <v>0.4305555556</v>
      </c>
      <c r="K2" s="53">
        <f t="shared" ref="K2:K68" si="1">J2-H2</f>
        <v>0.006944444444</v>
      </c>
      <c r="L2" s="50" t="str">
        <f t="array" ref="L2:L569">TEXT(K2:K569,"hhmmss")</f>
        <v>001000</v>
      </c>
      <c r="M2" s="62" t="s">
        <v>380</v>
      </c>
      <c r="N2" s="75" t="str">
        <f t="shared" ref="N2:N52" si="2">CONCATENATE(M2,"_",F2,"_","000000_000000.mp4")</f>
        <v>FS_5_1_812f199f-9fc9-4214-9191-5e4a8a78d4df_000000_000000.mp4</v>
      </c>
      <c r="O2" s="48"/>
      <c r="P2" s="48"/>
      <c r="Q2" s="63"/>
      <c r="R2" s="49"/>
      <c r="S2" s="49"/>
      <c r="T2" s="49"/>
    </row>
    <row r="3">
      <c r="A3" s="49" t="str">
        <f>IFERROR(__xludf.DUMMYFUNCTION("""COMPUTED_VALUE"""),"The future of human existence: Proximity, productivity and the pursuit of happiness")</f>
        <v>The future of human existence: Proximity, productivity and the pursuit of happiness</v>
      </c>
      <c r="B3" s="49" t="str">
        <f>IFERROR(__xludf.DUMMYFUNCTION("""COMPUTED_VALUE"""),"Future Societies")</f>
        <v>Future Societies</v>
      </c>
      <c r="C3" s="51" t="str">
        <f>IFERROR(__xludf.DUMMYFUNCTION("""COMPUTED_VALUE"""),"Marcus Weldon")</f>
        <v>Marcus Weldon</v>
      </c>
      <c r="D3" s="49" t="str">
        <f>IFERROR(__xludf.DUMMYFUNCTION("""COMPUTED_VALUE"""),"2019/11/05 10:20:00")</f>
        <v>2019/11/05 10:20:00</v>
      </c>
      <c r="E3" s="49" t="str">
        <f>IFERROR(__xludf.DUMMYFUNCTION("""COMPUTED_VALUE"""),"2019/11/05 10:45:00")</f>
        <v>2019/11/05 10:45:00</v>
      </c>
      <c r="F3" s="49" t="str">
        <f>IFERROR(__xludf.DUMMYFUNCTION("""COMPUTED_VALUE"""),"9c19b48a-35b6-4a36-967d-67127fe4da6c")</f>
        <v>9c19b48a-35b6-4a36-967d-67127fe4da6c</v>
      </c>
      <c r="G3" s="52">
        <f>IFERROR(__xludf.DUMMYFUNCTION("""COMPUTED_VALUE"""),43774.0)</f>
        <v>43774</v>
      </c>
      <c r="H3" s="53">
        <f>IFERROR(__xludf.DUMMYFUNCTION("""COMPUTED_VALUE"""),0.4305555555555556)</f>
        <v>0.4305555556</v>
      </c>
      <c r="I3" s="52">
        <f>IFERROR(__xludf.DUMMYFUNCTION("""COMPUTED_VALUE"""),43774.0)</f>
        <v>43774</v>
      </c>
      <c r="J3" s="53">
        <f>IFERROR(__xludf.DUMMYFUNCTION("""COMPUTED_VALUE"""),0.4479166666666667)</f>
        <v>0.4479166667</v>
      </c>
      <c r="K3" s="53">
        <f t="shared" si="1"/>
        <v>0.01736111111</v>
      </c>
      <c r="L3" s="49" t="s">
        <v>111</v>
      </c>
      <c r="M3" s="62" t="s">
        <v>381</v>
      </c>
      <c r="N3" s="75" t="str">
        <f t="shared" si="2"/>
        <v>FS_5_2_9c19b48a-35b6-4a36-967d-67127fe4da6c_000000_000000.mp4</v>
      </c>
      <c r="O3" s="48"/>
      <c r="P3" s="48"/>
      <c r="Q3" s="63"/>
      <c r="R3" s="49"/>
      <c r="S3" s="49"/>
      <c r="T3" s="49"/>
    </row>
    <row r="4">
      <c r="A4" s="49" t="str">
        <f>IFERROR(__xludf.DUMMYFUNCTION("""COMPUTED_VALUE"""),"Is Britain better out of Europe?")</f>
        <v>Is Britain better out of Europe?</v>
      </c>
      <c r="B4" s="49" t="str">
        <f>IFERROR(__xludf.DUMMYFUNCTION("""COMPUTED_VALUE"""),"Future Societies")</f>
        <v>Future Societies</v>
      </c>
      <c r="C4" s="51" t="str">
        <f>IFERROR(__xludf.DUMMYFUNCTION("""COMPUTED_VALUE"""),"Alex Deane, James Ball and Donie O'Sullivan")</f>
        <v>Alex Deane, James Ball and Donie O'Sullivan</v>
      </c>
      <c r="D4" s="49" t="str">
        <f>IFERROR(__xludf.DUMMYFUNCTION("""COMPUTED_VALUE"""),"2019/11/05 10:45:00")</f>
        <v>2019/11/05 10:45:00</v>
      </c>
      <c r="E4" s="49" t="str">
        <f>IFERROR(__xludf.DUMMYFUNCTION("""COMPUTED_VALUE"""),"2019/11/05 11:10:00")</f>
        <v>2019/11/05 11:10:00</v>
      </c>
      <c r="F4" s="49" t="str">
        <f>IFERROR(__xludf.DUMMYFUNCTION("""COMPUTED_VALUE"""),"bb0a318b-4e65-4f17-b2b5-06c616776ad9")</f>
        <v>bb0a318b-4e65-4f17-b2b5-06c616776ad9</v>
      </c>
      <c r="G4" s="52">
        <f>IFERROR(__xludf.DUMMYFUNCTION("""COMPUTED_VALUE"""),43774.0)</f>
        <v>43774</v>
      </c>
      <c r="H4" s="53">
        <f>IFERROR(__xludf.DUMMYFUNCTION("""COMPUTED_VALUE"""),0.4479166666666667)</f>
        <v>0.4479166667</v>
      </c>
      <c r="I4" s="52">
        <f>IFERROR(__xludf.DUMMYFUNCTION("""COMPUTED_VALUE"""),43774.0)</f>
        <v>43774</v>
      </c>
      <c r="J4" s="53">
        <f>IFERROR(__xludf.DUMMYFUNCTION("""COMPUTED_VALUE"""),0.4652777777777778)</f>
        <v>0.4652777778</v>
      </c>
      <c r="K4" s="53">
        <f t="shared" si="1"/>
        <v>0.01736111111</v>
      </c>
      <c r="L4" s="49" t="s">
        <v>111</v>
      </c>
      <c r="M4" s="62" t="s">
        <v>382</v>
      </c>
      <c r="N4" s="75" t="str">
        <f t="shared" si="2"/>
        <v>FS_5_3_bb0a318b-4e65-4f17-b2b5-06c616776ad9_000000_000000.mp4</v>
      </c>
      <c r="O4" s="48"/>
      <c r="P4" s="48"/>
      <c r="Q4" s="63"/>
      <c r="R4" s="49"/>
      <c r="S4" s="49"/>
      <c r="T4" s="49"/>
    </row>
    <row r="5">
      <c r="A5" s="49" t="str">
        <f>IFERROR(__xludf.DUMMYFUNCTION("""COMPUTED_VALUE"""),"The next digital dawn: Scenarios for a new world")</f>
        <v>The next digital dawn: Scenarios for a new world</v>
      </c>
      <c r="B5" s="49" t="str">
        <f>IFERROR(__xludf.DUMMYFUNCTION("""COMPUTED_VALUE"""),"Future Societies")</f>
        <v>Future Societies</v>
      </c>
      <c r="C5" s="51" t="str">
        <f>IFERROR(__xludf.DUMMYFUNCTION("""COMPUTED_VALUE"""),"Ed Daniels and Neanda Salvaterra")</f>
        <v>Ed Daniels and Neanda Salvaterra</v>
      </c>
      <c r="D5" s="49" t="str">
        <f>IFERROR(__xludf.DUMMYFUNCTION("""COMPUTED_VALUE"""),"2019/11/05 11:10:00")</f>
        <v>2019/11/05 11:10:00</v>
      </c>
      <c r="E5" s="49" t="str">
        <f>IFERROR(__xludf.DUMMYFUNCTION("""COMPUTED_VALUE"""),"2019/11/05 11:30:00")</f>
        <v>2019/11/05 11:30:00</v>
      </c>
      <c r="F5" s="49" t="str">
        <f>IFERROR(__xludf.DUMMYFUNCTION("""COMPUTED_VALUE"""),"5d79c066-d2c8-4526-b253-e8c2310d3027")</f>
        <v>5d79c066-d2c8-4526-b253-e8c2310d3027</v>
      </c>
      <c r="G5" s="52">
        <f>IFERROR(__xludf.DUMMYFUNCTION("""COMPUTED_VALUE"""),43774.0)</f>
        <v>43774</v>
      </c>
      <c r="H5" s="53">
        <f>IFERROR(__xludf.DUMMYFUNCTION("""COMPUTED_VALUE"""),0.4652777777777778)</f>
        <v>0.4652777778</v>
      </c>
      <c r="I5" s="52">
        <f>IFERROR(__xludf.DUMMYFUNCTION("""COMPUTED_VALUE"""),43774.0)</f>
        <v>43774</v>
      </c>
      <c r="J5" s="53">
        <f>IFERROR(__xludf.DUMMYFUNCTION("""COMPUTED_VALUE"""),0.4791666666666667)</f>
        <v>0.4791666667</v>
      </c>
      <c r="K5" s="53">
        <f t="shared" si="1"/>
        <v>0.01388888889</v>
      </c>
      <c r="L5" s="49" t="s">
        <v>109</v>
      </c>
      <c r="M5" s="62" t="s">
        <v>383</v>
      </c>
      <c r="N5" s="75" t="str">
        <f t="shared" si="2"/>
        <v>FS_5_4_5d79c066-d2c8-4526-b253-e8c2310d3027_000000_000000.mp4</v>
      </c>
      <c r="O5" s="48"/>
      <c r="P5" s="48"/>
      <c r="Q5" s="63"/>
      <c r="R5" s="49"/>
      <c r="S5" s="49"/>
      <c r="T5" s="49"/>
    </row>
    <row r="6">
      <c r="A6" s="49" t="str">
        <f>IFERROR(__xludf.DUMMYFUNCTION("""COMPUTED_VALUE"""),"Looking back to go forward: 50 years of the internet")</f>
        <v>Looking back to go forward: 50 years of the internet</v>
      </c>
      <c r="B6" s="49" t="str">
        <f>IFERROR(__xludf.DUMMYFUNCTION("""COMPUTED_VALUE"""),"Future Societies")</f>
        <v>Future Societies</v>
      </c>
      <c r="C6" s="51" t="str">
        <f>IFERROR(__xludf.DUMMYFUNCTION("""COMPUTED_VALUE"""),"Lee Rainie, Mitchell Baker and Mark Scott")</f>
        <v>Lee Rainie, Mitchell Baker and Mark Scott</v>
      </c>
      <c r="D6" s="49" t="str">
        <f>IFERROR(__xludf.DUMMYFUNCTION("""COMPUTED_VALUE"""),"2019/11/05 11:30:00")</f>
        <v>2019/11/05 11:30:00</v>
      </c>
      <c r="E6" s="49" t="str">
        <f>IFERROR(__xludf.DUMMYFUNCTION("""COMPUTED_VALUE"""),"2019/11/05 11:50:00")</f>
        <v>2019/11/05 11:50:00</v>
      </c>
      <c r="F6" s="49" t="str">
        <f>IFERROR(__xludf.DUMMYFUNCTION("""COMPUTED_VALUE"""),"e8c5df7f-2c89-4bf5-b1ac-e15cb188926e")</f>
        <v>e8c5df7f-2c89-4bf5-b1ac-e15cb188926e</v>
      </c>
      <c r="G6" s="52">
        <f>IFERROR(__xludf.DUMMYFUNCTION("""COMPUTED_VALUE"""),43774.0)</f>
        <v>43774</v>
      </c>
      <c r="H6" s="53">
        <f>IFERROR(__xludf.DUMMYFUNCTION("""COMPUTED_VALUE"""),0.4791666666666667)</f>
        <v>0.4791666667</v>
      </c>
      <c r="I6" s="52">
        <f>IFERROR(__xludf.DUMMYFUNCTION("""COMPUTED_VALUE"""),43774.0)</f>
        <v>43774</v>
      </c>
      <c r="J6" s="53">
        <f>IFERROR(__xludf.DUMMYFUNCTION("""COMPUTED_VALUE"""),0.4930555555555556)</f>
        <v>0.4930555556</v>
      </c>
      <c r="K6" s="53">
        <f t="shared" si="1"/>
        <v>0.01388888889</v>
      </c>
      <c r="L6" s="49" t="s">
        <v>109</v>
      </c>
      <c r="M6" s="62" t="s">
        <v>384</v>
      </c>
      <c r="N6" s="75" t="str">
        <f t="shared" si="2"/>
        <v>FS_5_5_e8c5df7f-2c89-4bf5-b1ac-e15cb188926e_000000_000000.mp4</v>
      </c>
      <c r="O6" s="48"/>
      <c r="P6" s="48"/>
      <c r="Q6" s="63"/>
      <c r="R6" s="49"/>
      <c r="S6" s="49"/>
      <c r="T6" s="49"/>
    </row>
    <row r="7">
      <c r="A7" s="49" t="str">
        <f>IFERROR(__xludf.DUMMYFUNCTION("""COMPUTED_VALUE"""),"Protecting the vulnerable: How tech can help refugees")</f>
        <v>Protecting the vulnerable: How tech can help refugees</v>
      </c>
      <c r="B7" s="49" t="str">
        <f>IFERROR(__xludf.DUMMYFUNCTION("""COMPUTED_VALUE"""),"Future Societies")</f>
        <v>Future Societies</v>
      </c>
      <c r="C7" s="51" t="str">
        <f>IFERROR(__xludf.DUMMYFUNCTION("""COMPUTED_VALUE"""),"Mike Walton, George Papandreou and Steve Clemons")</f>
        <v>Mike Walton, George Papandreou and Steve Clemons</v>
      </c>
      <c r="D7" s="49" t="str">
        <f>IFERROR(__xludf.DUMMYFUNCTION("""COMPUTED_VALUE"""),"2019/11/05 11:50:00")</f>
        <v>2019/11/05 11:50:00</v>
      </c>
      <c r="E7" s="49" t="str">
        <f>IFERROR(__xludf.DUMMYFUNCTION("""COMPUTED_VALUE"""),"2019/11/05 12:10:00")</f>
        <v>2019/11/05 12:10:00</v>
      </c>
      <c r="F7" s="49" t="str">
        <f>IFERROR(__xludf.DUMMYFUNCTION("""COMPUTED_VALUE"""),"53af7779-7471-4023-8ef0-15334065bf62")</f>
        <v>53af7779-7471-4023-8ef0-15334065bf62</v>
      </c>
      <c r="G7" s="52">
        <f>IFERROR(__xludf.DUMMYFUNCTION("""COMPUTED_VALUE"""),43774.0)</f>
        <v>43774</v>
      </c>
      <c r="H7" s="53">
        <f>IFERROR(__xludf.DUMMYFUNCTION("""COMPUTED_VALUE"""),0.4930555555555556)</f>
        <v>0.4930555556</v>
      </c>
      <c r="I7" s="52">
        <f>IFERROR(__xludf.DUMMYFUNCTION("""COMPUTED_VALUE"""),43774.0)</f>
        <v>43774</v>
      </c>
      <c r="J7" s="53">
        <f>IFERROR(__xludf.DUMMYFUNCTION("""COMPUTED_VALUE"""),0.5069444444444444)</f>
        <v>0.5069444444</v>
      </c>
      <c r="K7" s="53">
        <f t="shared" si="1"/>
        <v>0.01388888889</v>
      </c>
      <c r="L7" s="49" t="s">
        <v>109</v>
      </c>
      <c r="M7" s="62" t="s">
        <v>385</v>
      </c>
      <c r="N7" s="75" t="str">
        <f t="shared" si="2"/>
        <v>FS_5_6_53af7779-7471-4023-8ef0-15334065bf62_000000_000000.mp4</v>
      </c>
      <c r="O7" s="48"/>
      <c r="P7" s="48"/>
      <c r="Q7" s="63"/>
      <c r="R7" s="49"/>
      <c r="S7" s="49"/>
      <c r="T7" s="49"/>
    </row>
    <row r="8">
      <c r="A8" s="49" t="str">
        <f>IFERROR(__xludf.DUMMYFUNCTION("""COMPUTED_VALUE"""),"Lunch break")</f>
        <v>Lunch break</v>
      </c>
      <c r="B8" s="49" t="str">
        <f>IFERROR(__xludf.DUMMYFUNCTION("""COMPUTED_VALUE"""),"Future Societies")</f>
        <v>Future Societies</v>
      </c>
      <c r="C8" s="51" t="str">
        <f>IFERROR(__xludf.DUMMYFUNCTION("""COMPUTED_VALUE"""),"")</f>
        <v/>
      </c>
      <c r="D8" s="49" t="str">
        <f>IFERROR(__xludf.DUMMYFUNCTION("""COMPUTED_VALUE"""),"2019/11/05 12:10:00")</f>
        <v>2019/11/05 12:10:00</v>
      </c>
      <c r="E8" s="49" t="str">
        <f>IFERROR(__xludf.DUMMYFUNCTION("""COMPUTED_VALUE"""),"2019/11/05 12:53:00")</f>
        <v>2019/11/05 12:53:00</v>
      </c>
      <c r="F8" s="49" t="str">
        <f>IFERROR(__xludf.DUMMYFUNCTION("""COMPUTED_VALUE"""),"aa326a5b-0ebc-41e4-ac88-b468893a93c1")</f>
        <v>aa326a5b-0ebc-41e4-ac88-b468893a93c1</v>
      </c>
      <c r="G8" s="52">
        <f>IFERROR(__xludf.DUMMYFUNCTION("""COMPUTED_VALUE"""),43774.0)</f>
        <v>43774</v>
      </c>
      <c r="H8" s="53">
        <f>IFERROR(__xludf.DUMMYFUNCTION("""COMPUTED_VALUE"""),0.5069444444444444)</f>
        <v>0.5069444444</v>
      </c>
      <c r="I8" s="52">
        <f>IFERROR(__xludf.DUMMYFUNCTION("""COMPUTED_VALUE"""),43774.0)</f>
        <v>43774</v>
      </c>
      <c r="J8" s="53">
        <f>IFERROR(__xludf.DUMMYFUNCTION("""COMPUTED_VALUE"""),0.5368055555555555)</f>
        <v>0.5368055556</v>
      </c>
      <c r="K8" s="53">
        <f t="shared" si="1"/>
        <v>0.02986111111</v>
      </c>
      <c r="L8" s="49" t="s">
        <v>386</v>
      </c>
      <c r="M8" s="62"/>
      <c r="N8" s="75" t="str">
        <f t="shared" si="2"/>
        <v>_aa326a5b-0ebc-41e4-ac88-b468893a93c1_000000_000000.mp4</v>
      </c>
      <c r="O8" s="48"/>
      <c r="P8" s="48"/>
      <c r="Q8" s="63"/>
      <c r="R8" s="49"/>
      <c r="S8" s="49"/>
      <c r="T8" s="49"/>
    </row>
    <row r="9">
      <c r="A9" s="49" t="str">
        <f>IFERROR(__xludf.DUMMYFUNCTION("""COMPUTED_VALUE"""),"Opening remarks")</f>
        <v>Opening remarks</v>
      </c>
      <c r="B9" s="49" t="str">
        <f>IFERROR(__xludf.DUMMYFUNCTION("""COMPUTED_VALUE"""),"Future Societies")</f>
        <v>Future Societies</v>
      </c>
      <c r="C9" s="51" t="str">
        <f>IFERROR(__xludf.DUMMYFUNCTION("""COMPUTED_VALUE"""),"Khalid Machchate")</f>
        <v>Khalid Machchate</v>
      </c>
      <c r="D9" s="49" t="str">
        <f>IFERROR(__xludf.DUMMYFUNCTION("""COMPUTED_VALUE"""),"2019/11/05 12:53:00")</f>
        <v>2019/11/05 12:53:00</v>
      </c>
      <c r="E9" s="49" t="str">
        <f>IFERROR(__xludf.DUMMYFUNCTION("""COMPUTED_VALUE"""),"2019/11/05 13:03:00")</f>
        <v>2019/11/05 13:03:00</v>
      </c>
      <c r="F9" s="49" t="str">
        <f>IFERROR(__xludf.DUMMYFUNCTION("""COMPUTED_VALUE"""),"ea893807-3848-4738-aa69-d1cc9b73e190")</f>
        <v>ea893807-3848-4738-aa69-d1cc9b73e190</v>
      </c>
      <c r="G9" s="52">
        <f>IFERROR(__xludf.DUMMYFUNCTION("""COMPUTED_VALUE"""),43774.0)</f>
        <v>43774</v>
      </c>
      <c r="H9" s="53">
        <f>IFERROR(__xludf.DUMMYFUNCTION("""COMPUTED_VALUE"""),0.5368055555555555)</f>
        <v>0.5368055556</v>
      </c>
      <c r="I9" s="52">
        <f>IFERROR(__xludf.DUMMYFUNCTION("""COMPUTED_VALUE"""),43774.0)</f>
        <v>43774</v>
      </c>
      <c r="J9" s="53">
        <f>IFERROR(__xludf.DUMMYFUNCTION("""COMPUTED_VALUE"""),0.54375)</f>
        <v>0.54375</v>
      </c>
      <c r="K9" s="53">
        <f t="shared" si="1"/>
        <v>0.006944444444</v>
      </c>
      <c r="L9" s="49" t="s">
        <v>122</v>
      </c>
      <c r="M9" s="62" t="s">
        <v>387</v>
      </c>
      <c r="N9" s="75" t="str">
        <f t="shared" si="2"/>
        <v>FS_5_7_ea893807-3848-4738-aa69-d1cc9b73e190_000000_000000.mp4</v>
      </c>
      <c r="O9" s="48"/>
      <c r="P9" s="48"/>
      <c r="Q9" s="63"/>
      <c r="R9" s="49"/>
      <c r="S9" s="49"/>
      <c r="T9" s="49"/>
    </row>
    <row r="10">
      <c r="A10" s="49" t="str">
        <f>IFERROR(__xludf.DUMMYFUNCTION("""COMPUTED_VALUE"""),"Building an innovative community: Imperial College London's White City Campus")</f>
        <v>Building an innovative community: Imperial College London's White City Campus</v>
      </c>
      <c r="B10" s="49" t="str">
        <f>IFERROR(__xludf.DUMMYFUNCTION("""COMPUTED_VALUE"""),"Future Societies")</f>
        <v>Future Societies</v>
      </c>
      <c r="C10" s="51" t="str">
        <f>IFERROR(__xludf.DUMMYFUNCTION("""COMPUTED_VALUE"""),"Maggie Dallman")</f>
        <v>Maggie Dallman</v>
      </c>
      <c r="D10" s="49" t="str">
        <f>IFERROR(__xludf.DUMMYFUNCTION("""COMPUTED_VALUE"""),"2019/11/05 13:03:00")</f>
        <v>2019/11/05 13:03:00</v>
      </c>
      <c r="E10" s="49" t="str">
        <f>IFERROR(__xludf.DUMMYFUNCTION("""COMPUTED_VALUE"""),"2019/11/05 13:15:00")</f>
        <v>2019/11/05 13:15:00</v>
      </c>
      <c r="F10" s="49" t="str">
        <f>IFERROR(__xludf.DUMMYFUNCTION("""COMPUTED_VALUE"""),"e2ff5f2b-4b7a-41d3-94a8-b5247b28191c")</f>
        <v>e2ff5f2b-4b7a-41d3-94a8-b5247b28191c</v>
      </c>
      <c r="G10" s="52">
        <f>IFERROR(__xludf.DUMMYFUNCTION("""COMPUTED_VALUE"""),43774.0)</f>
        <v>43774</v>
      </c>
      <c r="H10" s="53">
        <f>IFERROR(__xludf.DUMMYFUNCTION("""COMPUTED_VALUE"""),0.54375)</f>
        <v>0.54375</v>
      </c>
      <c r="I10" s="52">
        <f>IFERROR(__xludf.DUMMYFUNCTION("""COMPUTED_VALUE"""),43774.0)</f>
        <v>43774</v>
      </c>
      <c r="J10" s="53">
        <f>IFERROR(__xludf.DUMMYFUNCTION("""COMPUTED_VALUE"""),0.5520833333333334)</f>
        <v>0.5520833333</v>
      </c>
      <c r="K10" s="53">
        <f t="shared" si="1"/>
        <v>0.008333333333</v>
      </c>
      <c r="L10" s="49" t="s">
        <v>388</v>
      </c>
      <c r="M10" s="62" t="s">
        <v>389</v>
      </c>
      <c r="N10" s="75" t="str">
        <f t="shared" si="2"/>
        <v>FS_5_8_e2ff5f2b-4b7a-41d3-94a8-b5247b28191c_000000_000000.mp4</v>
      </c>
      <c r="O10" s="48"/>
      <c r="P10" s="48"/>
      <c r="Q10" s="63"/>
      <c r="R10" s="49"/>
      <c r="S10" s="49"/>
      <c r="T10" s="49"/>
    </row>
    <row r="11">
      <c r="A11" s="49" t="str">
        <f>IFERROR(__xludf.DUMMYFUNCTION("""COMPUTED_VALUE"""),"The whole human thing. Can marketing save our species?")</f>
        <v>The whole human thing. Can marketing save our species?</v>
      </c>
      <c r="B11" s="49" t="str">
        <f>IFERROR(__xludf.DUMMYFUNCTION("""COMPUTED_VALUE"""),"Future Societies")</f>
        <v>Future Societies</v>
      </c>
      <c r="C11" s="51" t="str">
        <f>IFERROR(__xludf.DUMMYFUNCTION("""COMPUTED_VALUE"""),"Gail Heimann")</f>
        <v>Gail Heimann</v>
      </c>
      <c r="D11" s="49" t="str">
        <f>IFERROR(__xludf.DUMMYFUNCTION("""COMPUTED_VALUE"""),"2019/11/05 13:15:00")</f>
        <v>2019/11/05 13:15:00</v>
      </c>
      <c r="E11" s="49" t="str">
        <f>IFERROR(__xludf.DUMMYFUNCTION("""COMPUTED_VALUE"""),"2019/11/05 13:35:00")</f>
        <v>2019/11/05 13:35:00</v>
      </c>
      <c r="F11" s="49" t="str">
        <f>IFERROR(__xludf.DUMMYFUNCTION("""COMPUTED_VALUE"""),"c7953718-e8c4-441a-9d36-2d73b31d527e")</f>
        <v>c7953718-e8c4-441a-9d36-2d73b31d527e</v>
      </c>
      <c r="G11" s="52">
        <f>IFERROR(__xludf.DUMMYFUNCTION("""COMPUTED_VALUE"""),43774.0)</f>
        <v>43774</v>
      </c>
      <c r="H11" s="53">
        <f>IFERROR(__xludf.DUMMYFUNCTION("""COMPUTED_VALUE"""),0.5520833333333334)</f>
        <v>0.5520833333</v>
      </c>
      <c r="I11" s="52">
        <f>IFERROR(__xludf.DUMMYFUNCTION("""COMPUTED_VALUE"""),43774.0)</f>
        <v>43774</v>
      </c>
      <c r="J11" s="53">
        <f>IFERROR(__xludf.DUMMYFUNCTION("""COMPUTED_VALUE"""),0.5659722222222222)</f>
        <v>0.5659722222</v>
      </c>
      <c r="K11" s="53">
        <f t="shared" si="1"/>
        <v>0.01388888889</v>
      </c>
      <c r="L11" s="49" t="s">
        <v>109</v>
      </c>
      <c r="M11" s="62" t="s">
        <v>390</v>
      </c>
      <c r="N11" s="75" t="str">
        <f t="shared" si="2"/>
        <v>FS_5_9_c7953718-e8c4-441a-9d36-2d73b31d527e_000000_000000.mp4</v>
      </c>
      <c r="O11" s="48"/>
      <c r="P11" s="48"/>
      <c r="Q11" s="63"/>
      <c r="R11" s="49"/>
      <c r="S11" s="49"/>
      <c r="T11" s="49"/>
    </row>
    <row r="12">
      <c r="A12" s="49" t="str">
        <f>IFERROR(__xludf.DUMMYFUNCTION("""COMPUTED_VALUE"""),"Debunking the unbanked: Bringing payments to the masses")</f>
        <v>Debunking the unbanked: Bringing payments to the masses</v>
      </c>
      <c r="B12" s="49" t="str">
        <f>IFERROR(__xludf.DUMMYFUNCTION("""COMPUTED_VALUE"""),"Future Societies")</f>
        <v>Future Societies</v>
      </c>
      <c r="C12" s="51" t="str">
        <f>IFERROR(__xludf.DUMMYFUNCTION("""COMPUTED_VALUE"""),"Mark Roden, Tunde Kehinde, Christopher Leacock and Joon Ian Wong")</f>
        <v>Mark Roden, Tunde Kehinde, Christopher Leacock and Joon Ian Wong</v>
      </c>
      <c r="D12" s="49" t="str">
        <f>IFERROR(__xludf.DUMMYFUNCTION("""COMPUTED_VALUE"""),"2019/11/05 13:35:00")</f>
        <v>2019/11/05 13:35:00</v>
      </c>
      <c r="E12" s="49" t="str">
        <f>IFERROR(__xludf.DUMMYFUNCTION("""COMPUTED_VALUE"""),"2019/11/05 14:00:00")</f>
        <v>2019/11/05 14:00:00</v>
      </c>
      <c r="F12" s="49" t="str">
        <f>IFERROR(__xludf.DUMMYFUNCTION("""COMPUTED_VALUE"""),"dcdbf7a5-6d59-413c-9f18-c6313c1a0694")</f>
        <v>dcdbf7a5-6d59-413c-9f18-c6313c1a0694</v>
      </c>
      <c r="G12" s="52">
        <f>IFERROR(__xludf.DUMMYFUNCTION("""COMPUTED_VALUE"""),43774.0)</f>
        <v>43774</v>
      </c>
      <c r="H12" s="53">
        <f>IFERROR(__xludf.DUMMYFUNCTION("""COMPUTED_VALUE"""),0.5659722222222222)</f>
        <v>0.5659722222</v>
      </c>
      <c r="I12" s="52">
        <f>IFERROR(__xludf.DUMMYFUNCTION("""COMPUTED_VALUE"""),43774.0)</f>
        <v>43774</v>
      </c>
      <c r="J12" s="53">
        <f>IFERROR(__xludf.DUMMYFUNCTION("""COMPUTED_VALUE"""),0.5833333333333334)</f>
        <v>0.5833333333</v>
      </c>
      <c r="K12" s="53">
        <f t="shared" si="1"/>
        <v>0.01736111111</v>
      </c>
      <c r="L12" s="49" t="s">
        <v>111</v>
      </c>
      <c r="M12" s="62" t="s">
        <v>391</v>
      </c>
      <c r="N12" s="75" t="str">
        <f t="shared" si="2"/>
        <v>FS_5_10_dcdbf7a5-6d59-413c-9f18-c6313c1a0694_000000_000000.mp4</v>
      </c>
      <c r="O12" s="48"/>
      <c r="P12" s="48"/>
      <c r="Q12" s="63"/>
      <c r="R12" s="49"/>
      <c r="S12" s="49"/>
      <c r="T12" s="49"/>
    </row>
    <row r="13">
      <c r="A13" s="49" t="str">
        <f>IFERROR(__xludf.DUMMYFUNCTION("""COMPUTED_VALUE"""),"Has technology replaced religion?")</f>
        <v>Has technology replaced religion?</v>
      </c>
      <c r="B13" s="49" t="str">
        <f>IFERROR(__xludf.DUMMYFUNCTION("""COMPUTED_VALUE"""),"Future Societies")</f>
        <v>Future Societies</v>
      </c>
      <c r="C13" s="51" t="str">
        <f>IFERROR(__xludf.DUMMYFUNCTION("""COMPUTED_VALUE"""),"Tony Campolo, Steve Petersen and Steve Clemons")</f>
        <v>Tony Campolo, Steve Petersen and Steve Clemons</v>
      </c>
      <c r="D13" s="49" t="str">
        <f>IFERROR(__xludf.DUMMYFUNCTION("""COMPUTED_VALUE"""),"2019/11/05 14:00:00")</f>
        <v>2019/11/05 14:00:00</v>
      </c>
      <c r="E13" s="49" t="str">
        <f>IFERROR(__xludf.DUMMYFUNCTION("""COMPUTED_VALUE"""),"2019/11/05 14:25:00")</f>
        <v>2019/11/05 14:25:00</v>
      </c>
      <c r="F13" s="49" t="str">
        <f>IFERROR(__xludf.DUMMYFUNCTION("""COMPUTED_VALUE"""),"8a633e90-7b95-455f-a099-73eacee56700")</f>
        <v>8a633e90-7b95-455f-a099-73eacee56700</v>
      </c>
      <c r="G13" s="52">
        <f>IFERROR(__xludf.DUMMYFUNCTION("""COMPUTED_VALUE"""),43774.0)</f>
        <v>43774</v>
      </c>
      <c r="H13" s="53">
        <f>IFERROR(__xludf.DUMMYFUNCTION("""COMPUTED_VALUE"""),0.5833333333333334)</f>
        <v>0.5833333333</v>
      </c>
      <c r="I13" s="52">
        <f>IFERROR(__xludf.DUMMYFUNCTION("""COMPUTED_VALUE"""),43774.0)</f>
        <v>43774</v>
      </c>
      <c r="J13" s="53">
        <f>IFERROR(__xludf.DUMMYFUNCTION("""COMPUTED_VALUE"""),0.6006944444444444)</f>
        <v>0.6006944444</v>
      </c>
      <c r="K13" s="53">
        <f t="shared" si="1"/>
        <v>0.01736111111</v>
      </c>
      <c r="L13" s="49" t="s">
        <v>111</v>
      </c>
      <c r="M13" s="62" t="s">
        <v>392</v>
      </c>
      <c r="N13" s="75" t="str">
        <f t="shared" si="2"/>
        <v>FS_5_11_8a633e90-7b95-455f-a099-73eacee56700_000000_000000.mp4</v>
      </c>
      <c r="O13" s="48"/>
      <c r="P13" s="48"/>
      <c r="Q13" s="63"/>
      <c r="R13" s="49"/>
      <c r="S13" s="49"/>
      <c r="T13" s="49"/>
    </row>
    <row r="14">
      <c r="A14" s="49" t="str">
        <f>IFERROR(__xludf.DUMMYFUNCTION("""COMPUTED_VALUE"""),"Education beyond the classroom")</f>
        <v>Education beyond the classroom</v>
      </c>
      <c r="B14" s="49" t="str">
        <f>IFERROR(__xludf.DUMMYFUNCTION("""COMPUTED_VALUE"""),"Future Societies")</f>
        <v>Future Societies</v>
      </c>
      <c r="C14" s="51" t="str">
        <f>IFERROR(__xludf.DUMMYFUNCTION("""COMPUTED_VALUE"""),"Corinne Vigreux, Thomas Holl, Mmantsetsa Marope and Tom Finn")</f>
        <v>Corinne Vigreux, Thomas Holl, Mmantsetsa Marope and Tom Finn</v>
      </c>
      <c r="D14" s="49" t="str">
        <f>IFERROR(__xludf.DUMMYFUNCTION("""COMPUTED_VALUE"""),"2019/11/05 14:25:00")</f>
        <v>2019/11/05 14:25:00</v>
      </c>
      <c r="E14" s="49" t="str">
        <f>IFERROR(__xludf.DUMMYFUNCTION("""COMPUTED_VALUE"""),"2019/11/05 14:50:00")</f>
        <v>2019/11/05 14:50:00</v>
      </c>
      <c r="F14" s="49" t="str">
        <f>IFERROR(__xludf.DUMMYFUNCTION("""COMPUTED_VALUE"""),"354d2d40-ce91-41cc-9af8-5370a39daa64")</f>
        <v>354d2d40-ce91-41cc-9af8-5370a39daa64</v>
      </c>
      <c r="G14" s="52">
        <f>IFERROR(__xludf.DUMMYFUNCTION("""COMPUTED_VALUE"""),43774.0)</f>
        <v>43774</v>
      </c>
      <c r="H14" s="53">
        <f>IFERROR(__xludf.DUMMYFUNCTION("""COMPUTED_VALUE"""),0.6006944444444444)</f>
        <v>0.6006944444</v>
      </c>
      <c r="I14" s="52">
        <f>IFERROR(__xludf.DUMMYFUNCTION("""COMPUTED_VALUE"""),43774.0)</f>
        <v>43774</v>
      </c>
      <c r="J14" s="53">
        <f>IFERROR(__xludf.DUMMYFUNCTION("""COMPUTED_VALUE"""),0.6180555555555556)</f>
        <v>0.6180555556</v>
      </c>
      <c r="K14" s="53">
        <f t="shared" si="1"/>
        <v>0.01736111111</v>
      </c>
      <c r="L14" s="49" t="s">
        <v>111</v>
      </c>
      <c r="M14" s="62" t="s">
        <v>393</v>
      </c>
      <c r="N14" s="75" t="str">
        <f t="shared" si="2"/>
        <v>FS_5_12_354d2d40-ce91-41cc-9af8-5370a39daa64_000000_000000.mp4</v>
      </c>
      <c r="O14" s="48"/>
      <c r="P14" s="48"/>
      <c r="Q14" s="63"/>
      <c r="R14" s="49"/>
      <c r="S14" s="49"/>
      <c r="T14" s="49"/>
    </row>
    <row r="15">
      <c r="A15" s="49" t="str">
        <f>IFERROR(__xludf.DUMMYFUNCTION("""COMPUTED_VALUE"""),"Sex and sexuality in the 21st century")</f>
        <v>Sex and sexuality in the 21st century</v>
      </c>
      <c r="B15" s="49" t="str">
        <f>IFERROR(__xludf.DUMMYFUNCTION("""COMPUTED_VALUE"""),"Future Societies")</f>
        <v>Future Societies</v>
      </c>
      <c r="C15" s="51" t="str">
        <f>IFERROR(__xludf.DUMMYFUNCTION("""COMPUTED_VALUE"""),"Peter Tatchell, Stephanie Alys and Steve Clemons")</f>
        <v>Peter Tatchell, Stephanie Alys and Steve Clemons</v>
      </c>
      <c r="D15" s="49" t="str">
        <f>IFERROR(__xludf.DUMMYFUNCTION("""COMPUTED_VALUE"""),"2019/11/05 14:50:00")</f>
        <v>2019/11/05 14:50:00</v>
      </c>
      <c r="E15" s="49" t="str">
        <f>IFERROR(__xludf.DUMMYFUNCTION("""COMPUTED_VALUE"""),"2019/11/05 15:15:00")</f>
        <v>2019/11/05 15:15:00</v>
      </c>
      <c r="F15" s="49" t="str">
        <f>IFERROR(__xludf.DUMMYFUNCTION("""COMPUTED_VALUE"""),"837020dd-af3e-43fe-af61-3f16d61ac5bd")</f>
        <v>837020dd-af3e-43fe-af61-3f16d61ac5bd</v>
      </c>
      <c r="G15" s="52">
        <f>IFERROR(__xludf.DUMMYFUNCTION("""COMPUTED_VALUE"""),43774.0)</f>
        <v>43774</v>
      </c>
      <c r="H15" s="53">
        <f>IFERROR(__xludf.DUMMYFUNCTION("""COMPUTED_VALUE"""),0.6180555555555556)</f>
        <v>0.6180555556</v>
      </c>
      <c r="I15" s="52">
        <f>IFERROR(__xludf.DUMMYFUNCTION("""COMPUTED_VALUE"""),43774.0)</f>
        <v>43774</v>
      </c>
      <c r="J15" s="53">
        <f>IFERROR(__xludf.DUMMYFUNCTION("""COMPUTED_VALUE"""),0.6354166666666666)</f>
        <v>0.6354166667</v>
      </c>
      <c r="K15" s="53">
        <f t="shared" si="1"/>
        <v>0.01736111111</v>
      </c>
      <c r="L15" s="49" t="s">
        <v>111</v>
      </c>
      <c r="M15" s="62" t="s">
        <v>394</v>
      </c>
      <c r="N15" s="75" t="str">
        <f t="shared" si="2"/>
        <v>FS_5_13_837020dd-af3e-43fe-af61-3f16d61ac5bd_000000_000000.mp4</v>
      </c>
      <c r="O15" s="48"/>
      <c r="P15" s="48"/>
      <c r="Q15" s="63"/>
      <c r="R15" s="49"/>
      <c r="S15" s="49"/>
      <c r="T15" s="49"/>
    </row>
    <row r="16">
      <c r="A16" s="49" t="str">
        <f>IFERROR(__xludf.DUMMYFUNCTION("""COMPUTED_VALUE"""),"Donald Trump has been a successful president")</f>
        <v>Donald Trump has been a successful president</v>
      </c>
      <c r="B16" s="49" t="str">
        <f>IFERROR(__xludf.DUMMYFUNCTION("""COMPUTED_VALUE"""),"Future Societies")</f>
        <v>Future Societies</v>
      </c>
      <c r="C16" s="51" t="str">
        <f>IFERROR(__xludf.DUMMYFUNCTION("""COMPUTED_VALUE"""),"Joe Pounder, Neal Katyal and Dafna Linzer")</f>
        <v>Joe Pounder, Neal Katyal and Dafna Linzer</v>
      </c>
      <c r="D16" s="49" t="str">
        <f>IFERROR(__xludf.DUMMYFUNCTION("""COMPUTED_VALUE"""),"2019/11/05 15:15:00")</f>
        <v>2019/11/05 15:15:00</v>
      </c>
      <c r="E16" s="49" t="str">
        <f>IFERROR(__xludf.DUMMYFUNCTION("""COMPUTED_VALUE"""),"2019/11/05 15:40:00")</f>
        <v>2019/11/05 15:40:00</v>
      </c>
      <c r="F16" s="49" t="str">
        <f>IFERROR(__xludf.DUMMYFUNCTION("""COMPUTED_VALUE"""),"2931777b-0bbb-4d0e-8446-470eed9a7a67")</f>
        <v>2931777b-0bbb-4d0e-8446-470eed9a7a67</v>
      </c>
      <c r="G16" s="52">
        <f>IFERROR(__xludf.DUMMYFUNCTION("""COMPUTED_VALUE"""),43774.0)</f>
        <v>43774</v>
      </c>
      <c r="H16" s="53">
        <f>IFERROR(__xludf.DUMMYFUNCTION("""COMPUTED_VALUE"""),0.6354166666666666)</f>
        <v>0.6354166667</v>
      </c>
      <c r="I16" s="52">
        <f>IFERROR(__xludf.DUMMYFUNCTION("""COMPUTED_VALUE"""),43774.0)</f>
        <v>43774</v>
      </c>
      <c r="J16" s="53">
        <f>IFERROR(__xludf.DUMMYFUNCTION("""COMPUTED_VALUE"""),0.6527777777777778)</f>
        <v>0.6527777778</v>
      </c>
      <c r="K16" s="53">
        <f t="shared" si="1"/>
        <v>0.01736111111</v>
      </c>
      <c r="L16" s="49" t="s">
        <v>111</v>
      </c>
      <c r="M16" s="62" t="s">
        <v>395</v>
      </c>
      <c r="N16" s="75" t="str">
        <f t="shared" si="2"/>
        <v>FS_5_14_2931777b-0bbb-4d0e-8446-470eed9a7a67_000000_000000.mp4</v>
      </c>
      <c r="O16" s="48"/>
      <c r="P16" s="48"/>
      <c r="Q16" s="63"/>
      <c r="R16" s="49"/>
      <c r="S16" s="49"/>
      <c r="T16" s="49"/>
    </row>
    <row r="17">
      <c r="A17" s="49" t="str">
        <f>IFERROR(__xludf.DUMMYFUNCTION("""COMPUTED_VALUE"""),"Brexit: The never ending story")</f>
        <v>Brexit: The never ending story</v>
      </c>
      <c r="B17" s="49" t="str">
        <f>IFERROR(__xludf.DUMMYFUNCTION("""COMPUTED_VALUE"""),"Future Societies")</f>
        <v>Future Societies</v>
      </c>
      <c r="C17" s="51" t="str">
        <f>IFERROR(__xludf.DUMMYFUNCTION("""COMPUTED_VALUE"""),"Tony Blair and Phil Collins")</f>
        <v>Tony Blair and Phil Collins</v>
      </c>
      <c r="D17" s="49" t="str">
        <f>IFERROR(__xludf.DUMMYFUNCTION("""COMPUTED_VALUE"""),"2019/11/05 15:40:00")</f>
        <v>2019/11/05 15:40:00</v>
      </c>
      <c r="E17" s="49" t="str">
        <f>IFERROR(__xludf.DUMMYFUNCTION("""COMPUTED_VALUE"""),"2019/11/05 16:10:00")</f>
        <v>2019/11/05 16:10:00</v>
      </c>
      <c r="F17" s="49" t="str">
        <f>IFERROR(__xludf.DUMMYFUNCTION("""COMPUTED_VALUE"""),"00a4eb61-aa08-43ea-af0d-736daf670850")</f>
        <v>00a4eb61-aa08-43ea-af0d-736daf670850</v>
      </c>
      <c r="G17" s="52">
        <f>IFERROR(__xludf.DUMMYFUNCTION("""COMPUTED_VALUE"""),43774.0)</f>
        <v>43774</v>
      </c>
      <c r="H17" s="53">
        <f>IFERROR(__xludf.DUMMYFUNCTION("""COMPUTED_VALUE"""),0.6527777777777778)</f>
        <v>0.6527777778</v>
      </c>
      <c r="I17" s="52">
        <f>IFERROR(__xludf.DUMMYFUNCTION("""COMPUTED_VALUE"""),43774.0)</f>
        <v>43774</v>
      </c>
      <c r="J17" s="53">
        <f>IFERROR(__xludf.DUMMYFUNCTION("""COMPUTED_VALUE"""),0.6736111111111112)</f>
        <v>0.6736111111</v>
      </c>
      <c r="K17" s="53">
        <f t="shared" si="1"/>
        <v>0.02083333333</v>
      </c>
      <c r="L17" s="49" t="s">
        <v>105</v>
      </c>
      <c r="M17" s="62" t="s">
        <v>396</v>
      </c>
      <c r="N17" s="75" t="str">
        <f t="shared" si="2"/>
        <v>FS_5_15_00a4eb61-aa08-43ea-af0d-736daf670850_000000_000000.mp4</v>
      </c>
      <c r="O17" s="48"/>
      <c r="P17" s="48"/>
      <c r="Q17" s="63"/>
      <c r="R17" s="49"/>
      <c r="S17" s="49"/>
      <c r="T17" s="49"/>
    </row>
    <row r="18">
      <c r="A18" s="49" t="str">
        <f>IFERROR(__xludf.DUMMYFUNCTION("""COMPUTED_VALUE"""),"Opening remarks")</f>
        <v>Opening remarks</v>
      </c>
      <c r="B18" s="49" t="str">
        <f>IFERROR(__xludf.DUMMYFUNCTION("""COMPUTED_VALUE"""),"Future Societies")</f>
        <v>Future Societies</v>
      </c>
      <c r="C18" s="51" t="str">
        <f>IFERROR(__xludf.DUMMYFUNCTION("""COMPUTED_VALUE"""),"Armand Arton")</f>
        <v>Armand Arton</v>
      </c>
      <c r="D18" s="49" t="str">
        <f>IFERROR(__xludf.DUMMYFUNCTION("""COMPUTED_VALUE"""),"2019/11/06 09:55:00")</f>
        <v>2019/11/06 09:55:00</v>
      </c>
      <c r="E18" s="49" t="str">
        <f>IFERROR(__xludf.DUMMYFUNCTION("""COMPUTED_VALUE"""),"2019/11/06 10:10:00")</f>
        <v>2019/11/06 10:10:00</v>
      </c>
      <c r="F18" s="49" t="str">
        <f>IFERROR(__xludf.DUMMYFUNCTION("""COMPUTED_VALUE"""),"ed708ac7-e837-47f1-bb25-7bc45a81e4ad")</f>
        <v>ed708ac7-e837-47f1-bb25-7bc45a81e4ad</v>
      </c>
      <c r="G18" s="52">
        <f>IFERROR(__xludf.DUMMYFUNCTION("""COMPUTED_VALUE"""),43775.0)</f>
        <v>43775</v>
      </c>
      <c r="H18" s="53">
        <f>IFERROR(__xludf.DUMMYFUNCTION("""COMPUTED_VALUE"""),0.4131944444444444)</f>
        <v>0.4131944444</v>
      </c>
      <c r="I18" s="52">
        <f>IFERROR(__xludf.DUMMYFUNCTION("""COMPUTED_VALUE"""),43775.0)</f>
        <v>43775</v>
      </c>
      <c r="J18" s="53">
        <f>IFERROR(__xludf.DUMMYFUNCTION("""COMPUTED_VALUE"""),0.4236111111111111)</f>
        <v>0.4236111111</v>
      </c>
      <c r="K18" s="53">
        <f t="shared" si="1"/>
        <v>0.01041666667</v>
      </c>
      <c r="L18" s="49" t="s">
        <v>118</v>
      </c>
      <c r="M18" s="62" t="s">
        <v>397</v>
      </c>
      <c r="N18" s="75" t="str">
        <f t="shared" si="2"/>
        <v>FS_6_1_ed708ac7-e837-47f1-bb25-7bc45a81e4ad_000000_000000.mp4</v>
      </c>
      <c r="O18" s="48"/>
      <c r="P18" s="48"/>
      <c r="Q18" s="63"/>
      <c r="R18" s="49"/>
      <c r="S18" s="49"/>
      <c r="T18" s="49"/>
    </row>
    <row r="19">
      <c r="A19" s="49" t="str">
        <f>IFERROR(__xludf.DUMMYFUNCTION("""COMPUTED_VALUE"""),"Can anything be private anymore?")</f>
        <v>Can anything be private anymore?</v>
      </c>
      <c r="B19" s="49" t="str">
        <f>IFERROR(__xludf.DUMMYFUNCTION("""COMPUTED_VALUE"""),"Future Societies")</f>
        <v>Future Societies</v>
      </c>
      <c r="C19" s="51" t="str">
        <f>IFERROR(__xludf.DUMMYFUNCTION("""COMPUTED_VALUE"""),"Brittany Kaiser, David Chaum and Joseph Menn")</f>
        <v>Brittany Kaiser, David Chaum and Joseph Menn</v>
      </c>
      <c r="D19" s="49" t="str">
        <f>IFERROR(__xludf.DUMMYFUNCTION("""COMPUTED_VALUE"""),"2019/11/06 10:10:00")</f>
        <v>2019/11/06 10:10:00</v>
      </c>
      <c r="E19" s="49" t="str">
        <f>IFERROR(__xludf.DUMMYFUNCTION("""COMPUTED_VALUE"""),"2019/11/06 10:30:00")</f>
        <v>2019/11/06 10:30:00</v>
      </c>
      <c r="F19" s="49" t="str">
        <f>IFERROR(__xludf.DUMMYFUNCTION("""COMPUTED_VALUE"""),"e0a8ca5d-d716-4542-b6bf-e80bd6cd1304")</f>
        <v>e0a8ca5d-d716-4542-b6bf-e80bd6cd1304</v>
      </c>
      <c r="G19" s="52">
        <f>IFERROR(__xludf.DUMMYFUNCTION("""COMPUTED_VALUE"""),43775.0)</f>
        <v>43775</v>
      </c>
      <c r="H19" s="53">
        <f>IFERROR(__xludf.DUMMYFUNCTION("""COMPUTED_VALUE"""),0.4236111111111111)</f>
        <v>0.4236111111</v>
      </c>
      <c r="I19" s="52">
        <f>IFERROR(__xludf.DUMMYFUNCTION("""COMPUTED_VALUE"""),43775.0)</f>
        <v>43775</v>
      </c>
      <c r="J19" s="53">
        <f>IFERROR(__xludf.DUMMYFUNCTION("""COMPUTED_VALUE"""),0.4375)</f>
        <v>0.4375</v>
      </c>
      <c r="K19" s="53">
        <f t="shared" si="1"/>
        <v>0.01388888889</v>
      </c>
      <c r="L19" s="49" t="s">
        <v>109</v>
      </c>
      <c r="M19" s="62" t="s">
        <v>398</v>
      </c>
      <c r="N19" s="75" t="str">
        <f t="shared" si="2"/>
        <v>FS_6_2_e0a8ca5d-d716-4542-b6bf-e80bd6cd1304_000000_000000.mp4</v>
      </c>
      <c r="O19" s="48"/>
      <c r="P19" s="48"/>
      <c r="Q19" s="63"/>
      <c r="R19" s="49"/>
      <c r="S19" s="49"/>
      <c r="T19" s="49"/>
    </row>
    <row r="20">
      <c r="A20" s="49" t="str">
        <f>IFERROR(__xludf.DUMMYFUNCTION("""COMPUTED_VALUE"""),"How do we overcome the gender gap?")</f>
        <v>How do we overcome the gender gap?</v>
      </c>
      <c r="B20" s="49" t="str">
        <f>IFERROR(__xludf.DUMMYFUNCTION("""COMPUTED_VALUE"""),"Future Societies")</f>
        <v>Future Societies</v>
      </c>
      <c r="C20" s="51" t="str">
        <f>IFERROR(__xludf.DUMMYFUNCTION("""COMPUTED_VALUE"""),"Sue Allchurch, Paige VanZant, Michelle Fang and Dima Khatib")</f>
        <v>Sue Allchurch, Paige VanZant, Michelle Fang and Dima Khatib</v>
      </c>
      <c r="D20" s="49" t="str">
        <f>IFERROR(__xludf.DUMMYFUNCTION("""COMPUTED_VALUE"""),"2019/11/06 10:30:00")</f>
        <v>2019/11/06 10:30:00</v>
      </c>
      <c r="E20" s="49" t="str">
        <f>IFERROR(__xludf.DUMMYFUNCTION("""COMPUTED_VALUE"""),"2019/11/06 10:50:00")</f>
        <v>2019/11/06 10:50:00</v>
      </c>
      <c r="F20" s="49" t="str">
        <f>IFERROR(__xludf.DUMMYFUNCTION("""COMPUTED_VALUE"""),"2a62e204-02e7-446f-9c76-73cb7961cb2b")</f>
        <v>2a62e204-02e7-446f-9c76-73cb7961cb2b</v>
      </c>
      <c r="G20" s="52">
        <f>IFERROR(__xludf.DUMMYFUNCTION("""COMPUTED_VALUE"""),43775.0)</f>
        <v>43775</v>
      </c>
      <c r="H20" s="53">
        <f>IFERROR(__xludf.DUMMYFUNCTION("""COMPUTED_VALUE"""),0.4375)</f>
        <v>0.4375</v>
      </c>
      <c r="I20" s="52">
        <f>IFERROR(__xludf.DUMMYFUNCTION("""COMPUTED_VALUE"""),43775.0)</f>
        <v>43775</v>
      </c>
      <c r="J20" s="53">
        <f>IFERROR(__xludf.DUMMYFUNCTION("""COMPUTED_VALUE"""),0.4513888888888889)</f>
        <v>0.4513888889</v>
      </c>
      <c r="K20" s="53">
        <f t="shared" si="1"/>
        <v>0.01388888889</v>
      </c>
      <c r="L20" s="49" t="s">
        <v>109</v>
      </c>
      <c r="M20" s="62" t="s">
        <v>399</v>
      </c>
      <c r="N20" s="75" t="str">
        <f t="shared" si="2"/>
        <v>FS_6_3_2a62e204-02e7-446f-9c76-73cb7961cb2b_000000_000000.mp4</v>
      </c>
      <c r="O20" s="48"/>
      <c r="P20" s="48"/>
      <c r="Q20" s="63"/>
      <c r="R20" s="49"/>
      <c r="S20" s="49"/>
      <c r="T20" s="49"/>
    </row>
    <row r="21">
      <c r="A21" s="49" t="str">
        <f>IFERROR(__xludf.DUMMYFUNCTION("""COMPUTED_VALUE"""),"The long walk to peace")</f>
        <v>The long walk to peace</v>
      </c>
      <c r="B21" s="49" t="str">
        <f>IFERROR(__xludf.DUMMYFUNCTION("""COMPUTED_VALUE"""),"Future Societies")</f>
        <v>Future Societies</v>
      </c>
      <c r="C21" s="51" t="str">
        <f>IFERROR(__xludf.DUMMYFUNCTION("""COMPUTED_VALUE"""),"Siyabulela Mandela, Peter Tatchell, John Jaeger and Tom Finn")</f>
        <v>Siyabulela Mandela, Peter Tatchell, John Jaeger and Tom Finn</v>
      </c>
      <c r="D21" s="49" t="str">
        <f>IFERROR(__xludf.DUMMYFUNCTION("""COMPUTED_VALUE"""),"2019/11/06 10:50:00")</f>
        <v>2019/11/06 10:50:00</v>
      </c>
      <c r="E21" s="49" t="str">
        <f>IFERROR(__xludf.DUMMYFUNCTION("""COMPUTED_VALUE"""),"2019/11/06 11:10:00")</f>
        <v>2019/11/06 11:10:00</v>
      </c>
      <c r="F21" s="49" t="str">
        <f>IFERROR(__xludf.DUMMYFUNCTION("""COMPUTED_VALUE"""),"0481dbc5-00f8-4433-ae3e-9e59c676bb60")</f>
        <v>0481dbc5-00f8-4433-ae3e-9e59c676bb60</v>
      </c>
      <c r="G21" s="52">
        <f>IFERROR(__xludf.DUMMYFUNCTION("""COMPUTED_VALUE"""),43775.0)</f>
        <v>43775</v>
      </c>
      <c r="H21" s="53">
        <f>IFERROR(__xludf.DUMMYFUNCTION("""COMPUTED_VALUE"""),0.4513888888888889)</f>
        <v>0.4513888889</v>
      </c>
      <c r="I21" s="52">
        <f>IFERROR(__xludf.DUMMYFUNCTION("""COMPUTED_VALUE"""),43775.0)</f>
        <v>43775</v>
      </c>
      <c r="J21" s="53">
        <f>IFERROR(__xludf.DUMMYFUNCTION("""COMPUTED_VALUE"""),0.4652777777777778)</f>
        <v>0.4652777778</v>
      </c>
      <c r="K21" s="53">
        <f t="shared" si="1"/>
        <v>0.01388888889</v>
      </c>
      <c r="L21" s="49" t="s">
        <v>109</v>
      </c>
      <c r="M21" s="62" t="s">
        <v>400</v>
      </c>
      <c r="N21" s="75" t="str">
        <f t="shared" si="2"/>
        <v>FS_6_4_0481dbc5-00f8-4433-ae3e-9e59c676bb60_000000_000000.mp4</v>
      </c>
      <c r="O21" s="48"/>
      <c r="P21" s="48"/>
      <c r="Q21" s="63"/>
      <c r="R21" s="49"/>
      <c r="S21" s="49"/>
      <c r="T21" s="49"/>
    </row>
    <row r="22">
      <c r="A22" s="49" t="str">
        <f>IFERROR(__xludf.DUMMYFUNCTION("""COMPUTED_VALUE"""),"Society and shareholders: Finding the right balance")</f>
        <v>Society and shareholders: Finding the right balance</v>
      </c>
      <c r="B22" s="49" t="str">
        <f>IFERROR(__xludf.DUMMYFUNCTION("""COMPUTED_VALUE"""),"Future Societies")</f>
        <v>Future Societies</v>
      </c>
      <c r="C22" s="51" t="str">
        <f>IFERROR(__xludf.DUMMYFUNCTION("""COMPUTED_VALUE"""),"Franz Heukamp, Natasha Good, Alicia Tillman, Peter Mühlmann and Anie Akpe")</f>
        <v>Franz Heukamp, Natasha Good, Alicia Tillman, Peter Mühlmann and Anie Akpe</v>
      </c>
      <c r="D22" s="49" t="str">
        <f>IFERROR(__xludf.DUMMYFUNCTION("""COMPUTED_VALUE"""),"2019/11/06 11:10:00")</f>
        <v>2019/11/06 11:10:00</v>
      </c>
      <c r="E22" s="49" t="str">
        <f>IFERROR(__xludf.DUMMYFUNCTION("""COMPUTED_VALUE"""),"2019/11/06 11:30:00")</f>
        <v>2019/11/06 11:30:00</v>
      </c>
      <c r="F22" s="49" t="str">
        <f>IFERROR(__xludf.DUMMYFUNCTION("""COMPUTED_VALUE"""),"1b62a93c-63ff-48b0-a029-413e0398df72")</f>
        <v>1b62a93c-63ff-48b0-a029-413e0398df72</v>
      </c>
      <c r="G22" s="52">
        <f>IFERROR(__xludf.DUMMYFUNCTION("""COMPUTED_VALUE"""),43775.0)</f>
        <v>43775</v>
      </c>
      <c r="H22" s="53">
        <f>IFERROR(__xludf.DUMMYFUNCTION("""COMPUTED_VALUE"""),0.4652777777777778)</f>
        <v>0.4652777778</v>
      </c>
      <c r="I22" s="52">
        <f>IFERROR(__xludf.DUMMYFUNCTION("""COMPUTED_VALUE"""),43775.0)</f>
        <v>43775</v>
      </c>
      <c r="J22" s="53">
        <f>IFERROR(__xludf.DUMMYFUNCTION("""COMPUTED_VALUE"""),0.4791666666666667)</f>
        <v>0.4791666667</v>
      </c>
      <c r="K22" s="53">
        <f t="shared" si="1"/>
        <v>0.01388888889</v>
      </c>
      <c r="L22" s="49" t="s">
        <v>109</v>
      </c>
      <c r="M22" s="62" t="s">
        <v>401</v>
      </c>
      <c r="N22" s="75" t="str">
        <f t="shared" si="2"/>
        <v>FS_6_5_1b62a93c-63ff-48b0-a029-413e0398df72_000000_000000.mp4</v>
      </c>
      <c r="O22" s="48"/>
      <c r="P22" s="48"/>
      <c r="Q22" s="63"/>
      <c r="R22" s="49"/>
      <c r="S22" s="49"/>
      <c r="T22" s="49"/>
    </row>
    <row r="23">
      <c r="A23" s="49" t="str">
        <f>IFERROR(__xludf.DUMMYFUNCTION("""COMPUTED_VALUE"""),"The right way to blow the whistle")</f>
        <v>The right way to blow the whistle</v>
      </c>
      <c r="B23" s="49" t="str">
        <f>IFERROR(__xludf.DUMMYFUNCTION("""COMPUTED_VALUE"""),"Future Societies")</f>
        <v>Future Societies</v>
      </c>
      <c r="C23" s="51" t="str">
        <f>IFERROR(__xludf.DUMMYFUNCTION("""COMPUTED_VALUE"""),"John Tye and Ryan Broderick")</f>
        <v>John Tye and Ryan Broderick</v>
      </c>
      <c r="D23" s="49" t="str">
        <f>IFERROR(__xludf.DUMMYFUNCTION("""COMPUTED_VALUE"""),"2019/11/06 11:30:00")</f>
        <v>2019/11/06 11:30:00</v>
      </c>
      <c r="E23" s="49" t="str">
        <f>IFERROR(__xludf.DUMMYFUNCTION("""COMPUTED_VALUE"""),"2019/11/06 11:50:00")</f>
        <v>2019/11/06 11:50:00</v>
      </c>
      <c r="F23" s="49" t="str">
        <f>IFERROR(__xludf.DUMMYFUNCTION("""COMPUTED_VALUE"""),"f9a27453-a1e9-457d-a961-25a01d9b579c")</f>
        <v>f9a27453-a1e9-457d-a961-25a01d9b579c</v>
      </c>
      <c r="G23" s="52">
        <f>IFERROR(__xludf.DUMMYFUNCTION("""COMPUTED_VALUE"""),43775.0)</f>
        <v>43775</v>
      </c>
      <c r="H23" s="53">
        <f>IFERROR(__xludf.DUMMYFUNCTION("""COMPUTED_VALUE"""),0.4791666666666667)</f>
        <v>0.4791666667</v>
      </c>
      <c r="I23" s="52">
        <f>IFERROR(__xludf.DUMMYFUNCTION("""COMPUTED_VALUE"""),43775.0)</f>
        <v>43775</v>
      </c>
      <c r="J23" s="53">
        <f>IFERROR(__xludf.DUMMYFUNCTION("""COMPUTED_VALUE"""),0.4930555555555556)</f>
        <v>0.4930555556</v>
      </c>
      <c r="K23" s="53">
        <f t="shared" si="1"/>
        <v>0.01388888889</v>
      </c>
      <c r="L23" s="49" t="s">
        <v>109</v>
      </c>
      <c r="M23" s="62" t="s">
        <v>402</v>
      </c>
      <c r="N23" s="75" t="str">
        <f t="shared" si="2"/>
        <v>FS_6_6_f9a27453-a1e9-457d-a961-25a01d9b579c_000000_000000.mp4</v>
      </c>
      <c r="O23" s="48"/>
      <c r="P23" s="48"/>
      <c r="Q23" s="63"/>
      <c r="R23" s="49"/>
      <c r="S23" s="49"/>
      <c r="T23" s="49"/>
    </row>
    <row r="24">
      <c r="A24" s="49" t="str">
        <f>IFERROR(__xludf.DUMMYFUNCTION("""COMPUTED_VALUE"""),"Rebuilding trust in tech")</f>
        <v>Rebuilding trust in tech</v>
      </c>
      <c r="B24" s="49" t="str">
        <f>IFERROR(__xludf.DUMMYFUNCTION("""COMPUTED_VALUE"""),"Future Societies")</f>
        <v>Future Societies</v>
      </c>
      <c r="C24" s="51" t="str">
        <f>IFERROR(__xludf.DUMMYFUNCTION("""COMPUTED_VALUE"""),"Ro Khanna, Brad Smith and Karen Tso")</f>
        <v>Ro Khanna, Brad Smith and Karen Tso</v>
      </c>
      <c r="D24" s="49" t="str">
        <f>IFERROR(__xludf.DUMMYFUNCTION("""COMPUTED_VALUE"""),"2019/11/06 11:50:00")</f>
        <v>2019/11/06 11:50:00</v>
      </c>
      <c r="E24" s="49" t="str">
        <f>IFERROR(__xludf.DUMMYFUNCTION("""COMPUTED_VALUE"""),"2019/11/06 12:10:00")</f>
        <v>2019/11/06 12:10:00</v>
      </c>
      <c r="F24" s="49" t="str">
        <f>IFERROR(__xludf.DUMMYFUNCTION("""COMPUTED_VALUE"""),"6dfde786-edc6-48ff-a522-d3b8f15b8ae8")</f>
        <v>6dfde786-edc6-48ff-a522-d3b8f15b8ae8</v>
      </c>
      <c r="G24" s="52">
        <f>IFERROR(__xludf.DUMMYFUNCTION("""COMPUTED_VALUE"""),43775.0)</f>
        <v>43775</v>
      </c>
      <c r="H24" s="53">
        <f>IFERROR(__xludf.DUMMYFUNCTION("""COMPUTED_VALUE"""),0.4930555555555556)</f>
        <v>0.4930555556</v>
      </c>
      <c r="I24" s="52">
        <f>IFERROR(__xludf.DUMMYFUNCTION("""COMPUTED_VALUE"""),43775.0)</f>
        <v>43775</v>
      </c>
      <c r="J24" s="53">
        <f>IFERROR(__xludf.DUMMYFUNCTION("""COMPUTED_VALUE"""),0.5069444444444444)</f>
        <v>0.5069444444</v>
      </c>
      <c r="K24" s="53">
        <f t="shared" si="1"/>
        <v>0.01388888889</v>
      </c>
      <c r="L24" s="49" t="s">
        <v>109</v>
      </c>
      <c r="M24" s="62" t="s">
        <v>403</v>
      </c>
      <c r="N24" s="75" t="str">
        <f t="shared" si="2"/>
        <v>FS_6_7_6dfde786-edc6-48ff-a522-d3b8f15b8ae8_000000_000000.mp4</v>
      </c>
      <c r="O24" s="48"/>
      <c r="P24" s="48"/>
      <c r="Q24" s="63"/>
      <c r="R24" s="49"/>
      <c r="S24" s="49"/>
      <c r="T24" s="49"/>
    </row>
    <row r="25">
      <c r="A25" s="49" t="str">
        <f>IFERROR(__xludf.DUMMYFUNCTION("""COMPUTED_VALUE"""),"Political journalism in a post-truth era")</f>
        <v>Political journalism in a post-truth era</v>
      </c>
      <c r="B25" s="49" t="str">
        <f>IFERROR(__xludf.DUMMYFUNCTION("""COMPUTED_VALUE"""),"Future Societies")</f>
        <v>Future Societies</v>
      </c>
      <c r="C25" s="51" t="str">
        <f>IFERROR(__xludf.DUMMYFUNCTION("""COMPUTED_VALUE"""),"Dafna Linzer, Tim Alberta, James Ball and Steve Clemons")</f>
        <v>Dafna Linzer, Tim Alberta, James Ball and Steve Clemons</v>
      </c>
      <c r="D25" s="49" t="str">
        <f>IFERROR(__xludf.DUMMYFUNCTION("""COMPUTED_VALUE"""),"2019/11/06 12:10:00")</f>
        <v>2019/11/06 12:10:00</v>
      </c>
      <c r="E25" s="49" t="str">
        <f>IFERROR(__xludf.DUMMYFUNCTION("""COMPUTED_VALUE"""),"2019/11/06 12:30:00")</f>
        <v>2019/11/06 12:30:00</v>
      </c>
      <c r="F25" s="49" t="str">
        <f>IFERROR(__xludf.DUMMYFUNCTION("""COMPUTED_VALUE"""),"03687978-304d-4121-82e5-dca94850e527")</f>
        <v>03687978-304d-4121-82e5-dca94850e527</v>
      </c>
      <c r="G25" s="52">
        <f>IFERROR(__xludf.DUMMYFUNCTION("""COMPUTED_VALUE"""),43775.0)</f>
        <v>43775</v>
      </c>
      <c r="H25" s="53">
        <f>IFERROR(__xludf.DUMMYFUNCTION("""COMPUTED_VALUE"""),0.5069444444444444)</f>
        <v>0.5069444444</v>
      </c>
      <c r="I25" s="52">
        <f>IFERROR(__xludf.DUMMYFUNCTION("""COMPUTED_VALUE"""),43775.0)</f>
        <v>43775</v>
      </c>
      <c r="J25" s="53">
        <f>IFERROR(__xludf.DUMMYFUNCTION("""COMPUTED_VALUE"""),0.5208333333333334)</f>
        <v>0.5208333333</v>
      </c>
      <c r="K25" s="53">
        <f t="shared" si="1"/>
        <v>0.01388888889</v>
      </c>
      <c r="L25" s="49" t="s">
        <v>109</v>
      </c>
      <c r="M25" s="62" t="s">
        <v>404</v>
      </c>
      <c r="N25" s="75" t="str">
        <f t="shared" si="2"/>
        <v>FS_6_8_03687978-304d-4121-82e5-dca94850e527_000000_000000.mp4</v>
      </c>
      <c r="O25" s="48"/>
      <c r="P25" s="48"/>
      <c r="Q25" s="63"/>
      <c r="R25" s="49"/>
      <c r="S25" s="49"/>
      <c r="T25" s="49"/>
    </row>
    <row r="26">
      <c r="A26" s="49" t="str">
        <f>IFERROR(__xludf.DUMMYFUNCTION("""COMPUTED_VALUE"""),"Going digital: It's childsplay")</f>
        <v>Going digital: It's childsplay</v>
      </c>
      <c r="B26" s="49" t="str">
        <f>IFERROR(__xludf.DUMMYFUNCTION("""COMPUTED_VALUE"""),"Future Societies")</f>
        <v>Future Societies</v>
      </c>
      <c r="C26" s="51" t="str">
        <f>IFERROR(__xludf.DUMMYFUNCTION("""COMPUTED_VALUE"""),"Craig Donato and Katie Collins")</f>
        <v>Craig Donato and Katie Collins</v>
      </c>
      <c r="D26" s="49" t="str">
        <f>IFERROR(__xludf.DUMMYFUNCTION("""COMPUTED_VALUE"""),"2019/11/06 12:30:00")</f>
        <v>2019/11/06 12:30:00</v>
      </c>
      <c r="E26" s="49" t="str">
        <f>IFERROR(__xludf.DUMMYFUNCTION("""COMPUTED_VALUE"""),"2019/11/06 12:50:00")</f>
        <v>2019/11/06 12:50:00</v>
      </c>
      <c r="F26" s="49" t="str">
        <f>IFERROR(__xludf.DUMMYFUNCTION("""COMPUTED_VALUE"""),"2cae1dae-caed-44cd-90b7-9f38a5c4087b")</f>
        <v>2cae1dae-caed-44cd-90b7-9f38a5c4087b</v>
      </c>
      <c r="G26" s="52">
        <f>IFERROR(__xludf.DUMMYFUNCTION("""COMPUTED_VALUE"""),43775.0)</f>
        <v>43775</v>
      </c>
      <c r="H26" s="53">
        <f>IFERROR(__xludf.DUMMYFUNCTION("""COMPUTED_VALUE"""),0.5208333333333334)</f>
        <v>0.5208333333</v>
      </c>
      <c r="I26" s="52">
        <f>IFERROR(__xludf.DUMMYFUNCTION("""COMPUTED_VALUE"""),43775.0)</f>
        <v>43775</v>
      </c>
      <c r="J26" s="53">
        <f>IFERROR(__xludf.DUMMYFUNCTION("""COMPUTED_VALUE"""),0.5347222222222222)</f>
        <v>0.5347222222</v>
      </c>
      <c r="K26" s="53">
        <f t="shared" si="1"/>
        <v>0.01388888889</v>
      </c>
      <c r="L26" s="49" t="s">
        <v>109</v>
      </c>
      <c r="M26" s="62" t="s">
        <v>405</v>
      </c>
      <c r="N26" s="75" t="str">
        <f t="shared" si="2"/>
        <v>FS_6_9_2cae1dae-caed-44cd-90b7-9f38a5c4087b_000000_000000.mp4</v>
      </c>
      <c r="O26" s="48"/>
      <c r="P26" s="48"/>
      <c r="Q26" s="63"/>
      <c r="R26" s="49"/>
      <c r="S26" s="49"/>
      <c r="T26" s="49"/>
    </row>
    <row r="27">
      <c r="A27" s="49" t="str">
        <f>IFERROR(__xludf.DUMMYFUNCTION("""COMPUTED_VALUE"""),"Lunch break")</f>
        <v>Lunch break</v>
      </c>
      <c r="B27" s="49" t="str">
        <f>IFERROR(__xludf.DUMMYFUNCTION("""COMPUTED_VALUE"""),"Future Societies")</f>
        <v>Future Societies</v>
      </c>
      <c r="C27" s="51" t="str">
        <f>IFERROR(__xludf.DUMMYFUNCTION("""COMPUTED_VALUE"""),"")</f>
        <v/>
      </c>
      <c r="D27" s="49" t="str">
        <f>IFERROR(__xludf.DUMMYFUNCTION("""COMPUTED_VALUE"""),"2019/11/06 12:50:00")</f>
        <v>2019/11/06 12:50:00</v>
      </c>
      <c r="E27" s="49" t="str">
        <f>IFERROR(__xludf.DUMMYFUNCTION("""COMPUTED_VALUE"""),"2019/11/06 13:25:00")</f>
        <v>2019/11/06 13:25:00</v>
      </c>
      <c r="F27" s="49" t="str">
        <f>IFERROR(__xludf.DUMMYFUNCTION("""COMPUTED_VALUE"""),"468ffbce-ee73-433d-bb5f-5373baa2cfc3")</f>
        <v>468ffbce-ee73-433d-bb5f-5373baa2cfc3</v>
      </c>
      <c r="G27" s="52">
        <f>IFERROR(__xludf.DUMMYFUNCTION("""COMPUTED_VALUE"""),43775.0)</f>
        <v>43775</v>
      </c>
      <c r="H27" s="53">
        <f>IFERROR(__xludf.DUMMYFUNCTION("""COMPUTED_VALUE"""),0.5347222222222222)</f>
        <v>0.5347222222</v>
      </c>
      <c r="I27" s="52">
        <f>IFERROR(__xludf.DUMMYFUNCTION("""COMPUTED_VALUE"""),43775.0)</f>
        <v>43775</v>
      </c>
      <c r="J27" s="53">
        <f>IFERROR(__xludf.DUMMYFUNCTION("""COMPUTED_VALUE"""),0.5590277777777778)</f>
        <v>0.5590277778</v>
      </c>
      <c r="K27" s="53">
        <f t="shared" si="1"/>
        <v>0.02430555556</v>
      </c>
      <c r="L27" s="49" t="s">
        <v>158</v>
      </c>
      <c r="M27" s="49"/>
      <c r="N27" s="75" t="str">
        <f t="shared" si="2"/>
        <v>_468ffbce-ee73-433d-bb5f-5373baa2cfc3_000000_000000.mp4</v>
      </c>
      <c r="O27" s="48"/>
      <c r="P27" s="48"/>
      <c r="Q27" s="63"/>
      <c r="R27" s="49"/>
      <c r="S27" s="49"/>
      <c r="T27" s="49"/>
    </row>
    <row r="28">
      <c r="A28" s="49" t="str">
        <f>IFERROR(__xludf.DUMMYFUNCTION("""COMPUTED_VALUE"""),"Opening remarks")</f>
        <v>Opening remarks</v>
      </c>
      <c r="B28" s="49" t="str">
        <f>IFERROR(__xludf.DUMMYFUNCTION("""COMPUTED_VALUE"""),"Future Societies")</f>
        <v>Future Societies</v>
      </c>
      <c r="C28" s="51" t="str">
        <f>IFERROR(__xludf.DUMMYFUNCTION("""COMPUTED_VALUE"""),"Chris Yiu")</f>
        <v>Chris Yiu</v>
      </c>
      <c r="D28" s="49" t="str">
        <f>IFERROR(__xludf.DUMMYFUNCTION("""COMPUTED_VALUE"""),"2019/11/06 13:25:00")</f>
        <v>2019/11/06 13:25:00</v>
      </c>
      <c r="E28" s="49" t="str">
        <f>IFERROR(__xludf.DUMMYFUNCTION("""COMPUTED_VALUE"""),"2019/11/06 13:35:00")</f>
        <v>2019/11/06 13:35:00</v>
      </c>
      <c r="F28" s="49" t="str">
        <f>IFERROR(__xludf.DUMMYFUNCTION("""COMPUTED_VALUE"""),"0219bff6-577b-4392-9faa-63a93b2a024b")</f>
        <v>0219bff6-577b-4392-9faa-63a93b2a024b</v>
      </c>
      <c r="G28" s="52">
        <f>IFERROR(__xludf.DUMMYFUNCTION("""COMPUTED_VALUE"""),43775.0)</f>
        <v>43775</v>
      </c>
      <c r="H28" s="53">
        <f>IFERROR(__xludf.DUMMYFUNCTION("""COMPUTED_VALUE"""),0.5590277777777778)</f>
        <v>0.5590277778</v>
      </c>
      <c r="I28" s="52">
        <f>IFERROR(__xludf.DUMMYFUNCTION("""COMPUTED_VALUE"""),43775.0)</f>
        <v>43775</v>
      </c>
      <c r="J28" s="53">
        <f>IFERROR(__xludf.DUMMYFUNCTION("""COMPUTED_VALUE"""),0.5659722222222222)</f>
        <v>0.5659722222</v>
      </c>
      <c r="K28" s="53">
        <f t="shared" si="1"/>
        <v>0.006944444444</v>
      </c>
      <c r="L28" s="49" t="s">
        <v>122</v>
      </c>
      <c r="M28" s="62" t="s">
        <v>406</v>
      </c>
      <c r="N28" s="75" t="str">
        <f t="shared" si="2"/>
        <v>FS_6_10_0219bff6-577b-4392-9faa-63a93b2a024b_000000_000000.mp4</v>
      </c>
      <c r="O28" s="48"/>
      <c r="P28" s="48"/>
      <c r="Q28" s="63"/>
      <c r="R28" s="49"/>
      <c r="S28" s="49"/>
      <c r="T28" s="49"/>
    </row>
    <row r="29">
      <c r="A29" s="49" t="str">
        <f>IFERROR(__xludf.DUMMYFUNCTION("""COMPUTED_VALUE"""),"Conscious design: making wellbeing the default")</f>
        <v>Conscious design: making wellbeing the default</v>
      </c>
      <c r="B29" s="49" t="str">
        <f>IFERROR(__xludf.DUMMYFUNCTION("""COMPUTED_VALUE"""),"Future Societies")</f>
        <v>Future Societies</v>
      </c>
      <c r="C29" s="51" t="str">
        <f>IFERROR(__xludf.DUMMYFUNCTION("""COMPUTED_VALUE"""),"Maggie Stanphill and Jeremy Wilks")</f>
        <v>Maggie Stanphill and Jeremy Wilks</v>
      </c>
      <c r="D29" s="49" t="str">
        <f>IFERROR(__xludf.DUMMYFUNCTION("""COMPUTED_VALUE"""),"2019/11/06 13:35:00")</f>
        <v>2019/11/06 13:35:00</v>
      </c>
      <c r="E29" s="49" t="str">
        <f>IFERROR(__xludf.DUMMYFUNCTION("""COMPUTED_VALUE"""),"2019/11/06 13:55:00")</f>
        <v>2019/11/06 13:55:00</v>
      </c>
      <c r="F29" s="49" t="str">
        <f>IFERROR(__xludf.DUMMYFUNCTION("""COMPUTED_VALUE"""),"f953328c-b802-4b28-95ba-8ce1d81ab7f6")</f>
        <v>f953328c-b802-4b28-95ba-8ce1d81ab7f6</v>
      </c>
      <c r="G29" s="52">
        <f>IFERROR(__xludf.DUMMYFUNCTION("""COMPUTED_VALUE"""),43775.0)</f>
        <v>43775</v>
      </c>
      <c r="H29" s="53">
        <f>IFERROR(__xludf.DUMMYFUNCTION("""COMPUTED_VALUE"""),0.5659722222222222)</f>
        <v>0.5659722222</v>
      </c>
      <c r="I29" s="52">
        <f>IFERROR(__xludf.DUMMYFUNCTION("""COMPUTED_VALUE"""),43775.0)</f>
        <v>43775</v>
      </c>
      <c r="J29" s="53">
        <f>IFERROR(__xludf.DUMMYFUNCTION("""COMPUTED_VALUE"""),0.5798611111111112)</f>
        <v>0.5798611111</v>
      </c>
      <c r="K29" s="53">
        <f t="shared" si="1"/>
        <v>0.01388888889</v>
      </c>
      <c r="L29" s="49" t="s">
        <v>109</v>
      </c>
      <c r="M29" s="62" t="s">
        <v>407</v>
      </c>
      <c r="N29" s="75" t="str">
        <f t="shared" si="2"/>
        <v>FS_6_11_f953328c-b802-4b28-95ba-8ce1d81ab7f6_000000_000000.mp4</v>
      </c>
      <c r="O29" s="48"/>
      <c r="P29" s="48"/>
      <c r="Q29" s="63"/>
      <c r="R29" s="49"/>
      <c r="S29" s="49"/>
      <c r="T29" s="49"/>
    </row>
    <row r="30">
      <c r="A30" s="49" t="str">
        <f>IFERROR(__xludf.DUMMYFUNCTION("""COMPUTED_VALUE"""),"Digital values: The European approach to promote prosperity")</f>
        <v>Digital values: The European approach to promote prosperity</v>
      </c>
      <c r="B30" s="49" t="str">
        <f>IFERROR(__xludf.DUMMYFUNCTION("""COMPUTED_VALUE"""),"Future Societies")</f>
        <v>Future Societies</v>
      </c>
      <c r="C30" s="51" t="str">
        <f>IFERROR(__xludf.DUMMYFUNCTION("""COMPUTED_VALUE"""),"Dorothee Bär, George Papandreou and Hadas Gold")</f>
        <v>Dorothee Bär, George Papandreou and Hadas Gold</v>
      </c>
      <c r="D30" s="49" t="str">
        <f>IFERROR(__xludf.DUMMYFUNCTION("""COMPUTED_VALUE"""),"2019/11/06 13:55:00")</f>
        <v>2019/11/06 13:55:00</v>
      </c>
      <c r="E30" s="49" t="str">
        <f>IFERROR(__xludf.DUMMYFUNCTION("""COMPUTED_VALUE"""),"2019/11/06 14:15:00")</f>
        <v>2019/11/06 14:15:00</v>
      </c>
      <c r="F30" s="49" t="str">
        <f>IFERROR(__xludf.DUMMYFUNCTION("""COMPUTED_VALUE"""),"8dc45218-8b4a-43c8-9e70-87f83930f8f8")</f>
        <v>8dc45218-8b4a-43c8-9e70-87f83930f8f8</v>
      </c>
      <c r="G30" s="52">
        <f>IFERROR(__xludf.DUMMYFUNCTION("""COMPUTED_VALUE"""),43775.0)</f>
        <v>43775</v>
      </c>
      <c r="H30" s="53">
        <f>IFERROR(__xludf.DUMMYFUNCTION("""COMPUTED_VALUE"""),0.5798611111111112)</f>
        <v>0.5798611111</v>
      </c>
      <c r="I30" s="52">
        <f>IFERROR(__xludf.DUMMYFUNCTION("""COMPUTED_VALUE"""),43775.0)</f>
        <v>43775</v>
      </c>
      <c r="J30" s="53">
        <f>IFERROR(__xludf.DUMMYFUNCTION("""COMPUTED_VALUE"""),0.59375)</f>
        <v>0.59375</v>
      </c>
      <c r="K30" s="53">
        <f t="shared" si="1"/>
        <v>0.01388888889</v>
      </c>
      <c r="L30" s="49" t="s">
        <v>109</v>
      </c>
      <c r="M30" s="62" t="s">
        <v>408</v>
      </c>
      <c r="N30" s="75" t="str">
        <f t="shared" si="2"/>
        <v>FS_6_12_8dc45218-8b4a-43c8-9e70-87f83930f8f8_000000_000000.mp4</v>
      </c>
      <c r="O30" s="48"/>
      <c r="P30" s="48"/>
      <c r="Q30" s="63"/>
      <c r="R30" s="49"/>
      <c r="S30" s="49"/>
      <c r="T30" s="49"/>
    </row>
    <row r="31">
      <c r="A31" s="49" t="str">
        <f>IFERROR(__xludf.DUMMYFUNCTION("""COMPUTED_VALUE"""),"How to spend money and save people")</f>
        <v>How to spend money and save people</v>
      </c>
      <c r="B31" s="49" t="str">
        <f>IFERROR(__xludf.DUMMYFUNCTION("""COMPUTED_VALUE"""),"Future Societies")</f>
        <v>Future Societies</v>
      </c>
      <c r="C31" s="51" t="str">
        <f>IFERROR(__xludf.DUMMYFUNCTION("""COMPUTED_VALUE"""),"Natalie Cargill, Liv Boeree, Danielle Gram and Joon Ian Wong")</f>
        <v>Natalie Cargill, Liv Boeree, Danielle Gram and Joon Ian Wong</v>
      </c>
      <c r="D31" s="49" t="str">
        <f>IFERROR(__xludf.DUMMYFUNCTION("""COMPUTED_VALUE"""),"2019/11/06 14:15:00")</f>
        <v>2019/11/06 14:15:00</v>
      </c>
      <c r="E31" s="49" t="str">
        <f>IFERROR(__xludf.DUMMYFUNCTION("""COMPUTED_VALUE"""),"2019/11/06 14:35:00")</f>
        <v>2019/11/06 14:35:00</v>
      </c>
      <c r="F31" s="49" t="str">
        <f>IFERROR(__xludf.DUMMYFUNCTION("""COMPUTED_VALUE"""),"1aadbb27-922d-4b4a-87b9-ae65a8abc066")</f>
        <v>1aadbb27-922d-4b4a-87b9-ae65a8abc066</v>
      </c>
      <c r="G31" s="52">
        <f>IFERROR(__xludf.DUMMYFUNCTION("""COMPUTED_VALUE"""),43775.0)</f>
        <v>43775</v>
      </c>
      <c r="H31" s="53">
        <f>IFERROR(__xludf.DUMMYFUNCTION("""COMPUTED_VALUE"""),0.59375)</f>
        <v>0.59375</v>
      </c>
      <c r="I31" s="52">
        <f>IFERROR(__xludf.DUMMYFUNCTION("""COMPUTED_VALUE"""),43775.0)</f>
        <v>43775</v>
      </c>
      <c r="J31" s="53">
        <f>IFERROR(__xludf.DUMMYFUNCTION("""COMPUTED_VALUE"""),0.6076388888888888)</f>
        <v>0.6076388889</v>
      </c>
      <c r="K31" s="53">
        <f t="shared" si="1"/>
        <v>0.01388888889</v>
      </c>
      <c r="L31" s="49" t="s">
        <v>109</v>
      </c>
      <c r="M31" s="62" t="s">
        <v>409</v>
      </c>
      <c r="N31" s="75" t="str">
        <f t="shared" si="2"/>
        <v>FS_6_13_1aadbb27-922d-4b4a-87b9-ae65a8abc066_000000_000000.mp4</v>
      </c>
      <c r="O31" s="48"/>
      <c r="P31" s="48"/>
      <c r="Q31" s="63"/>
      <c r="R31" s="49"/>
      <c r="S31" s="49"/>
      <c r="T31" s="49"/>
    </row>
    <row r="32">
      <c r="A32" s="49" t="str">
        <f>IFERROR(__xludf.DUMMYFUNCTION("""COMPUTED_VALUE"""),"What next for democracy?")</f>
        <v>What next for democracy?</v>
      </c>
      <c r="B32" s="49" t="str">
        <f>IFERROR(__xludf.DUMMYFUNCTION("""COMPUTED_VALUE"""),"Future Societies")</f>
        <v>Future Societies</v>
      </c>
      <c r="C32" s="51" t="str">
        <f>IFERROR(__xludf.DUMMYFUNCTION("""COMPUTED_VALUE"""),"Mamuka Bakhtadze, George Arison, Joe Pounder and Joseph Menn")</f>
        <v>Mamuka Bakhtadze, George Arison, Joe Pounder and Joseph Menn</v>
      </c>
      <c r="D32" s="49" t="str">
        <f>IFERROR(__xludf.DUMMYFUNCTION("""COMPUTED_VALUE"""),"2019/11/06 14:35:00")</f>
        <v>2019/11/06 14:35:00</v>
      </c>
      <c r="E32" s="49" t="str">
        <f>IFERROR(__xludf.DUMMYFUNCTION("""COMPUTED_VALUE"""),"2019/11/06 14:55:00")</f>
        <v>2019/11/06 14:55:00</v>
      </c>
      <c r="F32" s="49" t="str">
        <f>IFERROR(__xludf.DUMMYFUNCTION("""COMPUTED_VALUE"""),"3958cdb2-e15c-4ab1-b618-5da933127751")</f>
        <v>3958cdb2-e15c-4ab1-b618-5da933127751</v>
      </c>
      <c r="G32" s="52">
        <f>IFERROR(__xludf.DUMMYFUNCTION("""COMPUTED_VALUE"""),43775.0)</f>
        <v>43775</v>
      </c>
      <c r="H32" s="53">
        <f>IFERROR(__xludf.DUMMYFUNCTION("""COMPUTED_VALUE"""),0.6076388888888888)</f>
        <v>0.6076388889</v>
      </c>
      <c r="I32" s="52">
        <f>IFERROR(__xludf.DUMMYFUNCTION("""COMPUTED_VALUE"""),43775.0)</f>
        <v>43775</v>
      </c>
      <c r="J32" s="53">
        <f>IFERROR(__xludf.DUMMYFUNCTION("""COMPUTED_VALUE"""),0.6215277777777778)</f>
        <v>0.6215277778</v>
      </c>
      <c r="K32" s="53">
        <f t="shared" si="1"/>
        <v>0.01388888889</v>
      </c>
      <c r="L32" s="49" t="s">
        <v>109</v>
      </c>
      <c r="M32" s="62" t="s">
        <v>410</v>
      </c>
      <c r="N32" s="75" t="str">
        <f t="shared" si="2"/>
        <v>FS_6_14_3958cdb2-e15c-4ab1-b618-5da933127751_000000_000000.mp4</v>
      </c>
      <c r="O32" s="48"/>
      <c r="P32" s="48"/>
      <c r="Q32" s="63"/>
      <c r="R32" s="49"/>
      <c r="S32" s="49"/>
      <c r="T32" s="49"/>
    </row>
    <row r="33">
      <c r="A33" s="49" t="str">
        <f>IFERROR(__xludf.DUMMYFUNCTION("""COMPUTED_VALUE"""),"Let's talk about tax, baby")</f>
        <v>Let's talk about tax, baby</v>
      </c>
      <c r="B33" s="49" t="str">
        <f>IFERROR(__xludf.DUMMYFUNCTION("""COMPUTED_VALUE"""),"Future Societies")</f>
        <v>Future Societies</v>
      </c>
      <c r="C33" s="51" t="str">
        <f>IFERROR(__xludf.DUMMYFUNCTION("""COMPUTED_VALUE"""),"Niels Johannesen and Alex Deane")</f>
        <v>Niels Johannesen and Alex Deane</v>
      </c>
      <c r="D33" s="49" t="str">
        <f>IFERROR(__xludf.DUMMYFUNCTION("""COMPUTED_VALUE"""),"2019/11/06 14:55:00")</f>
        <v>2019/11/06 14:55:00</v>
      </c>
      <c r="E33" s="49" t="str">
        <f>IFERROR(__xludf.DUMMYFUNCTION("""COMPUTED_VALUE"""),"2019/11/06 15:15:00")</f>
        <v>2019/11/06 15:15:00</v>
      </c>
      <c r="F33" s="49" t="str">
        <f>IFERROR(__xludf.DUMMYFUNCTION("""COMPUTED_VALUE"""),"8e73389d-c94e-40ce-8734-9db98d6c116f")</f>
        <v>8e73389d-c94e-40ce-8734-9db98d6c116f</v>
      </c>
      <c r="G33" s="52">
        <f>IFERROR(__xludf.DUMMYFUNCTION("""COMPUTED_VALUE"""),43775.0)</f>
        <v>43775</v>
      </c>
      <c r="H33" s="53">
        <f>IFERROR(__xludf.DUMMYFUNCTION("""COMPUTED_VALUE"""),0.6215277777777778)</f>
        <v>0.6215277778</v>
      </c>
      <c r="I33" s="52">
        <f>IFERROR(__xludf.DUMMYFUNCTION("""COMPUTED_VALUE"""),43775.0)</f>
        <v>43775</v>
      </c>
      <c r="J33" s="53">
        <f>IFERROR(__xludf.DUMMYFUNCTION("""COMPUTED_VALUE"""),0.6354166666666666)</f>
        <v>0.6354166667</v>
      </c>
      <c r="K33" s="53">
        <f t="shared" si="1"/>
        <v>0.01388888889</v>
      </c>
      <c r="L33" s="49" t="s">
        <v>109</v>
      </c>
      <c r="M33" s="62" t="s">
        <v>411</v>
      </c>
      <c r="N33" s="75" t="str">
        <f t="shared" si="2"/>
        <v>FS_6_15_8e73389d-c94e-40ce-8734-9db98d6c116f_000000_000000.mp4</v>
      </c>
      <c r="O33" s="48"/>
      <c r="P33" s="48"/>
      <c r="Q33" s="63"/>
      <c r="R33" s="49"/>
      <c r="S33" s="49"/>
      <c r="T33" s="49"/>
    </row>
    <row r="34">
      <c r="A34" s="49" t="str">
        <f>IFERROR(__xludf.DUMMYFUNCTION("""COMPUTED_VALUE"""),"What's next for the open web?")</f>
        <v>What's next for the open web?</v>
      </c>
      <c r="B34" s="49" t="str">
        <f>IFERROR(__xludf.DUMMYFUNCTION("""COMPUTED_VALUE"""),"Future Societies")</f>
        <v>Future Societies</v>
      </c>
      <c r="C34" s="51" t="str">
        <f>IFERROR(__xludf.DUMMYFUNCTION("""COMPUTED_VALUE"""),"Rafael Laguna, Katharina Borchert and Donie O'Sullivan")</f>
        <v>Rafael Laguna, Katharina Borchert and Donie O'Sullivan</v>
      </c>
      <c r="D34" s="49" t="str">
        <f>IFERROR(__xludf.DUMMYFUNCTION("""COMPUTED_VALUE"""),"2019/11/06 15:15:00")</f>
        <v>2019/11/06 15:15:00</v>
      </c>
      <c r="E34" s="49" t="str">
        <f>IFERROR(__xludf.DUMMYFUNCTION("""COMPUTED_VALUE"""),"2019/11/06 15:35:00")</f>
        <v>2019/11/06 15:35:00</v>
      </c>
      <c r="F34" s="49" t="str">
        <f>IFERROR(__xludf.DUMMYFUNCTION("""COMPUTED_VALUE"""),"8f7f2451-fb86-4d31-89d6-9b600a8d5941")</f>
        <v>8f7f2451-fb86-4d31-89d6-9b600a8d5941</v>
      </c>
      <c r="G34" s="52">
        <f>IFERROR(__xludf.DUMMYFUNCTION("""COMPUTED_VALUE"""),43775.0)</f>
        <v>43775</v>
      </c>
      <c r="H34" s="53">
        <f>IFERROR(__xludf.DUMMYFUNCTION("""COMPUTED_VALUE"""),0.6354166666666666)</f>
        <v>0.6354166667</v>
      </c>
      <c r="I34" s="52">
        <f>IFERROR(__xludf.DUMMYFUNCTION("""COMPUTED_VALUE"""),43775.0)</f>
        <v>43775</v>
      </c>
      <c r="J34" s="53">
        <f>IFERROR(__xludf.DUMMYFUNCTION("""COMPUTED_VALUE"""),0.6493055555555556)</f>
        <v>0.6493055556</v>
      </c>
      <c r="K34" s="53">
        <f t="shared" si="1"/>
        <v>0.01388888889</v>
      </c>
      <c r="L34" s="49" t="s">
        <v>109</v>
      </c>
      <c r="M34" s="62" t="s">
        <v>412</v>
      </c>
      <c r="N34" s="75" t="str">
        <f t="shared" si="2"/>
        <v>FS_6_16_8f7f2451-fb86-4d31-89d6-9b600a8d5941_000000_000000.mp4</v>
      </c>
      <c r="O34" s="48"/>
      <c r="P34" s="48"/>
      <c r="Q34" s="63"/>
      <c r="R34" s="49"/>
      <c r="S34" s="49"/>
      <c r="T34" s="49"/>
    </row>
    <row r="35">
      <c r="A35" s="49" t="str">
        <f>IFERROR(__xludf.DUMMYFUNCTION("""COMPUTED_VALUE"""),"Patenting the future: The next big invention")</f>
        <v>Patenting the future: The next big invention</v>
      </c>
      <c r="B35" s="49" t="str">
        <f>IFERROR(__xludf.DUMMYFUNCTION("""COMPUTED_VALUE"""),"Future Societies")</f>
        <v>Future Societies</v>
      </c>
      <c r="C35" s="51" t="str">
        <f>IFERROR(__xludf.DUMMYFUNCTION("""COMPUTED_VALUE"""),"António Campinos, Kaigham Gabriel, Carmela Troncoso and Marcel Rosenbach")</f>
        <v>António Campinos, Kaigham Gabriel, Carmela Troncoso and Marcel Rosenbach</v>
      </c>
      <c r="D35" s="49" t="str">
        <f>IFERROR(__xludf.DUMMYFUNCTION("""COMPUTED_VALUE"""),"2019/11/06 15:35:00")</f>
        <v>2019/11/06 15:35:00</v>
      </c>
      <c r="E35" s="49" t="str">
        <f>IFERROR(__xludf.DUMMYFUNCTION("""COMPUTED_VALUE"""),"2019/11/06 15:55:00")</f>
        <v>2019/11/06 15:55:00</v>
      </c>
      <c r="F35" s="49" t="str">
        <f>IFERROR(__xludf.DUMMYFUNCTION("""COMPUTED_VALUE"""),"85facd9a-36f2-4b32-99d3-c78ef52d6680")</f>
        <v>85facd9a-36f2-4b32-99d3-c78ef52d6680</v>
      </c>
      <c r="G35" s="52">
        <f>IFERROR(__xludf.DUMMYFUNCTION("""COMPUTED_VALUE"""),43775.0)</f>
        <v>43775</v>
      </c>
      <c r="H35" s="53">
        <f>IFERROR(__xludf.DUMMYFUNCTION("""COMPUTED_VALUE"""),0.6493055555555556)</f>
        <v>0.6493055556</v>
      </c>
      <c r="I35" s="52">
        <f>IFERROR(__xludf.DUMMYFUNCTION("""COMPUTED_VALUE"""),43775.0)</f>
        <v>43775</v>
      </c>
      <c r="J35" s="53">
        <f>IFERROR(__xludf.DUMMYFUNCTION("""COMPUTED_VALUE"""),0.6631944444444444)</f>
        <v>0.6631944444</v>
      </c>
      <c r="K35" s="53">
        <f t="shared" si="1"/>
        <v>0.01388888889</v>
      </c>
      <c r="L35" s="49" t="s">
        <v>109</v>
      </c>
      <c r="M35" s="62" t="s">
        <v>413</v>
      </c>
      <c r="N35" s="75" t="str">
        <f t="shared" si="2"/>
        <v>FS_6_17_85facd9a-36f2-4b32-99d3-c78ef52d6680_000000_000000.mp4</v>
      </c>
      <c r="O35" s="48"/>
      <c r="P35" s="48"/>
      <c r="Q35" s="63"/>
      <c r="R35" s="49"/>
      <c r="S35" s="49"/>
      <c r="T35" s="49"/>
    </row>
    <row r="36">
      <c r="A36" s="49" t="str">
        <f>IFERROR(__xludf.DUMMYFUNCTION("""COMPUTED_VALUE"""),"How to build a truly global movement")</f>
        <v>How to build a truly global movement</v>
      </c>
      <c r="B36" s="49" t="str">
        <f>IFERROR(__xludf.DUMMYFUNCTION("""COMPUTED_VALUE"""),"Future Societies")</f>
        <v>Future Societies</v>
      </c>
      <c r="C36" s="51" t="str">
        <f>IFERROR(__xludf.DUMMYFUNCTION("""COMPUTED_VALUE"""),"Katherine Maher, Ahmad Alhendawi and Ryan Broderick")</f>
        <v>Katherine Maher, Ahmad Alhendawi and Ryan Broderick</v>
      </c>
      <c r="D36" s="49" t="str">
        <f>IFERROR(__xludf.DUMMYFUNCTION("""COMPUTED_VALUE"""),"2019/11/06 15:55:00")</f>
        <v>2019/11/06 15:55:00</v>
      </c>
      <c r="E36" s="49" t="str">
        <f>IFERROR(__xludf.DUMMYFUNCTION("""COMPUTED_VALUE"""),"2019/11/06 16:15:00")</f>
        <v>2019/11/06 16:15:00</v>
      </c>
      <c r="F36" s="49" t="str">
        <f>IFERROR(__xludf.DUMMYFUNCTION("""COMPUTED_VALUE"""),"6b741b2b-9b22-4ec9-9efa-a69050d2b3d5")</f>
        <v>6b741b2b-9b22-4ec9-9efa-a69050d2b3d5</v>
      </c>
      <c r="G36" s="52">
        <f>IFERROR(__xludf.DUMMYFUNCTION("""COMPUTED_VALUE"""),43775.0)</f>
        <v>43775</v>
      </c>
      <c r="H36" s="53">
        <f>IFERROR(__xludf.DUMMYFUNCTION("""COMPUTED_VALUE"""),0.6631944444444444)</f>
        <v>0.6631944444</v>
      </c>
      <c r="I36" s="52">
        <f>IFERROR(__xludf.DUMMYFUNCTION("""COMPUTED_VALUE"""),43775.0)</f>
        <v>43775</v>
      </c>
      <c r="J36" s="53">
        <f>IFERROR(__xludf.DUMMYFUNCTION("""COMPUTED_VALUE"""),0.6770833333333334)</f>
        <v>0.6770833333</v>
      </c>
      <c r="K36" s="53">
        <f t="shared" si="1"/>
        <v>0.01388888889</v>
      </c>
      <c r="L36" s="49" t="s">
        <v>109</v>
      </c>
      <c r="M36" s="62" t="s">
        <v>414</v>
      </c>
      <c r="N36" s="75" t="str">
        <f t="shared" si="2"/>
        <v>FS_6_18_6b741b2b-9b22-4ec9-9efa-a69050d2b3d5_000000_000000.mp4</v>
      </c>
      <c r="O36" s="48"/>
      <c r="P36" s="48"/>
      <c r="Q36" s="63"/>
      <c r="R36" s="49"/>
      <c r="S36" s="49"/>
      <c r="T36" s="49"/>
    </row>
    <row r="37">
      <c r="A37" s="49" t="str">
        <f>IFERROR(__xludf.DUMMYFUNCTION("""COMPUTED_VALUE"""),"Opening remarks")</f>
        <v>Opening remarks</v>
      </c>
      <c r="B37" s="49" t="str">
        <f>IFERROR(__xludf.DUMMYFUNCTION("""COMPUTED_VALUE"""),"Future Societies")</f>
        <v>Future Societies</v>
      </c>
      <c r="C37" s="51" t="str">
        <f>IFERROR(__xludf.DUMMYFUNCTION("""COMPUTED_VALUE"""),"Andrew Chakhoyan")</f>
        <v>Andrew Chakhoyan</v>
      </c>
      <c r="D37" s="49" t="str">
        <f>IFERROR(__xludf.DUMMYFUNCTION("""COMPUTED_VALUE"""),"2019/11/07 10:15:00")</f>
        <v>2019/11/07 10:15:00</v>
      </c>
      <c r="E37" s="49" t="str">
        <f>IFERROR(__xludf.DUMMYFUNCTION("""COMPUTED_VALUE"""),"2019/11/07 10:30:00")</f>
        <v>2019/11/07 10:30:00</v>
      </c>
      <c r="F37" s="49" t="str">
        <f>IFERROR(__xludf.DUMMYFUNCTION("""COMPUTED_VALUE"""),"d2baa87c-23eb-4849-8534-ee749c8e0952")</f>
        <v>d2baa87c-23eb-4849-8534-ee749c8e0952</v>
      </c>
      <c r="G37" s="52">
        <f>IFERROR(__xludf.DUMMYFUNCTION("""COMPUTED_VALUE"""),43776.0)</f>
        <v>43776</v>
      </c>
      <c r="H37" s="53">
        <f>IFERROR(__xludf.DUMMYFUNCTION("""COMPUTED_VALUE"""),0.4270833333333333)</f>
        <v>0.4270833333</v>
      </c>
      <c r="I37" s="52">
        <f>IFERROR(__xludf.DUMMYFUNCTION("""COMPUTED_VALUE"""),43776.0)</f>
        <v>43776</v>
      </c>
      <c r="J37" s="53">
        <f>IFERROR(__xludf.DUMMYFUNCTION("""COMPUTED_VALUE"""),0.4375)</f>
        <v>0.4375</v>
      </c>
      <c r="K37" s="53">
        <f t="shared" si="1"/>
        <v>0.01041666667</v>
      </c>
      <c r="L37" s="49" t="s">
        <v>118</v>
      </c>
      <c r="M37" s="62" t="s">
        <v>415</v>
      </c>
      <c r="N37" s="75" t="str">
        <f t="shared" si="2"/>
        <v>FS_7_1_d2baa87c-23eb-4849-8534-ee749c8e0952_000000_000000.mp4</v>
      </c>
      <c r="O37" s="48"/>
      <c r="P37" s="48"/>
      <c r="Q37" s="63"/>
      <c r="R37" s="49"/>
      <c r="S37" s="49"/>
      <c r="T37" s="49"/>
    </row>
    <row r="38">
      <c r="A38" s="49" t="str">
        <f>IFERROR(__xludf.DUMMYFUNCTION("""COMPUTED_VALUE"""),"Ending corruption by exposing the truth")</f>
        <v>Ending corruption by exposing the truth</v>
      </c>
      <c r="B38" s="49" t="str">
        <f>IFERROR(__xludf.DUMMYFUNCTION("""COMPUTED_VALUE"""),"Future Societies")</f>
        <v>Future Societies</v>
      </c>
      <c r="C38" s="51" t="str">
        <f>IFERROR(__xludf.DUMMYFUNCTION("""COMPUTED_VALUE"""),"Juan Branco and Ryan Broderick")</f>
        <v>Juan Branco and Ryan Broderick</v>
      </c>
      <c r="D38" s="49" t="str">
        <f>IFERROR(__xludf.DUMMYFUNCTION("""COMPUTED_VALUE"""),"2019/11/07 10:30:00")</f>
        <v>2019/11/07 10:30:00</v>
      </c>
      <c r="E38" s="49" t="str">
        <f>IFERROR(__xludf.DUMMYFUNCTION("""COMPUTED_VALUE"""),"2019/11/07 10:50:00")</f>
        <v>2019/11/07 10:50:00</v>
      </c>
      <c r="F38" s="49" t="str">
        <f>IFERROR(__xludf.DUMMYFUNCTION("""COMPUTED_VALUE"""),"96f8e7fb-488e-4068-a7ea-0bae14301daa")</f>
        <v>96f8e7fb-488e-4068-a7ea-0bae14301daa</v>
      </c>
      <c r="G38" s="52">
        <f>IFERROR(__xludf.DUMMYFUNCTION("""COMPUTED_VALUE"""),43776.0)</f>
        <v>43776</v>
      </c>
      <c r="H38" s="53">
        <f>IFERROR(__xludf.DUMMYFUNCTION("""COMPUTED_VALUE"""),0.4375)</f>
        <v>0.4375</v>
      </c>
      <c r="I38" s="52">
        <f>IFERROR(__xludf.DUMMYFUNCTION("""COMPUTED_VALUE"""),43776.0)</f>
        <v>43776</v>
      </c>
      <c r="J38" s="53">
        <f>IFERROR(__xludf.DUMMYFUNCTION("""COMPUTED_VALUE"""),0.4513888888888889)</f>
        <v>0.4513888889</v>
      </c>
      <c r="K38" s="53">
        <f t="shared" si="1"/>
        <v>0.01388888889</v>
      </c>
      <c r="L38" s="49" t="s">
        <v>109</v>
      </c>
      <c r="M38" s="62" t="s">
        <v>416</v>
      </c>
      <c r="N38" s="75" t="str">
        <f t="shared" si="2"/>
        <v>FS_7_2_96f8e7fb-488e-4068-a7ea-0bae14301daa_000000_000000.mp4</v>
      </c>
      <c r="O38" s="48"/>
      <c r="P38" s="48"/>
      <c r="Q38" s="63"/>
      <c r="R38" s="49"/>
      <c r="S38" s="49"/>
      <c r="T38" s="49"/>
    </row>
    <row r="39">
      <c r="A39" s="49" t="str">
        <f>IFERROR(__xludf.DUMMYFUNCTION("""COMPUTED_VALUE"""),"Financing the future of philanthropy")</f>
        <v>Financing the future of philanthropy</v>
      </c>
      <c r="B39" s="49" t="str">
        <f>IFERROR(__xludf.DUMMYFUNCTION("""COMPUTED_VALUE"""),"Future Societies")</f>
        <v>Future Societies</v>
      </c>
      <c r="C39" s="51" t="str">
        <f>IFERROR(__xludf.DUMMYFUNCTION("""COMPUTED_VALUE"""),"Phyllis Costanza, Aditya Natraj and Felix Salmon")</f>
        <v>Phyllis Costanza, Aditya Natraj and Felix Salmon</v>
      </c>
      <c r="D39" s="49" t="str">
        <f>IFERROR(__xludf.DUMMYFUNCTION("""COMPUTED_VALUE"""),"2019/11/07 10:50:00")</f>
        <v>2019/11/07 10:50:00</v>
      </c>
      <c r="E39" s="49" t="str">
        <f>IFERROR(__xludf.DUMMYFUNCTION("""COMPUTED_VALUE"""),"2019/11/07 11:10:00")</f>
        <v>2019/11/07 11:10:00</v>
      </c>
      <c r="F39" s="49" t="str">
        <f>IFERROR(__xludf.DUMMYFUNCTION("""COMPUTED_VALUE"""),"6ed1ee3e-56bc-4fc7-9971-f8b83d597a02")</f>
        <v>6ed1ee3e-56bc-4fc7-9971-f8b83d597a02</v>
      </c>
      <c r="G39" s="52">
        <f>IFERROR(__xludf.DUMMYFUNCTION("""COMPUTED_VALUE"""),43776.0)</f>
        <v>43776</v>
      </c>
      <c r="H39" s="53">
        <f>IFERROR(__xludf.DUMMYFUNCTION("""COMPUTED_VALUE"""),0.4513888888888889)</f>
        <v>0.4513888889</v>
      </c>
      <c r="I39" s="52">
        <f>IFERROR(__xludf.DUMMYFUNCTION("""COMPUTED_VALUE"""),43776.0)</f>
        <v>43776</v>
      </c>
      <c r="J39" s="53">
        <f>IFERROR(__xludf.DUMMYFUNCTION("""COMPUTED_VALUE"""),0.4652777777777778)</f>
        <v>0.4652777778</v>
      </c>
      <c r="K39" s="53">
        <f t="shared" si="1"/>
        <v>0.01388888889</v>
      </c>
      <c r="L39" s="49" t="s">
        <v>109</v>
      </c>
      <c r="M39" s="62" t="s">
        <v>417</v>
      </c>
      <c r="N39" s="75" t="str">
        <f t="shared" si="2"/>
        <v>FS_7_3_6ed1ee3e-56bc-4fc7-9971-f8b83d597a02_000000_000000.mp4</v>
      </c>
      <c r="O39" s="48"/>
      <c r="P39" s="48"/>
      <c r="Q39" s="63"/>
      <c r="R39" s="49"/>
      <c r="S39" s="49"/>
      <c r="T39" s="49"/>
    </row>
    <row r="40">
      <c r="A40" s="49" t="str">
        <f>IFERROR(__xludf.DUMMYFUNCTION("""COMPUTED_VALUE"""),"How much tax is just right?")</f>
        <v>How much tax is just right?</v>
      </c>
      <c r="B40" s="49" t="str">
        <f>IFERROR(__xludf.DUMMYFUNCTION("""COMPUTED_VALUE"""),"Future Societies")</f>
        <v>Future Societies</v>
      </c>
      <c r="C40" s="51" t="str">
        <f>IFERROR(__xludf.DUMMYFUNCTION("""COMPUTED_VALUE"""),"Pascal Saint-Amans, Jane McCormick and Ryan Broderick")</f>
        <v>Pascal Saint-Amans, Jane McCormick and Ryan Broderick</v>
      </c>
      <c r="D40" s="49" t="str">
        <f>IFERROR(__xludf.DUMMYFUNCTION("""COMPUTED_VALUE"""),"2019/11/07 11:10:00")</f>
        <v>2019/11/07 11:10:00</v>
      </c>
      <c r="E40" s="49" t="str">
        <f>IFERROR(__xludf.DUMMYFUNCTION("""COMPUTED_VALUE"""),"2019/11/07 11:30:00")</f>
        <v>2019/11/07 11:30:00</v>
      </c>
      <c r="F40" s="49" t="str">
        <f>IFERROR(__xludf.DUMMYFUNCTION("""COMPUTED_VALUE"""),"57afb291-b87d-4915-ba24-1416b7084be1")</f>
        <v>57afb291-b87d-4915-ba24-1416b7084be1</v>
      </c>
      <c r="G40" s="52">
        <f>IFERROR(__xludf.DUMMYFUNCTION("""COMPUTED_VALUE"""),43776.0)</f>
        <v>43776</v>
      </c>
      <c r="H40" s="53">
        <f>IFERROR(__xludf.DUMMYFUNCTION("""COMPUTED_VALUE"""),0.4652777777777778)</f>
        <v>0.4652777778</v>
      </c>
      <c r="I40" s="52">
        <f>IFERROR(__xludf.DUMMYFUNCTION("""COMPUTED_VALUE"""),43776.0)</f>
        <v>43776</v>
      </c>
      <c r="J40" s="53">
        <f>IFERROR(__xludf.DUMMYFUNCTION("""COMPUTED_VALUE"""),0.4791666666666667)</f>
        <v>0.4791666667</v>
      </c>
      <c r="K40" s="53">
        <f t="shared" si="1"/>
        <v>0.01388888889</v>
      </c>
      <c r="L40" s="49" t="s">
        <v>109</v>
      </c>
      <c r="M40" s="62" t="s">
        <v>418</v>
      </c>
      <c r="N40" s="75" t="str">
        <f t="shared" si="2"/>
        <v>FS_7_4_57afb291-b87d-4915-ba24-1416b7084be1_000000_000000.mp4</v>
      </c>
      <c r="O40" s="48"/>
      <c r="P40" s="48"/>
      <c r="Q40" s="63"/>
      <c r="R40" s="49"/>
      <c r="S40" s="49"/>
      <c r="T40" s="49"/>
    </row>
    <row r="41">
      <c r="A41" s="49" t="str">
        <f>IFERROR(__xludf.DUMMYFUNCTION("""COMPUTED_VALUE"""),"Is there a future for work?")</f>
        <v>Is there a future for work?</v>
      </c>
      <c r="B41" s="49" t="str">
        <f>IFERROR(__xludf.DUMMYFUNCTION("""COMPUTED_VALUE"""),"Future Societies")</f>
        <v>Future Societies</v>
      </c>
      <c r="C41" s="51" t="str">
        <f>IFERROR(__xludf.DUMMYFUNCTION("""COMPUTED_VALUE"""),"Daniel Yanisse, Oisin Hanrahan, Chelsea Rustrum and Kimberly Weisul")</f>
        <v>Daniel Yanisse, Oisin Hanrahan, Chelsea Rustrum and Kimberly Weisul</v>
      </c>
      <c r="D41" s="49" t="str">
        <f>IFERROR(__xludf.DUMMYFUNCTION("""COMPUTED_VALUE"""),"2019/11/07 11:30:00")</f>
        <v>2019/11/07 11:30:00</v>
      </c>
      <c r="E41" s="49" t="str">
        <f>IFERROR(__xludf.DUMMYFUNCTION("""COMPUTED_VALUE"""),"2019/11/07 11:50:00")</f>
        <v>2019/11/07 11:50:00</v>
      </c>
      <c r="F41" s="49" t="str">
        <f>IFERROR(__xludf.DUMMYFUNCTION("""COMPUTED_VALUE"""),"a40cfdb9-6260-40a4-95a4-3adbe11f124b")</f>
        <v>a40cfdb9-6260-40a4-95a4-3adbe11f124b</v>
      </c>
      <c r="G41" s="52">
        <f>IFERROR(__xludf.DUMMYFUNCTION("""COMPUTED_VALUE"""),43776.0)</f>
        <v>43776</v>
      </c>
      <c r="H41" s="53">
        <f>IFERROR(__xludf.DUMMYFUNCTION("""COMPUTED_VALUE"""),0.4791666666666667)</f>
        <v>0.4791666667</v>
      </c>
      <c r="I41" s="52">
        <f>IFERROR(__xludf.DUMMYFUNCTION("""COMPUTED_VALUE"""),43776.0)</f>
        <v>43776</v>
      </c>
      <c r="J41" s="53">
        <f>IFERROR(__xludf.DUMMYFUNCTION("""COMPUTED_VALUE"""),0.4930555555555556)</f>
        <v>0.4930555556</v>
      </c>
      <c r="K41" s="53">
        <f t="shared" si="1"/>
        <v>0.01388888889</v>
      </c>
      <c r="L41" s="49" t="s">
        <v>109</v>
      </c>
      <c r="M41" s="62" t="s">
        <v>419</v>
      </c>
      <c r="N41" s="75" t="str">
        <f t="shared" si="2"/>
        <v>FS_7_5_a40cfdb9-6260-40a4-95a4-3adbe11f124b_000000_000000.mp4</v>
      </c>
      <c r="O41" s="48"/>
      <c r="P41" s="48"/>
      <c r="Q41" s="63"/>
      <c r="R41" s="49"/>
      <c r="S41" s="49"/>
      <c r="T41" s="49"/>
    </row>
    <row r="42">
      <c r="A42" s="49" t="str">
        <f>IFERROR(__xludf.DUMMYFUNCTION("""COMPUTED_VALUE"""),"The future of science is already here")</f>
        <v>The future of science is already here</v>
      </c>
      <c r="B42" s="49" t="str">
        <f>IFERROR(__xludf.DUMMYFUNCTION("""COMPUTED_VALUE"""),"Future Societies")</f>
        <v>Future Societies</v>
      </c>
      <c r="C42" s="51" t="str">
        <f>IFERROR(__xludf.DUMMYFUNCTION("""COMPUTED_VALUE"""),"Liam Hinzman, Isabella Grandic and Brianna Gopaul")</f>
        <v>Liam Hinzman, Isabella Grandic and Brianna Gopaul</v>
      </c>
      <c r="D42" s="49" t="str">
        <f>IFERROR(__xludf.DUMMYFUNCTION("""COMPUTED_VALUE"""),"2019/11/07 11:50:00")</f>
        <v>2019/11/07 11:50:00</v>
      </c>
      <c r="E42" s="49" t="str">
        <f>IFERROR(__xludf.DUMMYFUNCTION("""COMPUTED_VALUE"""),"2019/11/07 12:15:00")</f>
        <v>2019/11/07 12:15:00</v>
      </c>
      <c r="F42" s="49" t="str">
        <f>IFERROR(__xludf.DUMMYFUNCTION("""COMPUTED_VALUE"""),"19f472b6-aa6c-4206-affa-d42b55878dad")</f>
        <v>19f472b6-aa6c-4206-affa-d42b55878dad</v>
      </c>
      <c r="G42" s="52">
        <f>IFERROR(__xludf.DUMMYFUNCTION("""COMPUTED_VALUE"""),43776.0)</f>
        <v>43776</v>
      </c>
      <c r="H42" s="53">
        <f>IFERROR(__xludf.DUMMYFUNCTION("""COMPUTED_VALUE"""),0.4930555555555556)</f>
        <v>0.4930555556</v>
      </c>
      <c r="I42" s="52">
        <f>IFERROR(__xludf.DUMMYFUNCTION("""COMPUTED_VALUE"""),43776.0)</f>
        <v>43776</v>
      </c>
      <c r="J42" s="53">
        <f>IFERROR(__xludf.DUMMYFUNCTION("""COMPUTED_VALUE"""),0.5104166666666666)</f>
        <v>0.5104166667</v>
      </c>
      <c r="K42" s="53">
        <f t="shared" si="1"/>
        <v>0.01736111111</v>
      </c>
      <c r="L42" s="49" t="s">
        <v>111</v>
      </c>
      <c r="M42" s="62" t="s">
        <v>420</v>
      </c>
      <c r="N42" s="75" t="str">
        <f t="shared" si="2"/>
        <v>FS_7_6_19f472b6-aa6c-4206-affa-d42b55878dad_000000_000000.mp4</v>
      </c>
      <c r="O42" s="48"/>
      <c r="P42" s="48"/>
      <c r="Q42" s="63"/>
      <c r="R42" s="49"/>
      <c r="S42" s="49"/>
      <c r="T42" s="49"/>
    </row>
    <row r="43">
      <c r="A43" s="49" t="str">
        <f>IFERROR(__xludf.DUMMYFUNCTION("""COMPUTED_VALUE"""),"Lunch break")</f>
        <v>Lunch break</v>
      </c>
      <c r="B43" s="49" t="str">
        <f>IFERROR(__xludf.DUMMYFUNCTION("""COMPUTED_VALUE"""),"Future Societies")</f>
        <v>Future Societies</v>
      </c>
      <c r="C43" s="51" t="str">
        <f>IFERROR(__xludf.DUMMYFUNCTION("""COMPUTED_VALUE"""),"")</f>
        <v/>
      </c>
      <c r="D43" s="49" t="str">
        <f>IFERROR(__xludf.DUMMYFUNCTION("""COMPUTED_VALUE"""),"2019/11/07 12:15:00")</f>
        <v>2019/11/07 12:15:00</v>
      </c>
      <c r="E43" s="49" t="str">
        <f>IFERROR(__xludf.DUMMYFUNCTION("""COMPUTED_VALUE"""),"2019/11/07 12:50:00")</f>
        <v>2019/11/07 12:50:00</v>
      </c>
      <c r="F43" s="49" t="str">
        <f>IFERROR(__xludf.DUMMYFUNCTION("""COMPUTED_VALUE"""),"f6a4f5ec-55db-4467-886b-472ef4efe759")</f>
        <v>f6a4f5ec-55db-4467-886b-472ef4efe759</v>
      </c>
      <c r="G43" s="52">
        <f>IFERROR(__xludf.DUMMYFUNCTION("""COMPUTED_VALUE"""),43776.0)</f>
        <v>43776</v>
      </c>
      <c r="H43" s="53">
        <f>IFERROR(__xludf.DUMMYFUNCTION("""COMPUTED_VALUE"""),0.5104166666666666)</f>
        <v>0.5104166667</v>
      </c>
      <c r="I43" s="52">
        <f>IFERROR(__xludf.DUMMYFUNCTION("""COMPUTED_VALUE"""),43776.0)</f>
        <v>43776</v>
      </c>
      <c r="J43" s="53">
        <f>IFERROR(__xludf.DUMMYFUNCTION("""COMPUTED_VALUE"""),0.5347222222222222)</f>
        <v>0.5347222222</v>
      </c>
      <c r="K43" s="53">
        <f t="shared" si="1"/>
        <v>0.02430555556</v>
      </c>
      <c r="L43" s="49" t="s">
        <v>158</v>
      </c>
      <c r="M43" s="49"/>
      <c r="N43" s="75" t="str">
        <f t="shared" si="2"/>
        <v>_f6a4f5ec-55db-4467-886b-472ef4efe759_000000_000000.mp4</v>
      </c>
      <c r="O43" s="48"/>
      <c r="P43" s="48"/>
      <c r="Q43" s="63"/>
      <c r="R43" s="49"/>
      <c r="S43" s="49"/>
      <c r="T43" s="49"/>
    </row>
    <row r="44">
      <c r="A44" s="49" t="str">
        <f>IFERROR(__xludf.DUMMYFUNCTION("""COMPUTED_VALUE"""),"Opening remarks")</f>
        <v>Opening remarks</v>
      </c>
      <c r="B44" s="49" t="str">
        <f>IFERROR(__xludf.DUMMYFUNCTION("""COMPUTED_VALUE"""),"Future Societies")</f>
        <v>Future Societies</v>
      </c>
      <c r="C44" s="51" t="str">
        <f>IFERROR(__xludf.DUMMYFUNCTION("""COMPUTED_VALUE"""),"Orla Canavan")</f>
        <v>Orla Canavan</v>
      </c>
      <c r="D44" s="49" t="str">
        <f>IFERROR(__xludf.DUMMYFUNCTION("""COMPUTED_VALUE"""),"2019/11/07 12:50:00")</f>
        <v>2019/11/07 12:50:00</v>
      </c>
      <c r="E44" s="49" t="str">
        <f>IFERROR(__xludf.DUMMYFUNCTION("""COMPUTED_VALUE"""),"2019/11/07 13:00:00")</f>
        <v>2019/11/07 13:00:00</v>
      </c>
      <c r="F44" s="49" t="str">
        <f>IFERROR(__xludf.DUMMYFUNCTION("""COMPUTED_VALUE"""),"2261562b-dac4-486b-97b0-6e973c0a384d")</f>
        <v>2261562b-dac4-486b-97b0-6e973c0a384d</v>
      </c>
      <c r="G44" s="52">
        <f>IFERROR(__xludf.DUMMYFUNCTION("""COMPUTED_VALUE"""),43776.0)</f>
        <v>43776</v>
      </c>
      <c r="H44" s="53">
        <f>IFERROR(__xludf.DUMMYFUNCTION("""COMPUTED_VALUE"""),0.5347222222222222)</f>
        <v>0.5347222222</v>
      </c>
      <c r="I44" s="52">
        <f>IFERROR(__xludf.DUMMYFUNCTION("""COMPUTED_VALUE"""),43776.0)</f>
        <v>43776</v>
      </c>
      <c r="J44" s="53">
        <f>IFERROR(__xludf.DUMMYFUNCTION("""COMPUTED_VALUE"""),0.5416666666666666)</f>
        <v>0.5416666667</v>
      </c>
      <c r="K44" s="53">
        <f t="shared" si="1"/>
        <v>0.006944444444</v>
      </c>
      <c r="L44" s="49" t="s">
        <v>122</v>
      </c>
      <c r="M44" s="62" t="s">
        <v>421</v>
      </c>
      <c r="N44" s="75" t="str">
        <f t="shared" si="2"/>
        <v>FS_7_7_2261562b-dac4-486b-97b0-6e973c0a384d_000000_000000.mp4</v>
      </c>
      <c r="O44" s="48"/>
      <c r="P44" s="48"/>
      <c r="Q44" s="63"/>
      <c r="R44" s="49"/>
      <c r="S44" s="49"/>
      <c r="T44" s="49"/>
    </row>
    <row r="45">
      <c r="A45" s="49" t="str">
        <f>IFERROR(__xludf.DUMMYFUNCTION("""COMPUTED_VALUE"""),"From the ballot box to blockchain")</f>
        <v>From the ballot box to blockchain</v>
      </c>
      <c r="B45" s="49" t="str">
        <f>IFERROR(__xludf.DUMMYFUNCTION("""COMPUTED_VALUE"""),"Future Societies")</f>
        <v>Future Societies</v>
      </c>
      <c r="C45" s="51" t="str">
        <f>IFERROR(__xludf.DUMMYFUNCTION("""COMPUTED_VALUE"""),"Sheila Nix, Andre Mcgregor, Silvia Caparros and Donie O'Sullivan")</f>
        <v>Sheila Nix, Andre Mcgregor, Silvia Caparros and Donie O'Sullivan</v>
      </c>
      <c r="D45" s="49" t="str">
        <f>IFERROR(__xludf.DUMMYFUNCTION("""COMPUTED_VALUE"""),"2019/11/07 13:00:00")</f>
        <v>2019/11/07 13:00:00</v>
      </c>
      <c r="E45" s="49" t="str">
        <f>IFERROR(__xludf.DUMMYFUNCTION("""COMPUTED_VALUE"""),"2019/11/07 13:20:00")</f>
        <v>2019/11/07 13:20:00</v>
      </c>
      <c r="F45" s="49" t="str">
        <f>IFERROR(__xludf.DUMMYFUNCTION("""COMPUTED_VALUE"""),"35695412-e8d7-48cb-8a32-c0d6a556eb36")</f>
        <v>35695412-e8d7-48cb-8a32-c0d6a556eb36</v>
      </c>
      <c r="G45" s="52">
        <f>IFERROR(__xludf.DUMMYFUNCTION("""COMPUTED_VALUE"""),43776.0)</f>
        <v>43776</v>
      </c>
      <c r="H45" s="53">
        <f>IFERROR(__xludf.DUMMYFUNCTION("""COMPUTED_VALUE"""),0.5416666666666666)</f>
        <v>0.5416666667</v>
      </c>
      <c r="I45" s="52">
        <f>IFERROR(__xludf.DUMMYFUNCTION("""COMPUTED_VALUE"""),43776.0)</f>
        <v>43776</v>
      </c>
      <c r="J45" s="53">
        <f>IFERROR(__xludf.DUMMYFUNCTION("""COMPUTED_VALUE"""),0.5555555555555556)</f>
        <v>0.5555555556</v>
      </c>
      <c r="K45" s="53">
        <f t="shared" si="1"/>
        <v>0.01388888889</v>
      </c>
      <c r="L45" s="49" t="s">
        <v>109</v>
      </c>
      <c r="M45" s="62" t="s">
        <v>422</v>
      </c>
      <c r="N45" s="75" t="str">
        <f t="shared" si="2"/>
        <v>FS_7_8_35695412-e8d7-48cb-8a32-c0d6a556eb36_000000_000000.mp4</v>
      </c>
      <c r="O45" s="48"/>
      <c r="P45" s="48"/>
      <c r="Q45" s="63"/>
      <c r="R45" s="49"/>
      <c r="S45" s="49"/>
      <c r="T45" s="49"/>
    </row>
    <row r="46">
      <c r="A46" s="49" t="str">
        <f>IFERROR(__xludf.DUMMYFUNCTION("""COMPUTED_VALUE"""),"Battling for the better angels of our nature")</f>
        <v>Battling for the better angels of our nature</v>
      </c>
      <c r="B46" s="49" t="str">
        <f>IFERROR(__xludf.DUMMYFUNCTION("""COMPUTED_VALUE"""),"Future Societies")</f>
        <v>Future Societies</v>
      </c>
      <c r="C46" s="51" t="str">
        <f>IFERROR(__xludf.DUMMYFUNCTION("""COMPUTED_VALUE"""),"Kumi Naidoo and Tshepo Mokoena")</f>
        <v>Kumi Naidoo and Tshepo Mokoena</v>
      </c>
      <c r="D46" s="49" t="str">
        <f>IFERROR(__xludf.DUMMYFUNCTION("""COMPUTED_VALUE"""),"2019/11/07 13:20:00")</f>
        <v>2019/11/07 13:20:00</v>
      </c>
      <c r="E46" s="49" t="str">
        <f>IFERROR(__xludf.DUMMYFUNCTION("""COMPUTED_VALUE"""),"2019/11/07 13:40:00")</f>
        <v>2019/11/07 13:40:00</v>
      </c>
      <c r="F46" s="49" t="str">
        <f>IFERROR(__xludf.DUMMYFUNCTION("""COMPUTED_VALUE"""),"0d908ad4-fa35-4fbf-850c-a91619cad298")</f>
        <v>0d908ad4-fa35-4fbf-850c-a91619cad298</v>
      </c>
      <c r="G46" s="52">
        <f>IFERROR(__xludf.DUMMYFUNCTION("""COMPUTED_VALUE"""),43776.0)</f>
        <v>43776</v>
      </c>
      <c r="H46" s="53">
        <f>IFERROR(__xludf.DUMMYFUNCTION("""COMPUTED_VALUE"""),0.5555555555555556)</f>
        <v>0.5555555556</v>
      </c>
      <c r="I46" s="52">
        <f>IFERROR(__xludf.DUMMYFUNCTION("""COMPUTED_VALUE"""),43776.0)</f>
        <v>43776</v>
      </c>
      <c r="J46" s="53">
        <f>IFERROR(__xludf.DUMMYFUNCTION("""COMPUTED_VALUE"""),0.5694444444444444)</f>
        <v>0.5694444444</v>
      </c>
      <c r="K46" s="53">
        <f t="shared" si="1"/>
        <v>0.01388888889</v>
      </c>
      <c r="L46" s="49" t="s">
        <v>109</v>
      </c>
      <c r="M46" s="62" t="s">
        <v>423</v>
      </c>
      <c r="N46" s="75" t="str">
        <f t="shared" si="2"/>
        <v>FS_7_9_0d908ad4-fa35-4fbf-850c-a91619cad298_000000_000000.mp4</v>
      </c>
      <c r="O46" s="48"/>
      <c r="P46" s="48"/>
      <c r="Q46" s="63"/>
      <c r="R46" s="49"/>
      <c r="S46" s="49"/>
      <c r="T46" s="49"/>
    </row>
    <row r="47">
      <c r="A47" s="49" t="str">
        <f>IFERROR(__xludf.DUMMYFUNCTION("""COMPUTED_VALUE"""),"Are data rights human rights?")</f>
        <v>Are data rights human rights?</v>
      </c>
      <c r="B47" s="49" t="str">
        <f>IFERROR(__xludf.DUMMYFUNCTION("""COMPUTED_VALUE"""),"Future Societies")</f>
        <v>Future Societies</v>
      </c>
      <c r="C47" s="51" t="str">
        <f>IFERROR(__xludf.DUMMYFUNCTION("""COMPUTED_VALUE"""),"Regan Ralph, Michael O'Flaherty, Arthur Hu and Rani Molla")</f>
        <v>Regan Ralph, Michael O'Flaherty, Arthur Hu and Rani Molla</v>
      </c>
      <c r="D47" s="49" t="str">
        <f>IFERROR(__xludf.DUMMYFUNCTION("""COMPUTED_VALUE"""),"2019/11/07 13:40:00")</f>
        <v>2019/11/07 13:40:00</v>
      </c>
      <c r="E47" s="49" t="str">
        <f>IFERROR(__xludf.DUMMYFUNCTION("""COMPUTED_VALUE"""),"2019/11/07 14:00:00")</f>
        <v>2019/11/07 14:00:00</v>
      </c>
      <c r="F47" s="49" t="str">
        <f>IFERROR(__xludf.DUMMYFUNCTION("""COMPUTED_VALUE"""),"1ce1a88d-c78a-4f9d-9276-85a0d8e1d3c7")</f>
        <v>1ce1a88d-c78a-4f9d-9276-85a0d8e1d3c7</v>
      </c>
      <c r="G47" s="52">
        <f>IFERROR(__xludf.DUMMYFUNCTION("""COMPUTED_VALUE"""),43776.0)</f>
        <v>43776</v>
      </c>
      <c r="H47" s="53">
        <f>IFERROR(__xludf.DUMMYFUNCTION("""COMPUTED_VALUE"""),0.5694444444444444)</f>
        <v>0.5694444444</v>
      </c>
      <c r="I47" s="52">
        <f>IFERROR(__xludf.DUMMYFUNCTION("""COMPUTED_VALUE"""),43776.0)</f>
        <v>43776</v>
      </c>
      <c r="J47" s="53">
        <f>IFERROR(__xludf.DUMMYFUNCTION("""COMPUTED_VALUE"""),0.5833333333333334)</f>
        <v>0.5833333333</v>
      </c>
      <c r="K47" s="53">
        <f t="shared" si="1"/>
        <v>0.01388888889</v>
      </c>
      <c r="L47" s="49" t="s">
        <v>109</v>
      </c>
      <c r="M47" s="62" t="s">
        <v>424</v>
      </c>
      <c r="N47" s="75" t="str">
        <f t="shared" si="2"/>
        <v>FS_7_10_1ce1a88d-c78a-4f9d-9276-85a0d8e1d3c7_000000_000000.mp4</v>
      </c>
      <c r="O47" s="48"/>
      <c r="P47" s="48"/>
      <c r="Q47" s="63"/>
      <c r="R47" s="49"/>
      <c r="S47" s="49"/>
      <c r="T47" s="49"/>
    </row>
    <row r="48">
      <c r="A48" s="49" t="str">
        <f>IFERROR(__xludf.DUMMYFUNCTION("""COMPUTED_VALUE"""),"Can technology revitalise democracy?")</f>
        <v>Can technology revitalise democracy?</v>
      </c>
      <c r="B48" s="49" t="str">
        <f>IFERROR(__xludf.DUMMYFUNCTION("""COMPUTED_VALUE"""),"Future Societies")</f>
        <v>Future Societies</v>
      </c>
      <c r="C48" s="51" t="str">
        <f>IFERROR(__xludf.DUMMYFUNCTION("""COMPUTED_VALUE"""),"Sheila Nix, Ayman Hariri, Carlos Moedas and Hans Kundnani")</f>
        <v>Sheila Nix, Ayman Hariri, Carlos Moedas and Hans Kundnani</v>
      </c>
      <c r="D48" s="49" t="str">
        <f>IFERROR(__xludf.DUMMYFUNCTION("""COMPUTED_VALUE"""),"2019/11/07 14:00:00")</f>
        <v>2019/11/07 14:00:00</v>
      </c>
      <c r="E48" s="49" t="str">
        <f>IFERROR(__xludf.DUMMYFUNCTION("""COMPUTED_VALUE"""),"2019/11/07 14:20:00")</f>
        <v>2019/11/07 14:20:00</v>
      </c>
      <c r="F48" s="49" t="str">
        <f>IFERROR(__xludf.DUMMYFUNCTION("""COMPUTED_VALUE"""),"5278877b-bb2b-411a-ab6a-1134cbe228a4")</f>
        <v>5278877b-bb2b-411a-ab6a-1134cbe228a4</v>
      </c>
      <c r="G48" s="52">
        <f>IFERROR(__xludf.DUMMYFUNCTION("""COMPUTED_VALUE"""),43776.0)</f>
        <v>43776</v>
      </c>
      <c r="H48" s="53">
        <f>IFERROR(__xludf.DUMMYFUNCTION("""COMPUTED_VALUE"""),0.5833333333333334)</f>
        <v>0.5833333333</v>
      </c>
      <c r="I48" s="52">
        <f>IFERROR(__xludf.DUMMYFUNCTION("""COMPUTED_VALUE"""),43776.0)</f>
        <v>43776</v>
      </c>
      <c r="J48" s="53">
        <f>IFERROR(__xludf.DUMMYFUNCTION("""COMPUTED_VALUE"""),0.5972222222222222)</f>
        <v>0.5972222222</v>
      </c>
      <c r="K48" s="53">
        <f t="shared" si="1"/>
        <v>0.01388888889</v>
      </c>
      <c r="L48" s="49" t="s">
        <v>109</v>
      </c>
      <c r="M48" s="62" t="s">
        <v>425</v>
      </c>
      <c r="N48" s="75" t="str">
        <f t="shared" si="2"/>
        <v>FS_7_11_5278877b-bb2b-411a-ab6a-1134cbe228a4_000000_000000.mp4</v>
      </c>
      <c r="O48" s="48"/>
      <c r="P48" s="48"/>
      <c r="Q48" s="63"/>
      <c r="R48" s="49"/>
      <c r="S48" s="49"/>
      <c r="T48" s="49"/>
    </row>
    <row r="49">
      <c r="A49" s="49" t="str">
        <f>IFERROR(__xludf.DUMMYFUNCTION("""COMPUTED_VALUE"""),"Closing the digital divide: the power of tech to drive change in the world ")</f>
        <v>Closing the digital divide: the power of tech to drive change in the world </v>
      </c>
      <c r="B49" s="49" t="str">
        <f>IFERROR(__xludf.DUMMYFUNCTION("""COMPUTED_VALUE"""),"Future Societies")</f>
        <v>Future Societies</v>
      </c>
      <c r="C49" s="51" t="str">
        <f>IFERROR(__xludf.DUMMYFUNCTION("""COMPUTED_VALUE"""),"Maya Horgan Famodu, Jonathan McKay, Sebastien Codeville and Philip Crowther")</f>
        <v>Maya Horgan Famodu, Jonathan McKay, Sebastien Codeville and Philip Crowther</v>
      </c>
      <c r="D49" s="49" t="str">
        <f>IFERROR(__xludf.DUMMYFUNCTION("""COMPUTED_VALUE"""),"2019/11/07 14:20:00")</f>
        <v>2019/11/07 14:20:00</v>
      </c>
      <c r="E49" s="49" t="str">
        <f>IFERROR(__xludf.DUMMYFUNCTION("""COMPUTED_VALUE"""),"2019/11/07 14:40:00")</f>
        <v>2019/11/07 14:40:00</v>
      </c>
      <c r="F49" s="49" t="str">
        <f>IFERROR(__xludf.DUMMYFUNCTION("""COMPUTED_VALUE"""),"bcb5c8d9-14d9-42ad-b67c-7a92cee4d4d3")</f>
        <v>bcb5c8d9-14d9-42ad-b67c-7a92cee4d4d3</v>
      </c>
      <c r="G49" s="52">
        <f>IFERROR(__xludf.DUMMYFUNCTION("""COMPUTED_VALUE"""),43776.0)</f>
        <v>43776</v>
      </c>
      <c r="H49" s="53">
        <f>IFERROR(__xludf.DUMMYFUNCTION("""COMPUTED_VALUE"""),0.5972222222222222)</f>
        <v>0.5972222222</v>
      </c>
      <c r="I49" s="52">
        <f>IFERROR(__xludf.DUMMYFUNCTION("""COMPUTED_VALUE"""),43776.0)</f>
        <v>43776</v>
      </c>
      <c r="J49" s="53">
        <f>IFERROR(__xludf.DUMMYFUNCTION("""COMPUTED_VALUE"""),0.6111111111111112)</f>
        <v>0.6111111111</v>
      </c>
      <c r="K49" s="53">
        <f t="shared" si="1"/>
        <v>0.01388888889</v>
      </c>
      <c r="L49" s="49" t="s">
        <v>109</v>
      </c>
      <c r="M49" s="62" t="s">
        <v>426</v>
      </c>
      <c r="N49" s="75" t="str">
        <f t="shared" si="2"/>
        <v>FS_7_12_bcb5c8d9-14d9-42ad-b67c-7a92cee4d4d3_000000_000000.mp4</v>
      </c>
      <c r="O49" s="48"/>
      <c r="P49" s="48"/>
      <c r="Q49" s="63"/>
      <c r="R49" s="49"/>
      <c r="S49" s="49"/>
      <c r="T49" s="49"/>
    </row>
    <row r="50">
      <c r="A50" s="49" t="str">
        <f>IFERROR(__xludf.DUMMYFUNCTION("""COMPUTED_VALUE"""),"Putting the ""justice"" in criminal justice reform")</f>
        <v>Putting the "justice" in criminal justice reform</v>
      </c>
      <c r="B50" s="49" t="str">
        <f>IFERROR(__xludf.DUMMYFUNCTION("""COMPUTED_VALUE"""),"Future Societies")</f>
        <v>Future Societies</v>
      </c>
      <c r="C50" s="51" t="str">
        <f>IFERROR(__xludf.DUMMYFUNCTION("""COMPUTED_VALUE"""),"Daniel Yanisse, Julia Salasky and James Ball")</f>
        <v>Daniel Yanisse, Julia Salasky and James Ball</v>
      </c>
      <c r="D50" s="49" t="str">
        <f>IFERROR(__xludf.DUMMYFUNCTION("""COMPUTED_VALUE"""),"2019/11/07 14:40:00")</f>
        <v>2019/11/07 14:40:00</v>
      </c>
      <c r="E50" s="49" t="str">
        <f>IFERROR(__xludf.DUMMYFUNCTION("""COMPUTED_VALUE"""),"2019/11/07 15:00:00")</f>
        <v>2019/11/07 15:00:00</v>
      </c>
      <c r="F50" s="49" t="str">
        <f>IFERROR(__xludf.DUMMYFUNCTION("""COMPUTED_VALUE"""),"55919ada-7139-47a7-8c18-1b580f1fcd81")</f>
        <v>55919ada-7139-47a7-8c18-1b580f1fcd81</v>
      </c>
      <c r="G50" s="52">
        <f>IFERROR(__xludf.DUMMYFUNCTION("""COMPUTED_VALUE"""),43776.0)</f>
        <v>43776</v>
      </c>
      <c r="H50" s="53">
        <f>IFERROR(__xludf.DUMMYFUNCTION("""COMPUTED_VALUE"""),0.6111111111111112)</f>
        <v>0.6111111111</v>
      </c>
      <c r="I50" s="52">
        <f>IFERROR(__xludf.DUMMYFUNCTION("""COMPUTED_VALUE"""),43776.0)</f>
        <v>43776</v>
      </c>
      <c r="J50" s="53">
        <f>IFERROR(__xludf.DUMMYFUNCTION("""COMPUTED_VALUE"""),0.625)</f>
        <v>0.625</v>
      </c>
      <c r="K50" s="53">
        <f t="shared" si="1"/>
        <v>0.01388888889</v>
      </c>
      <c r="L50" s="49" t="s">
        <v>109</v>
      </c>
      <c r="M50" s="62" t="s">
        <v>427</v>
      </c>
      <c r="N50" s="75" t="str">
        <f t="shared" si="2"/>
        <v>FS_7_13_55919ada-7139-47a7-8c18-1b580f1fcd81_000000_000000.mp4</v>
      </c>
      <c r="O50" s="48"/>
      <c r="P50" s="48"/>
      <c r="Q50" s="63"/>
      <c r="R50" s="49"/>
      <c r="S50" s="49"/>
      <c r="T50" s="49"/>
    </row>
    <row r="51">
      <c r="A51" s="49" t="str">
        <f>IFERROR(__xludf.DUMMYFUNCTION("""COMPUTED_VALUE"""),"Can you manufacture dissent?")</f>
        <v>Can you manufacture dissent?</v>
      </c>
      <c r="B51" s="49" t="str">
        <f>IFERROR(__xludf.DUMMYFUNCTION("""COMPUTED_VALUE"""),"Future Societies")</f>
        <v>Future Societies</v>
      </c>
      <c r="C51" s="51" t="str">
        <f>IFERROR(__xludf.DUMMYFUNCTION("""COMPUTED_VALUE"""),"Michael Pillsbury and Ryan Broderick")</f>
        <v>Michael Pillsbury and Ryan Broderick</v>
      </c>
      <c r="D51" s="49" t="str">
        <f>IFERROR(__xludf.DUMMYFUNCTION("""COMPUTED_VALUE"""),"2019/11/07 15:00:00")</f>
        <v>2019/11/07 15:00:00</v>
      </c>
      <c r="E51" s="49" t="str">
        <f>IFERROR(__xludf.DUMMYFUNCTION("""COMPUTED_VALUE"""),"2019/11/07 15:25:00")</f>
        <v>2019/11/07 15:25:00</v>
      </c>
      <c r="F51" s="49" t="str">
        <f>IFERROR(__xludf.DUMMYFUNCTION("""COMPUTED_VALUE"""),"6bcbad01-b938-4ba6-9fa9-0680d90c6015")</f>
        <v>6bcbad01-b938-4ba6-9fa9-0680d90c6015</v>
      </c>
      <c r="G51" s="52">
        <f>IFERROR(__xludf.DUMMYFUNCTION("""COMPUTED_VALUE"""),43776.0)</f>
        <v>43776</v>
      </c>
      <c r="H51" s="53">
        <f>IFERROR(__xludf.DUMMYFUNCTION("""COMPUTED_VALUE"""),0.625)</f>
        <v>0.625</v>
      </c>
      <c r="I51" s="52">
        <f>IFERROR(__xludf.DUMMYFUNCTION("""COMPUTED_VALUE"""),43776.0)</f>
        <v>43776</v>
      </c>
      <c r="J51" s="53">
        <f>IFERROR(__xludf.DUMMYFUNCTION("""COMPUTED_VALUE"""),0.6423611111111112)</f>
        <v>0.6423611111</v>
      </c>
      <c r="K51" s="53">
        <f t="shared" si="1"/>
        <v>0.01736111111</v>
      </c>
      <c r="L51" s="49" t="s">
        <v>111</v>
      </c>
      <c r="M51" s="62" t="s">
        <v>428</v>
      </c>
      <c r="N51" s="75" t="str">
        <f t="shared" si="2"/>
        <v>FS_7_14_6bcbad01-b938-4ba6-9fa9-0680d90c6015_000000_000000.mp4</v>
      </c>
      <c r="O51" s="48"/>
      <c r="P51" s="48"/>
      <c r="Q51" s="63"/>
      <c r="R51" s="49"/>
      <c r="S51" s="49"/>
      <c r="T51" s="49"/>
    </row>
    <row r="52">
      <c r="A52" s="49" t="str">
        <f>IFERROR(__xludf.DUMMYFUNCTION("""COMPUTED_VALUE"""),"Promoting democratic values online")</f>
        <v>Promoting democratic values online</v>
      </c>
      <c r="B52" s="49" t="str">
        <f>IFERROR(__xludf.DUMMYFUNCTION("""COMPUTED_VALUE"""),"Future Societies")</f>
        <v>Future Societies</v>
      </c>
      <c r="C52" s="51" t="str">
        <f>IFERROR(__xludf.DUMMYFUNCTION("""COMPUTED_VALUE"""),"Věra Jourová and Sam Schechner")</f>
        <v>Věra Jourová and Sam Schechner</v>
      </c>
      <c r="D52" s="49" t="str">
        <f>IFERROR(__xludf.DUMMYFUNCTION("""COMPUTED_VALUE"""),"2019/11/07 15:25:00")</f>
        <v>2019/11/07 15:25:00</v>
      </c>
      <c r="E52" s="49" t="str">
        <f>IFERROR(__xludf.DUMMYFUNCTION("""COMPUTED_VALUE"""),"2019/11/07 15:45:00")</f>
        <v>2019/11/07 15:45:00</v>
      </c>
      <c r="F52" s="49" t="str">
        <f>IFERROR(__xludf.DUMMYFUNCTION("""COMPUTED_VALUE"""),"69aae012-f16e-4c57-878c-f87bedf64023")</f>
        <v>69aae012-f16e-4c57-878c-f87bedf64023</v>
      </c>
      <c r="G52" s="52">
        <f>IFERROR(__xludf.DUMMYFUNCTION("""COMPUTED_VALUE"""),43776.0)</f>
        <v>43776</v>
      </c>
      <c r="H52" s="53">
        <f>IFERROR(__xludf.DUMMYFUNCTION("""COMPUTED_VALUE"""),0.6423611111111112)</f>
        <v>0.6423611111</v>
      </c>
      <c r="I52" s="52">
        <f>IFERROR(__xludf.DUMMYFUNCTION("""COMPUTED_VALUE"""),43776.0)</f>
        <v>43776</v>
      </c>
      <c r="J52" s="53">
        <f>IFERROR(__xludf.DUMMYFUNCTION("""COMPUTED_VALUE"""),0.65625)</f>
        <v>0.65625</v>
      </c>
      <c r="K52" s="53">
        <f t="shared" si="1"/>
        <v>0.01388888889</v>
      </c>
      <c r="L52" s="49" t="s">
        <v>109</v>
      </c>
      <c r="M52" s="62" t="s">
        <v>429</v>
      </c>
      <c r="N52" s="75" t="str">
        <f t="shared" si="2"/>
        <v>FS_7_15_69aae012-f16e-4c57-878c-f87bedf64023_000000_000000.mp4</v>
      </c>
      <c r="O52" s="48"/>
      <c r="P52" s="48"/>
      <c r="Q52" s="63"/>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f t="shared" si="1"/>
        <v>0</v>
      </c>
      <c r="L53" s="49" t="s">
        <v>255</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f t="shared" si="1"/>
        <v>0</v>
      </c>
      <c r="L54" s="49" t="s">
        <v>255</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f t="shared" si="1"/>
        <v>0</v>
      </c>
      <c r="L55" s="49" t="s">
        <v>255</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f t="shared" si="1"/>
        <v>0</v>
      </c>
      <c r="L56" s="49" t="s">
        <v>255</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f t="shared" si="1"/>
        <v>0</v>
      </c>
      <c r="L57" s="49" t="s">
        <v>255</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f t="shared" si="1"/>
        <v>0</v>
      </c>
      <c r="L58" s="49" t="s">
        <v>255</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f t="shared" si="1"/>
        <v>0</v>
      </c>
      <c r="L59" s="49" t="s">
        <v>255</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f t="shared" si="1"/>
        <v>0</v>
      </c>
      <c r="L60" s="49" t="s">
        <v>255</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f t="shared" si="1"/>
        <v>0</v>
      </c>
      <c r="L61" s="49" t="s">
        <v>255</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f t="shared" si="1"/>
        <v>0</v>
      </c>
      <c r="L62" s="49" t="s">
        <v>255</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f t="shared" si="1"/>
        <v>0</v>
      </c>
      <c r="L63" s="49" t="s">
        <v>255</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f t="shared" si="1"/>
        <v>0</v>
      </c>
      <c r="L64" s="49" t="s">
        <v>255</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f t="shared" si="1"/>
        <v>0</v>
      </c>
      <c r="L65" s="49" t="s">
        <v>255</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f t="shared" si="1"/>
        <v>0</v>
      </c>
      <c r="L66" s="49" t="s">
        <v>255</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f t="shared" si="1"/>
        <v>0</v>
      </c>
      <c r="L67" s="49" t="s">
        <v>255</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f t="shared" si="1"/>
        <v>0</v>
      </c>
      <c r="L68" s="49" t="s">
        <v>255</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255</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255</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255</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255</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255</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255</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255</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255</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255</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255</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255</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255</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255</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255</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255</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255</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255</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255</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255</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255</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255</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255</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255</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255</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255</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255</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255</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255</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255</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255</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255</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255</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255</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255</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255</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255</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255</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255</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255</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255</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255</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255</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255</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255</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255</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255</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255</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255</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255</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255</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255</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255</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255</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255</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255</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255</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255</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255</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255</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255</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255</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255</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255</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255</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255</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255</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255</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255</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255</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255</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255</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255</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255</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255</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255</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255</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255</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255</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255</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255</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255</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255</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255</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255</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255</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255</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255</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255</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255</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255</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255</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255</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255</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255</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255</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255</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255</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255</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255</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255</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255</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255</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255</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255</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255</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255</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255</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255</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255</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255</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255</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255</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255</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255</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255</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255</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255</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255</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255</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255</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255</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255</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255</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255</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255</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255</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255</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255</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255</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255</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255</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255</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255</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255</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255</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255</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255</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255</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255</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255</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255</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255</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255</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255</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255</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255</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255</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255</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255</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255</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255</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255</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255</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255</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255</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255</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255</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255</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255</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255</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255</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255</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255</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255</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255</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255</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255</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255</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255</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255</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255</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255</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255</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255</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255</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255</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255</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255</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255</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255</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255</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255</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255</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255</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255</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255</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255</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255</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255</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255</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255</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255</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255</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255</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255</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255</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255</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255</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255</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255</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255</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255</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255</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255</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255</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255</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255</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255</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255</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255</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255</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255</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255</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255</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255</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255</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255</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255</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255</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255</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255</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255</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255</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255</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255</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255</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255</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255</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255</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255</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255</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255</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255</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255</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255</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255</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255</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255</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255</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255</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255</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255</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255</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255</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255</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255</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255</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255</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255</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255</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255</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255</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255</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255</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255</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255</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255</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255</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255</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255</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255</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255</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255</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255</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255</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255</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255</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255</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255</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255</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255</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255</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255</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255</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255</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255</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255</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255</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255</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255</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255</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255</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255</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255</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255</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255</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255</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255</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255</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255</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255</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255</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255</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255</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255</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255</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255</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255</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255</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255</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255</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255</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255</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255</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255</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255</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255</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255</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255</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255</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255</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255</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255</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255</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255</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255</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255</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255</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255</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255</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255</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255</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255</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255</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255</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255</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255</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255</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255</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255</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255</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255</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255</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255</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255</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255</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255</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255</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255</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255</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255</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255</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255</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255</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255</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255</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255</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255</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255</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255</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255</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255</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255</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255</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255</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255</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255</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255</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255</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255</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255</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255</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255</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255</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255</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255</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255</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255</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255</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255</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255</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255</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255</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255</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255</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255</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255</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255</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255</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255</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255</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255</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255</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255</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255</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255</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255</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255</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255</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255</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255</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255</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255</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255</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255</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255</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255</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255</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255</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255</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255</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255</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255</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255</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255</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255</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255</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255</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255</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255</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255</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255</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255</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255</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255</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255</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255</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255</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255</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255</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255</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255</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255</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255</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255</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255</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255</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255</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255</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255</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255</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255</v>
      </c>
      <c r="M533" s="49"/>
      <c r="N533" s="49"/>
      <c r="O533" s="49"/>
      <c r="P533" s="49"/>
      <c r="Q533" s="49"/>
      <c r="R533" s="49"/>
      <c r="S533" s="49"/>
      <c r="T533" s="49"/>
    </row>
    <row r="534">
      <c r="A534" s="49"/>
      <c r="B534" s="49"/>
      <c r="C534" s="51"/>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255</v>
      </c>
      <c r="M534" s="49"/>
      <c r="N534" s="49"/>
      <c r="O534" s="49"/>
      <c r="P534" s="49"/>
      <c r="Q534" s="49"/>
      <c r="R534" s="49"/>
      <c r="S534" s="49"/>
      <c r="T534" s="49"/>
    </row>
    <row r="535">
      <c r="A535" s="49"/>
      <c r="B535" s="49"/>
      <c r="C535" s="51"/>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255</v>
      </c>
      <c r="M535" s="49"/>
      <c r="N535" s="49"/>
      <c r="O535" s="49"/>
      <c r="P535" s="49"/>
      <c r="Q535" s="49"/>
      <c r="R535" s="49"/>
      <c r="S535" s="49"/>
      <c r="T535" s="49"/>
    </row>
    <row r="536">
      <c r="A536" s="49"/>
      <c r="B536" s="49"/>
      <c r="C536" s="51"/>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255</v>
      </c>
      <c r="M536" s="49"/>
      <c r="N536" s="49"/>
      <c r="O536" s="49"/>
      <c r="P536" s="49"/>
      <c r="Q536" s="49"/>
      <c r="R536" s="49"/>
      <c r="S536" s="49"/>
      <c r="T536" s="49"/>
    </row>
    <row r="537">
      <c r="A537" s="49"/>
      <c r="B537" s="49"/>
      <c r="C537" s="51"/>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255</v>
      </c>
      <c r="M537" s="49"/>
      <c r="N537" s="49"/>
      <c r="O537" s="49"/>
      <c r="P537" s="49"/>
      <c r="Q537" s="49"/>
      <c r="R537" s="49"/>
      <c r="S537" s="49"/>
      <c r="T537" s="49"/>
    </row>
    <row r="538">
      <c r="A538" s="49"/>
      <c r="B538" s="49"/>
      <c r="C538" s="51"/>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255</v>
      </c>
      <c r="M538" s="49"/>
      <c r="N538" s="49"/>
      <c r="O538" s="49"/>
      <c r="P538" s="49"/>
      <c r="Q538" s="49"/>
      <c r="R538" s="49"/>
      <c r="S538" s="49"/>
      <c r="T538" s="49"/>
    </row>
    <row r="539">
      <c r="A539" s="49"/>
      <c r="B539" s="49"/>
      <c r="C539" s="51"/>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255</v>
      </c>
      <c r="M539" s="49"/>
      <c r="N539" s="49"/>
      <c r="O539" s="49"/>
      <c r="P539" s="49"/>
      <c r="Q539" s="49"/>
      <c r="R539" s="49"/>
      <c r="S539" s="49"/>
      <c r="T539" s="49"/>
    </row>
    <row r="540">
      <c r="A540" s="49"/>
      <c r="B540" s="49"/>
      <c r="C540" s="51"/>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255</v>
      </c>
      <c r="M540" s="49"/>
      <c r="N540" s="49"/>
      <c r="O540" s="49"/>
      <c r="P540" s="49"/>
      <c r="Q540" s="49"/>
      <c r="R540" s="49"/>
      <c r="S540" s="49"/>
      <c r="T540" s="49"/>
    </row>
    <row r="541">
      <c r="A541" s="49"/>
      <c r="B541" s="49"/>
      <c r="C541" s="51"/>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255</v>
      </c>
      <c r="M541" s="49"/>
      <c r="N541" s="49"/>
      <c r="O541" s="49"/>
      <c r="P541" s="49"/>
      <c r="Q541" s="49"/>
      <c r="R541" s="49"/>
      <c r="S541" s="49"/>
      <c r="T541" s="49"/>
    </row>
    <row r="542">
      <c r="A542" s="49"/>
      <c r="B542" s="49"/>
      <c r="C542" s="51"/>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255</v>
      </c>
      <c r="M542" s="49"/>
      <c r="N542" s="49"/>
      <c r="O542" s="49"/>
      <c r="P542" s="49"/>
      <c r="Q542" s="49"/>
      <c r="R542" s="49"/>
      <c r="S542" s="49"/>
      <c r="T542" s="49"/>
    </row>
    <row r="543">
      <c r="A543" s="49"/>
      <c r="B543" s="49"/>
      <c r="C543" s="51"/>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255</v>
      </c>
      <c r="M543" s="49"/>
      <c r="N543" s="49"/>
      <c r="O543" s="49"/>
      <c r="P543" s="49"/>
      <c r="Q543" s="49"/>
      <c r="R543" s="49"/>
      <c r="S543" s="49"/>
      <c r="T543" s="49"/>
    </row>
    <row r="544">
      <c r="A544" s="49"/>
      <c r="B544" s="49"/>
      <c r="C544" s="51"/>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255</v>
      </c>
      <c r="M544" s="49"/>
      <c r="N544" s="49"/>
      <c r="O544" s="49"/>
      <c r="P544" s="49"/>
      <c r="Q544" s="49"/>
      <c r="R544" s="49"/>
      <c r="S544" s="49"/>
      <c r="T544" s="49"/>
    </row>
    <row r="545">
      <c r="A545" s="49"/>
      <c r="B545" s="49"/>
      <c r="C545" s="51"/>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255</v>
      </c>
      <c r="M545" s="49"/>
      <c r="N545" s="49"/>
      <c r="O545" s="49"/>
      <c r="P545" s="49"/>
      <c r="Q545" s="49"/>
      <c r="R545" s="49"/>
      <c r="S545" s="49"/>
      <c r="T545" s="49"/>
    </row>
    <row r="546">
      <c r="A546" s="49"/>
      <c r="B546" s="49"/>
      <c r="C546" s="51"/>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255</v>
      </c>
      <c r="M546" s="49"/>
      <c r="N546" s="49"/>
      <c r="O546" s="49"/>
      <c r="P546" s="49"/>
      <c r="Q546" s="49"/>
      <c r="R546" s="49"/>
      <c r="S546" s="49"/>
      <c r="T546" s="49"/>
    </row>
    <row r="547">
      <c r="A547" s="49"/>
      <c r="B547" s="49"/>
      <c r="C547" s="51"/>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255</v>
      </c>
      <c r="M547" s="49"/>
      <c r="N547" s="49"/>
      <c r="O547" s="49"/>
      <c r="P547" s="49"/>
      <c r="Q547" s="49"/>
      <c r="R547" s="49"/>
      <c r="S547" s="49"/>
      <c r="T547" s="49"/>
    </row>
    <row r="548">
      <c r="A548" s="49"/>
      <c r="B548" s="49"/>
      <c r="C548" s="51"/>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255</v>
      </c>
      <c r="M548" s="49"/>
      <c r="N548" s="49"/>
      <c r="O548" s="49"/>
      <c r="P548" s="49"/>
      <c r="Q548" s="49"/>
      <c r="R548" s="49"/>
      <c r="S548" s="49"/>
      <c r="T548" s="49"/>
    </row>
    <row r="549">
      <c r="A549" s="49"/>
      <c r="B549" s="49"/>
      <c r="C549" s="51"/>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255</v>
      </c>
      <c r="M549" s="49"/>
      <c r="N549" s="49"/>
      <c r="O549" s="49"/>
      <c r="P549" s="49"/>
      <c r="Q549" s="49"/>
      <c r="R549" s="49"/>
      <c r="S549" s="49"/>
      <c r="T549" s="49"/>
    </row>
    <row r="550">
      <c r="A550" s="49"/>
      <c r="B550" s="49"/>
      <c r="C550" s="51"/>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255</v>
      </c>
      <c r="M550" s="49"/>
      <c r="N550" s="49"/>
      <c r="O550" s="49"/>
      <c r="P550" s="49"/>
      <c r="Q550" s="49"/>
      <c r="R550" s="49"/>
      <c r="S550" s="49"/>
      <c r="T550" s="49"/>
    </row>
    <row r="551">
      <c r="A551" s="49"/>
      <c r="B551" s="49"/>
      <c r="C551" s="51"/>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255</v>
      </c>
      <c r="M551" s="49"/>
      <c r="N551" s="49"/>
      <c r="O551" s="49"/>
      <c r="P551" s="49"/>
      <c r="Q551" s="49"/>
      <c r="R551" s="49"/>
      <c r="S551" s="49"/>
      <c r="T551" s="49"/>
    </row>
    <row r="552">
      <c r="A552" s="49"/>
      <c r="B552" s="49"/>
      <c r="C552" s="51"/>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255</v>
      </c>
      <c r="M552" s="49"/>
      <c r="N552" s="49"/>
      <c r="O552" s="49"/>
      <c r="P552" s="49"/>
      <c r="Q552" s="49"/>
      <c r="R552" s="49"/>
      <c r="S552" s="49"/>
      <c r="T552" s="49"/>
    </row>
    <row r="553">
      <c r="A553" s="49"/>
      <c r="B553" s="49"/>
      <c r="C553" s="51"/>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255</v>
      </c>
      <c r="M553" s="49"/>
      <c r="N553" s="49"/>
      <c r="O553" s="49"/>
      <c r="P553" s="49"/>
      <c r="Q553" s="49"/>
      <c r="R553" s="49"/>
      <c r="S553" s="49"/>
      <c r="T553" s="49"/>
    </row>
    <row r="554">
      <c r="A554" s="49"/>
      <c r="B554" s="49"/>
      <c r="C554" s="51"/>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255</v>
      </c>
      <c r="M554" s="49"/>
      <c r="N554" s="49"/>
      <c r="O554" s="49"/>
      <c r="P554" s="49"/>
      <c r="Q554" s="49"/>
      <c r="R554" s="49"/>
      <c r="S554" s="49"/>
      <c r="T554" s="49"/>
    </row>
    <row r="555">
      <c r="A555" s="49"/>
      <c r="B555" s="49"/>
      <c r="C555" s="51"/>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255</v>
      </c>
      <c r="M555" s="49"/>
      <c r="N555" s="49"/>
      <c r="O555" s="49"/>
      <c r="P555" s="49"/>
      <c r="Q555" s="49"/>
      <c r="R555" s="49"/>
      <c r="S555" s="49"/>
      <c r="T555" s="49"/>
    </row>
    <row r="556">
      <c r="A556" s="49"/>
      <c r="B556" s="49"/>
      <c r="C556" s="51"/>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255</v>
      </c>
      <c r="M556" s="49"/>
      <c r="N556" s="49"/>
      <c r="O556" s="49"/>
      <c r="P556" s="49"/>
      <c r="Q556" s="49"/>
      <c r="R556" s="49"/>
      <c r="S556" s="49"/>
      <c r="T556" s="49"/>
    </row>
    <row r="557">
      <c r="A557" s="49"/>
      <c r="B557" s="49"/>
      <c r="C557" s="51"/>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255</v>
      </c>
      <c r="M557" s="49"/>
      <c r="N557" s="49"/>
      <c r="O557" s="49"/>
      <c r="P557" s="49"/>
      <c r="Q557" s="49"/>
      <c r="R557" s="49"/>
      <c r="S557" s="49"/>
      <c r="T557" s="49"/>
    </row>
    <row r="558">
      <c r="A558" s="49"/>
      <c r="B558" s="49"/>
      <c r="C558" s="51"/>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255</v>
      </c>
      <c r="M558" s="49"/>
      <c r="N558" s="49"/>
      <c r="O558" s="49"/>
      <c r="P558" s="49"/>
      <c r="Q558" s="49"/>
      <c r="R558" s="49"/>
      <c r="S558" s="49"/>
      <c r="T558" s="49"/>
    </row>
    <row r="559">
      <c r="A559" s="49"/>
      <c r="B559" s="49"/>
      <c r="C559" s="51"/>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255</v>
      </c>
      <c r="M559" s="49"/>
      <c r="N559" s="49"/>
      <c r="O559" s="49"/>
      <c r="P559" s="49"/>
      <c r="Q559" s="49"/>
      <c r="R559" s="49"/>
      <c r="S559" s="49"/>
      <c r="T559" s="49"/>
    </row>
    <row r="560">
      <c r="A560" s="49"/>
      <c r="B560" s="49"/>
      <c r="C560" s="51"/>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255</v>
      </c>
      <c r="M560" s="49"/>
      <c r="N560" s="49"/>
      <c r="O560" s="49"/>
      <c r="P560" s="49"/>
      <c r="Q560" s="49"/>
      <c r="R560" s="49"/>
      <c r="S560" s="49"/>
      <c r="T560" s="49"/>
    </row>
    <row r="561">
      <c r="A561" s="49"/>
      <c r="B561" s="49"/>
      <c r="C561" s="51"/>
      <c r="D561" s="49"/>
      <c r="E561" s="49"/>
      <c r="F561" s="49"/>
      <c r="G561" s="49" t="str">
        <f>IFERROR(__xludf.DUMMYFUNCTION("""COMPUTED_VALUE"""),"#VALUE!")</f>
        <v>#VALUE!</v>
      </c>
      <c r="H561" s="49" t="str">
        <f>IFERROR(__xludf.DUMMYFUNCTION("""COMPUTED_VALUE"""),"")</f>
        <v/>
      </c>
      <c r="I561" s="49" t="str">
        <f>IFERROR(__xludf.DUMMYFUNCTION("""COMPUTED_VALUE"""),"#VALUE!")</f>
        <v>#VALUE!</v>
      </c>
      <c r="J561" s="49" t="str">
        <f>IFERROR(__xludf.DUMMYFUNCTION("""COMPUTED_VALUE"""),"")</f>
        <v/>
      </c>
      <c r="K561" s="49"/>
      <c r="L561" s="49" t="s">
        <v>255</v>
      </c>
      <c r="M561" s="49"/>
      <c r="N561" s="49"/>
      <c r="O561" s="49"/>
      <c r="P561" s="49"/>
      <c r="Q561" s="49"/>
      <c r="R561" s="49"/>
      <c r="S561" s="49"/>
      <c r="T561" s="49"/>
    </row>
    <row r="562">
      <c r="A562" s="49"/>
      <c r="B562" s="49"/>
      <c r="C562" s="51"/>
      <c r="D562" s="49"/>
      <c r="E562" s="49"/>
      <c r="F562" s="49"/>
      <c r="G562" s="49" t="str">
        <f>IFERROR(__xludf.DUMMYFUNCTION("""COMPUTED_VALUE"""),"#VALUE!")</f>
        <v>#VALUE!</v>
      </c>
      <c r="H562" s="49" t="str">
        <f>IFERROR(__xludf.DUMMYFUNCTION("""COMPUTED_VALUE"""),"")</f>
        <v/>
      </c>
      <c r="I562" s="49" t="str">
        <f>IFERROR(__xludf.DUMMYFUNCTION("""COMPUTED_VALUE"""),"#VALUE!")</f>
        <v>#VALUE!</v>
      </c>
      <c r="J562" s="49" t="str">
        <f>IFERROR(__xludf.DUMMYFUNCTION("""COMPUTED_VALUE"""),"")</f>
        <v/>
      </c>
      <c r="K562" s="49"/>
      <c r="L562" s="49" t="s">
        <v>255</v>
      </c>
      <c r="M562" s="49"/>
      <c r="N562" s="49"/>
      <c r="O562" s="49"/>
      <c r="P562" s="49"/>
      <c r="Q562" s="49"/>
      <c r="R562" s="49"/>
      <c r="S562" s="49"/>
      <c r="T562" s="49"/>
    </row>
    <row r="563">
      <c r="A563" s="49"/>
      <c r="B563" s="49"/>
      <c r="C563" s="51"/>
      <c r="D563" s="49"/>
      <c r="E563" s="49"/>
      <c r="F563" s="49"/>
      <c r="G563" s="49" t="str">
        <f>IFERROR(__xludf.DUMMYFUNCTION("""COMPUTED_VALUE"""),"#VALUE!")</f>
        <v>#VALUE!</v>
      </c>
      <c r="H563" s="49" t="str">
        <f>IFERROR(__xludf.DUMMYFUNCTION("""COMPUTED_VALUE"""),"")</f>
        <v/>
      </c>
      <c r="I563" s="49" t="str">
        <f>IFERROR(__xludf.DUMMYFUNCTION("""COMPUTED_VALUE"""),"#VALUE!")</f>
        <v>#VALUE!</v>
      </c>
      <c r="J563" s="49" t="str">
        <f>IFERROR(__xludf.DUMMYFUNCTION("""COMPUTED_VALUE"""),"")</f>
        <v/>
      </c>
      <c r="K563" s="49"/>
      <c r="L563" s="49" t="s">
        <v>255</v>
      </c>
      <c r="M563" s="49"/>
      <c r="N563" s="49"/>
      <c r="O563" s="49"/>
      <c r="P563" s="49"/>
      <c r="Q563" s="49"/>
      <c r="R563" s="49"/>
      <c r="S563" s="49"/>
      <c r="T563" s="49"/>
    </row>
    <row r="564">
      <c r="A564" s="49"/>
      <c r="B564" s="49"/>
      <c r="C564" s="51"/>
      <c r="D564" s="49"/>
      <c r="E564" s="49"/>
      <c r="F564" s="49"/>
      <c r="G564" s="49" t="str">
        <f>IFERROR(__xludf.DUMMYFUNCTION("""COMPUTED_VALUE"""),"#VALUE!")</f>
        <v>#VALUE!</v>
      </c>
      <c r="H564" s="49" t="str">
        <f>IFERROR(__xludf.DUMMYFUNCTION("""COMPUTED_VALUE"""),"")</f>
        <v/>
      </c>
      <c r="I564" s="49" t="str">
        <f>IFERROR(__xludf.DUMMYFUNCTION("""COMPUTED_VALUE"""),"#VALUE!")</f>
        <v>#VALUE!</v>
      </c>
      <c r="J564" s="49" t="str">
        <f>IFERROR(__xludf.DUMMYFUNCTION("""COMPUTED_VALUE"""),"")</f>
        <v/>
      </c>
      <c r="K564" s="49"/>
      <c r="L564" s="49" t="s">
        <v>255</v>
      </c>
      <c r="M564" s="49"/>
      <c r="N564" s="49"/>
      <c r="O564" s="49"/>
      <c r="P564" s="49"/>
      <c r="Q564" s="49"/>
      <c r="R564" s="49"/>
      <c r="S564" s="49"/>
      <c r="T564" s="49"/>
    </row>
    <row r="565">
      <c r="A565" s="49"/>
      <c r="B565" s="49"/>
      <c r="C565" s="51"/>
      <c r="D565" s="49"/>
      <c r="E565" s="49"/>
      <c r="F565" s="49"/>
      <c r="G565" s="49" t="str">
        <f>IFERROR(__xludf.DUMMYFUNCTION("""COMPUTED_VALUE"""),"#VALUE!")</f>
        <v>#VALUE!</v>
      </c>
      <c r="H565" s="49" t="str">
        <f>IFERROR(__xludf.DUMMYFUNCTION("""COMPUTED_VALUE"""),"")</f>
        <v/>
      </c>
      <c r="I565" s="49" t="str">
        <f>IFERROR(__xludf.DUMMYFUNCTION("""COMPUTED_VALUE"""),"#VALUE!")</f>
        <v>#VALUE!</v>
      </c>
      <c r="J565" s="49" t="str">
        <f>IFERROR(__xludf.DUMMYFUNCTION("""COMPUTED_VALUE"""),"")</f>
        <v/>
      </c>
      <c r="K565" s="49"/>
      <c r="L565" s="49" t="s">
        <v>255</v>
      </c>
      <c r="M565" s="49"/>
      <c r="N565" s="49"/>
      <c r="O565" s="49"/>
      <c r="P565" s="49"/>
      <c r="Q565" s="49"/>
      <c r="R565" s="49"/>
      <c r="S565" s="49"/>
      <c r="T565" s="49"/>
    </row>
    <row r="566">
      <c r="A566" s="49"/>
      <c r="B566" s="49"/>
      <c r="C566" s="51"/>
      <c r="D566" s="49"/>
      <c r="E566" s="49"/>
      <c r="F566" s="49"/>
      <c r="G566" s="49" t="str">
        <f>IFERROR(__xludf.DUMMYFUNCTION("""COMPUTED_VALUE"""),"#VALUE!")</f>
        <v>#VALUE!</v>
      </c>
      <c r="H566" s="49" t="str">
        <f>IFERROR(__xludf.DUMMYFUNCTION("""COMPUTED_VALUE"""),"")</f>
        <v/>
      </c>
      <c r="I566" s="49" t="str">
        <f>IFERROR(__xludf.DUMMYFUNCTION("""COMPUTED_VALUE"""),"#VALUE!")</f>
        <v>#VALUE!</v>
      </c>
      <c r="J566" s="49" t="str">
        <f>IFERROR(__xludf.DUMMYFUNCTION("""COMPUTED_VALUE"""),"")</f>
        <v/>
      </c>
      <c r="K566" s="49"/>
      <c r="L566" s="49" t="s">
        <v>255</v>
      </c>
      <c r="M566" s="49"/>
      <c r="N566" s="49"/>
      <c r="O566" s="49"/>
      <c r="P566" s="49"/>
      <c r="Q566" s="49"/>
      <c r="R566" s="49"/>
      <c r="S566" s="49"/>
      <c r="T566" s="49"/>
    </row>
    <row r="567">
      <c r="A567" s="49"/>
      <c r="B567" s="49"/>
      <c r="C567" s="51"/>
      <c r="D567" s="49"/>
      <c r="E567" s="49"/>
      <c r="F567" s="49"/>
      <c r="G567" s="49" t="str">
        <f>IFERROR(__xludf.DUMMYFUNCTION("""COMPUTED_VALUE"""),"#VALUE!")</f>
        <v>#VALUE!</v>
      </c>
      <c r="H567" s="49" t="str">
        <f>IFERROR(__xludf.DUMMYFUNCTION("""COMPUTED_VALUE"""),"")</f>
        <v/>
      </c>
      <c r="I567" s="49" t="str">
        <f>IFERROR(__xludf.DUMMYFUNCTION("""COMPUTED_VALUE"""),"#VALUE!")</f>
        <v>#VALUE!</v>
      </c>
      <c r="J567" s="49" t="str">
        <f>IFERROR(__xludf.DUMMYFUNCTION("""COMPUTED_VALUE"""),"")</f>
        <v/>
      </c>
      <c r="K567" s="49"/>
      <c r="L567" s="49" t="s">
        <v>255</v>
      </c>
      <c r="M567" s="49"/>
      <c r="N567" s="49"/>
      <c r="O567" s="49"/>
      <c r="P567" s="49"/>
      <c r="Q567" s="49"/>
      <c r="R567" s="49"/>
      <c r="S567" s="49"/>
      <c r="T567" s="49"/>
    </row>
    <row r="568">
      <c r="A568" s="49"/>
      <c r="B568" s="49"/>
      <c r="C568" s="51"/>
      <c r="D568" s="49"/>
      <c r="E568" s="49"/>
      <c r="F568" s="49"/>
      <c r="G568" s="49" t="str">
        <f>IFERROR(__xludf.DUMMYFUNCTION("""COMPUTED_VALUE"""),"#VALUE!")</f>
        <v>#VALUE!</v>
      </c>
      <c r="H568" s="49" t="str">
        <f>IFERROR(__xludf.DUMMYFUNCTION("""COMPUTED_VALUE"""),"")</f>
        <v/>
      </c>
      <c r="I568" s="49" t="str">
        <f>IFERROR(__xludf.DUMMYFUNCTION("""COMPUTED_VALUE"""),"#VALUE!")</f>
        <v>#VALUE!</v>
      </c>
      <c r="J568" s="49" t="str">
        <f>IFERROR(__xludf.DUMMYFUNCTION("""COMPUTED_VALUE"""),"")</f>
        <v/>
      </c>
      <c r="K568" s="49"/>
      <c r="L568" s="49" t="s">
        <v>255</v>
      </c>
      <c r="M568" s="49"/>
      <c r="N568" s="49"/>
      <c r="O568" s="49"/>
      <c r="P568" s="49"/>
      <c r="Q568" s="49"/>
      <c r="R568" s="49"/>
      <c r="S568" s="49"/>
      <c r="T568" s="49"/>
    </row>
    <row r="569">
      <c r="A569" s="49"/>
      <c r="B569" s="49"/>
      <c r="C569" s="51"/>
      <c r="D569" s="49"/>
      <c r="E569" s="49"/>
      <c r="F569" s="49"/>
      <c r="G569" s="49" t="str">
        <f>IFERROR(__xludf.DUMMYFUNCTION("""COMPUTED_VALUE"""),"#VALUE!")</f>
        <v>#VALUE!</v>
      </c>
      <c r="H569" s="49" t="str">
        <f>IFERROR(__xludf.DUMMYFUNCTION("""COMPUTED_VALUE"""),"")</f>
        <v/>
      </c>
      <c r="I569" s="49" t="str">
        <f>IFERROR(__xludf.DUMMYFUNCTION("""COMPUTED_VALUE"""),"#VALUE!")</f>
        <v>#VALUE!</v>
      </c>
      <c r="J569" s="49" t="str">
        <f>IFERROR(__xludf.DUMMYFUNCTION("""COMPUTED_VALUE"""),"")</f>
        <v/>
      </c>
      <c r="K569" s="49"/>
      <c r="L569" s="49" t="s">
        <v>255</v>
      </c>
      <c r="M569" s="49"/>
      <c r="N569" s="49"/>
      <c r="O569" s="49"/>
      <c r="P569" s="49"/>
      <c r="Q569" s="49"/>
      <c r="R569" s="49"/>
      <c r="S569" s="49"/>
      <c r="T569" s="49"/>
    </row>
  </sheetData>
  <conditionalFormatting sqref="O2:O52">
    <cfRule type="containsText" dxfId="4" priority="1" operator="containsText" text="YES">
      <formula>NOT(ISERROR(SEARCH(("YES"),(O2))))</formula>
    </cfRule>
  </conditionalFormatting>
  <conditionalFormatting sqref="O2:O52">
    <cfRule type="cellIs" dxfId="5" priority="2" operator="equal">
      <formula>"NO"</formula>
    </cfRule>
  </conditionalFormatting>
  <conditionalFormatting sqref="P2:P52">
    <cfRule type="cellIs" dxfId="4" priority="3" operator="equal">
      <formula>"AVAILABLE"</formula>
    </cfRule>
  </conditionalFormatting>
  <conditionalFormatting sqref="P2:P52">
    <cfRule type="cellIs" dxfId="5" priority="4" operator="equal">
      <formula>"NOT AVAILABLE"</formula>
    </cfRule>
  </conditionalFormatting>
  <conditionalFormatting sqref="Q2:Q52">
    <cfRule type="cellIs" dxfId="4" priority="5" operator="equal">
      <formula>"AVAILABLE"</formula>
    </cfRule>
  </conditionalFormatting>
  <conditionalFormatting sqref="Q2:Q52">
    <cfRule type="cellIs" dxfId="6" priority="6" operator="equal">
      <formula>"UPLOADING"</formula>
    </cfRule>
  </conditionalFormatting>
  <conditionalFormatting sqref="Q2:Q52">
    <cfRule type="cellIs" dxfId="5" priority="7" operator="equal">
      <formula>"NOT AVAILABLE"</formula>
    </cfRule>
  </conditionalFormatting>
  <dataValidations>
    <dataValidation type="list" allowBlank="1" sqref="O2:O52">
      <formula1>"YES,NO"</formula1>
    </dataValidation>
    <dataValidation type="list" allowBlank="1" sqref="P2:P52">
      <formula1>"AVAILABLE,NOT AVAILABLE"</formula1>
    </dataValidation>
    <dataValidation type="list" allowBlank="1" sqref="Q2:Q52">
      <formula1>"AVAILABLE,UPLOADING,NOT AVAILABLE"</formula1>
    </dataValidation>
  </dataValidations>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3.86"/>
    <col hidden="1" min="4" max="5" width="14.43"/>
    <col customWidth="1" min="6" max="6" width="37.57"/>
    <col hidden="1" min="9" max="9" width="14.43"/>
  </cols>
  <sheetData>
    <row r="1">
      <c r="A1" s="46" t="s">
        <v>79</v>
      </c>
      <c r="B1" s="46" t="s">
        <v>80</v>
      </c>
      <c r="C1" s="46"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77" t="s">
        <v>434</v>
      </c>
      <c r="B2" s="62" t="s">
        <v>53</v>
      </c>
      <c r="C2" s="78" t="s">
        <v>435</v>
      </c>
      <c r="D2" s="49"/>
      <c r="E2" s="49"/>
      <c r="F2" s="49"/>
      <c r="G2" s="79">
        <v>43774.0</v>
      </c>
      <c r="H2" s="80">
        <v>0.3854166666666667</v>
      </c>
      <c r="I2" s="50" t="str">
        <f>IFERROR(__xludf.DUMMYFUNCTION("ARRAYFORMULA(SPLIT(E2:E8,"" ""))"),"#VALUE!")</f>
        <v>#VALUE!</v>
      </c>
      <c r="J2" s="81">
        <v>0.4270833333333333</v>
      </c>
      <c r="K2" s="53">
        <f t="shared" ref="K2:K8" si="1">J2-H2</f>
        <v>0.04166666667</v>
      </c>
      <c r="L2" s="50" t="str">
        <f t="array" ref="L2:L8">TEXT(K2:K8,"hhmmss")</f>
        <v>010000</v>
      </c>
      <c r="M2" s="62" t="s">
        <v>460</v>
      </c>
      <c r="N2" s="75" t="str">
        <f t="shared" ref="N2:N8" si="2">CONCATENATE(M2,"_",F2,"_","000000_000000.mp4")</f>
        <v>P2_8_1__000000_000000.mp4</v>
      </c>
      <c r="O2" s="48"/>
      <c r="P2" s="48"/>
      <c r="Q2" s="63"/>
      <c r="R2" s="49"/>
      <c r="S2" s="49"/>
      <c r="T2" s="49"/>
    </row>
    <row r="3">
      <c r="A3" s="62" t="s">
        <v>468</v>
      </c>
      <c r="B3" s="62" t="s">
        <v>53</v>
      </c>
      <c r="C3" s="82" t="s">
        <v>469</v>
      </c>
      <c r="D3" s="49"/>
      <c r="E3" s="49"/>
      <c r="F3" s="49"/>
      <c r="G3" s="83">
        <v>43774.0</v>
      </c>
      <c r="H3" s="81">
        <v>0.4270833333333333</v>
      </c>
      <c r="I3" s="49" t="str">
        <f>IFERROR(__xludf.DUMMYFUNCTION("""COMPUTED_VALUE"""),"#VALUE!")</f>
        <v>#VALUE!</v>
      </c>
      <c r="J3" s="81">
        <v>0.46875</v>
      </c>
      <c r="K3" s="53">
        <f t="shared" si="1"/>
        <v>0.04166666667</v>
      </c>
      <c r="L3" s="49" t="s">
        <v>240</v>
      </c>
      <c r="M3" s="62" t="s">
        <v>473</v>
      </c>
      <c r="N3" s="75" t="str">
        <f t="shared" si="2"/>
        <v>P2_8_2__000000_000000.mp4</v>
      </c>
      <c r="O3" s="48"/>
      <c r="P3" s="48"/>
      <c r="Q3" s="63"/>
      <c r="R3" s="49"/>
      <c r="S3" s="49"/>
      <c r="T3" s="49"/>
    </row>
    <row r="4">
      <c r="A4" s="84" t="s">
        <v>474</v>
      </c>
      <c r="B4" s="62" t="s">
        <v>53</v>
      </c>
      <c r="C4" s="82" t="s">
        <v>475</v>
      </c>
      <c r="D4" s="49"/>
      <c r="E4" s="49"/>
      <c r="F4" s="49"/>
      <c r="G4" s="83">
        <v>43774.0</v>
      </c>
      <c r="H4" s="81">
        <v>0.46875</v>
      </c>
      <c r="I4" s="49" t="str">
        <f>IFERROR(__xludf.DUMMYFUNCTION("""COMPUTED_VALUE"""),"#VALUE!")</f>
        <v>#VALUE!</v>
      </c>
      <c r="J4" s="81">
        <v>0.5104166666666666</v>
      </c>
      <c r="K4" s="53">
        <f t="shared" si="1"/>
        <v>0.04166666667</v>
      </c>
      <c r="L4" s="49" t="s">
        <v>240</v>
      </c>
      <c r="M4" s="62" t="s">
        <v>476</v>
      </c>
      <c r="N4" s="75" t="str">
        <f t="shared" si="2"/>
        <v>P2_8_3__000000_000000.mp4</v>
      </c>
      <c r="O4" s="48"/>
      <c r="P4" s="48"/>
      <c r="Q4" s="63"/>
      <c r="R4" s="49"/>
      <c r="S4" s="49"/>
      <c r="T4" s="49"/>
    </row>
    <row r="5">
      <c r="A5" s="62" t="s">
        <v>477</v>
      </c>
      <c r="B5" s="62" t="s">
        <v>53</v>
      </c>
      <c r="C5" s="82" t="s">
        <v>478</v>
      </c>
      <c r="D5" s="49"/>
      <c r="E5" s="49"/>
      <c r="F5" s="49"/>
      <c r="G5" s="83">
        <v>43774.0</v>
      </c>
      <c r="H5" s="81">
        <v>0.5104166666666666</v>
      </c>
      <c r="I5" s="49" t="str">
        <f>IFERROR(__xludf.DUMMYFUNCTION("""COMPUTED_VALUE"""),"#VALUE!")</f>
        <v>#VALUE!</v>
      </c>
      <c r="J5" s="81">
        <v>0.5520833333333334</v>
      </c>
      <c r="K5" s="53">
        <f t="shared" si="1"/>
        <v>0.04166666667</v>
      </c>
      <c r="L5" s="49" t="s">
        <v>240</v>
      </c>
      <c r="M5" s="62" t="s">
        <v>479</v>
      </c>
      <c r="N5" s="75" t="str">
        <f t="shared" si="2"/>
        <v>P2_8_4__000000_000000.mp4</v>
      </c>
      <c r="O5" s="48"/>
      <c r="P5" s="48"/>
      <c r="Q5" s="63"/>
      <c r="R5" s="49"/>
      <c r="S5" s="49"/>
      <c r="T5" s="49"/>
    </row>
    <row r="6">
      <c r="A6" s="84" t="s">
        <v>480</v>
      </c>
      <c r="B6" s="62" t="s">
        <v>53</v>
      </c>
      <c r="C6" s="82" t="s">
        <v>481</v>
      </c>
      <c r="D6" s="49"/>
      <c r="E6" s="49"/>
      <c r="F6" s="49"/>
      <c r="G6" s="83">
        <v>43774.0</v>
      </c>
      <c r="H6" s="85">
        <v>0.5833333333333334</v>
      </c>
      <c r="I6" s="49" t="str">
        <f>IFERROR(__xludf.DUMMYFUNCTION("""COMPUTED_VALUE"""),"#VALUE!")</f>
        <v>#VALUE!</v>
      </c>
      <c r="J6" s="81">
        <v>0.625</v>
      </c>
      <c r="K6" s="53">
        <f t="shared" si="1"/>
        <v>0.04166666667</v>
      </c>
      <c r="L6" s="49" t="s">
        <v>240</v>
      </c>
      <c r="M6" s="62" t="s">
        <v>482</v>
      </c>
      <c r="N6" s="75" t="str">
        <f t="shared" si="2"/>
        <v>P2_8_5__000000_000000.mp4</v>
      </c>
      <c r="O6" s="48"/>
      <c r="P6" s="48"/>
      <c r="Q6" s="63"/>
      <c r="R6" s="49"/>
      <c r="S6" s="49"/>
      <c r="T6" s="49"/>
    </row>
    <row r="7">
      <c r="A7" s="62" t="s">
        <v>483</v>
      </c>
      <c r="B7" s="62" t="s">
        <v>53</v>
      </c>
      <c r="C7" s="82" t="s">
        <v>484</v>
      </c>
      <c r="D7" s="49"/>
      <c r="E7" s="49"/>
      <c r="F7" s="49"/>
      <c r="G7" s="83">
        <v>43774.0</v>
      </c>
      <c r="H7" s="81">
        <v>0.625</v>
      </c>
      <c r="I7" s="49" t="str">
        <f>IFERROR(__xludf.DUMMYFUNCTION("""COMPUTED_VALUE"""),"#VALUE!")</f>
        <v>#VALUE!</v>
      </c>
      <c r="J7" s="81">
        <v>0.6666666666666666</v>
      </c>
      <c r="K7" s="53">
        <f t="shared" si="1"/>
        <v>0.04166666667</v>
      </c>
      <c r="L7" s="49" t="s">
        <v>240</v>
      </c>
      <c r="M7" s="62" t="s">
        <v>485</v>
      </c>
      <c r="N7" s="75" t="str">
        <f t="shared" si="2"/>
        <v>P2_8_6__000000_000000.mp4</v>
      </c>
      <c r="O7" s="48"/>
      <c r="P7" s="48"/>
      <c r="Q7" s="63"/>
      <c r="R7" s="49"/>
      <c r="S7" s="49"/>
      <c r="T7" s="49"/>
    </row>
    <row r="8">
      <c r="A8" s="62" t="s">
        <v>486</v>
      </c>
      <c r="B8" s="62" t="s">
        <v>53</v>
      </c>
      <c r="C8" s="78" t="s">
        <v>487</v>
      </c>
      <c r="D8" s="49"/>
      <c r="E8" s="49"/>
      <c r="F8" s="49"/>
      <c r="G8" s="83">
        <v>43774.0</v>
      </c>
      <c r="H8" s="81">
        <v>0.6770833333333334</v>
      </c>
      <c r="I8" s="49" t="str">
        <f>IFERROR(__xludf.DUMMYFUNCTION("""COMPUTED_VALUE"""),"#VALUE!")</f>
        <v>#VALUE!</v>
      </c>
      <c r="J8" s="81">
        <v>0.7291666666666666</v>
      </c>
      <c r="K8" s="53">
        <f t="shared" si="1"/>
        <v>0.05208333333</v>
      </c>
      <c r="L8" s="49" t="s">
        <v>488</v>
      </c>
      <c r="M8" s="62" t="s">
        <v>489</v>
      </c>
      <c r="N8" s="75" t="str">
        <f t="shared" si="2"/>
        <v>P2_8_7__000000_000000.mp4</v>
      </c>
      <c r="O8" s="48"/>
      <c r="P8" s="48"/>
      <c r="Q8" s="63"/>
      <c r="R8" s="49"/>
      <c r="S8" s="49"/>
      <c r="T8" s="49"/>
    </row>
  </sheetData>
  <conditionalFormatting sqref="O2:O8">
    <cfRule type="containsText" dxfId="4" priority="1" operator="containsText" text="YES">
      <formula>NOT(ISERROR(SEARCH(("YES"),(O2))))</formula>
    </cfRule>
  </conditionalFormatting>
  <conditionalFormatting sqref="O2:O8">
    <cfRule type="cellIs" dxfId="5" priority="2" operator="equal">
      <formula>"NO"</formula>
    </cfRule>
  </conditionalFormatting>
  <conditionalFormatting sqref="P2:P8">
    <cfRule type="cellIs" dxfId="4" priority="3" operator="equal">
      <formula>"AVAILABLE"</formula>
    </cfRule>
  </conditionalFormatting>
  <conditionalFormatting sqref="P2:P8">
    <cfRule type="cellIs" dxfId="5" priority="4" operator="equal">
      <formula>"NOT AVAILABLE"</formula>
    </cfRule>
  </conditionalFormatting>
  <conditionalFormatting sqref="Q2:Q8">
    <cfRule type="cellIs" dxfId="4" priority="5" operator="equal">
      <formula>"AVAILABLE"</formula>
    </cfRule>
  </conditionalFormatting>
  <conditionalFormatting sqref="Q2:Q8">
    <cfRule type="cellIs" dxfId="6" priority="6" operator="equal">
      <formula>"UPLOADING"</formula>
    </cfRule>
  </conditionalFormatting>
  <conditionalFormatting sqref="Q2:Q8">
    <cfRule type="cellIs" dxfId="5" priority="7" operator="equal">
      <formula>"NOT AVAILABLE"</formula>
    </cfRule>
  </conditionalFormatting>
  <dataValidations>
    <dataValidation type="list" allowBlank="1" sqref="O2:O8">
      <formula1>"YES,NO"</formula1>
    </dataValidation>
    <dataValidation type="list" allowBlank="1" sqref="P2:P8">
      <formula1>"AVAILABLE,NOT AVAILABLE"</formula1>
    </dataValidation>
    <dataValidation type="list" allowBlank="1" sqref="Q2:Q8">
      <formula1>"AVAILABLE,UPLOADING,NOT AVAILABLE"</formula1>
    </dataValidation>
  </dataValidations>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9" t="s">
        <v>430</v>
      </c>
      <c r="B1" s="49" t="s">
        <v>431</v>
      </c>
      <c r="C1" s="49" t="s">
        <v>432</v>
      </c>
      <c r="D1" s="49" t="s">
        <v>433</v>
      </c>
      <c r="E1" s="54">
        <f>IFERROR(__xludf.DUMMYFUNCTION("ARRAYFORMULA(SPLIT(B1:B1000,"" ""))"),43775.0)</f>
        <v>43775</v>
      </c>
      <c r="F1" s="53">
        <f>IFERROR(__xludf.DUMMYFUNCTION("""COMPUTED_VALUE"""),0.4270833333333333)</f>
        <v>0.4270833333</v>
      </c>
      <c r="G1" s="54">
        <f>IFERROR(__xludf.DUMMYFUNCTION("ARRAYFORMULA(SPLIT(C1:C1000,"" ""))"),43775.0)</f>
        <v>43775</v>
      </c>
      <c r="H1" s="53">
        <f>IFERROR(__xludf.DUMMYFUNCTION("""COMPUTED_VALUE"""),0.46875)</f>
        <v>0.46875</v>
      </c>
      <c r="I1" s="53">
        <f t="shared" ref="I1:I5" si="1">H1-F1</f>
        <v>0.04166666667</v>
      </c>
    </row>
    <row r="2">
      <c r="A2" s="49" t="s">
        <v>436</v>
      </c>
      <c r="B2" s="49" t="s">
        <v>432</v>
      </c>
      <c r="C2" s="49" t="s">
        <v>437</v>
      </c>
      <c r="D2" s="49" t="s">
        <v>438</v>
      </c>
      <c r="E2" s="52">
        <f>IFERROR(__xludf.DUMMYFUNCTION("""COMPUTED_VALUE"""),43775.0)</f>
        <v>43775</v>
      </c>
      <c r="F2" s="53">
        <f>IFERROR(__xludf.DUMMYFUNCTION("""COMPUTED_VALUE"""),0.46875)</f>
        <v>0.46875</v>
      </c>
      <c r="G2" s="52">
        <f>IFERROR(__xludf.DUMMYFUNCTION("""COMPUTED_VALUE"""),43775.0)</f>
        <v>43775</v>
      </c>
      <c r="H2" s="53">
        <f>IFERROR(__xludf.DUMMYFUNCTION("""COMPUTED_VALUE"""),0.5104166666666666)</f>
        <v>0.5104166667</v>
      </c>
      <c r="I2" s="53">
        <f t="shared" si="1"/>
        <v>0.04166666667</v>
      </c>
    </row>
    <row r="3">
      <c r="A3" s="49" t="s">
        <v>439</v>
      </c>
      <c r="B3" s="49" t="s">
        <v>432</v>
      </c>
      <c r="C3" s="49" t="s">
        <v>437</v>
      </c>
      <c r="D3" s="49" t="s">
        <v>438</v>
      </c>
      <c r="E3" s="52">
        <f>IFERROR(__xludf.DUMMYFUNCTION("""COMPUTED_VALUE"""),43775.0)</f>
        <v>43775</v>
      </c>
      <c r="F3" s="53">
        <f>IFERROR(__xludf.DUMMYFUNCTION("""COMPUTED_VALUE"""),0.46875)</f>
        <v>0.46875</v>
      </c>
      <c r="G3" s="52">
        <f>IFERROR(__xludf.DUMMYFUNCTION("""COMPUTED_VALUE"""),43775.0)</f>
        <v>43775</v>
      </c>
      <c r="H3" s="53">
        <f>IFERROR(__xludf.DUMMYFUNCTION("""COMPUTED_VALUE"""),0.5104166666666666)</f>
        <v>0.5104166667</v>
      </c>
      <c r="I3" s="53">
        <f t="shared" si="1"/>
        <v>0.04166666667</v>
      </c>
    </row>
    <row r="4">
      <c r="A4" s="49" t="s">
        <v>440</v>
      </c>
      <c r="B4" s="49" t="s">
        <v>437</v>
      </c>
      <c r="C4" s="49" t="s">
        <v>441</v>
      </c>
      <c r="D4" s="49" t="s">
        <v>442</v>
      </c>
      <c r="E4" s="52">
        <f>IFERROR(__xludf.DUMMYFUNCTION("""COMPUTED_VALUE"""),43775.0)</f>
        <v>43775</v>
      </c>
      <c r="F4" s="53">
        <f>IFERROR(__xludf.DUMMYFUNCTION("""COMPUTED_VALUE"""),0.5104166666666666)</f>
        <v>0.5104166667</v>
      </c>
      <c r="G4" s="52">
        <f>IFERROR(__xludf.DUMMYFUNCTION("""COMPUTED_VALUE"""),43775.0)</f>
        <v>43775</v>
      </c>
      <c r="H4" s="53">
        <f>IFERROR(__xludf.DUMMYFUNCTION("""COMPUTED_VALUE"""),0.5520833333333334)</f>
        <v>0.5520833333</v>
      </c>
      <c r="I4" s="53">
        <f t="shared" si="1"/>
        <v>0.04166666667</v>
      </c>
    </row>
    <row r="5">
      <c r="A5" s="10" t="s">
        <v>443</v>
      </c>
      <c r="B5" s="49" t="s">
        <v>444</v>
      </c>
      <c r="C5" s="49" t="s">
        <v>445</v>
      </c>
      <c r="D5" s="49" t="s">
        <v>446</v>
      </c>
      <c r="E5" s="52">
        <f>IFERROR(__xludf.DUMMYFUNCTION("""COMPUTED_VALUE"""),43775.0)</f>
        <v>43775</v>
      </c>
      <c r="F5" s="53">
        <f>IFERROR(__xludf.DUMMYFUNCTION("""COMPUTED_VALUE"""),0.59375)</f>
        <v>0.59375</v>
      </c>
      <c r="G5" s="52">
        <f>IFERROR(__xludf.DUMMYFUNCTION("""COMPUTED_VALUE"""),43775.0)</f>
        <v>43775</v>
      </c>
      <c r="H5" s="53">
        <f>IFERROR(__xludf.DUMMYFUNCTION("""COMPUTED_VALUE"""),0.6354166666666666)</f>
        <v>0.6354166667</v>
      </c>
      <c r="I5" s="53">
        <f t="shared" si="1"/>
        <v>0.04166666667</v>
      </c>
    </row>
    <row r="6">
      <c r="A6" s="49" t="s">
        <v>447</v>
      </c>
      <c r="B6" s="49" t="s">
        <v>445</v>
      </c>
      <c r="C6" s="49" t="s">
        <v>448</v>
      </c>
      <c r="D6" s="49" t="s">
        <v>449</v>
      </c>
      <c r="E6" s="52">
        <f>IFERROR(__xludf.DUMMYFUNCTION("""COMPUTED_VALUE"""),43775.0)</f>
        <v>43775</v>
      </c>
      <c r="F6" s="53">
        <f>IFERROR(__xludf.DUMMYFUNCTION("""COMPUTED_VALUE"""),0.6354166666666666)</f>
        <v>0.6354166667</v>
      </c>
      <c r="G6" s="52">
        <f>IFERROR(__xludf.DUMMYFUNCTION("""COMPUTED_VALUE"""),43775.0)</f>
        <v>43775</v>
      </c>
      <c r="H6" s="53">
        <f>IFERROR(__xludf.DUMMYFUNCTION("""COMPUTED_VALUE"""),0.6770833333333334)</f>
        <v>0.6770833333</v>
      </c>
      <c r="I6" s="49"/>
    </row>
    <row r="7">
      <c r="A7" s="49" t="s">
        <v>450</v>
      </c>
      <c r="B7" s="49" t="s">
        <v>451</v>
      </c>
      <c r="C7" s="49" t="s">
        <v>452</v>
      </c>
      <c r="D7" s="49" t="s">
        <v>453</v>
      </c>
      <c r="E7" s="52">
        <f>IFERROR(__xludf.DUMMYFUNCTION("""COMPUTED_VALUE"""),43776.0)</f>
        <v>43776</v>
      </c>
      <c r="F7" s="53">
        <f>IFERROR(__xludf.DUMMYFUNCTION("""COMPUTED_VALUE"""),0.4270833333333333)</f>
        <v>0.4270833333</v>
      </c>
      <c r="G7" s="52">
        <f>IFERROR(__xludf.DUMMYFUNCTION("""COMPUTED_VALUE"""),43776.0)</f>
        <v>43776</v>
      </c>
      <c r="H7" s="53">
        <f>IFERROR(__xludf.DUMMYFUNCTION("""COMPUTED_VALUE"""),0.46875)</f>
        <v>0.46875</v>
      </c>
      <c r="I7" s="49"/>
    </row>
    <row r="8">
      <c r="A8" s="49" t="s">
        <v>454</v>
      </c>
      <c r="B8" s="49" t="s">
        <v>452</v>
      </c>
      <c r="C8" s="49" t="s">
        <v>455</v>
      </c>
      <c r="D8" s="49" t="s">
        <v>456</v>
      </c>
      <c r="E8" s="52">
        <f>IFERROR(__xludf.DUMMYFUNCTION("""COMPUTED_VALUE"""),43776.0)</f>
        <v>43776</v>
      </c>
      <c r="F8" s="53">
        <f>IFERROR(__xludf.DUMMYFUNCTION("""COMPUTED_VALUE"""),0.46875)</f>
        <v>0.46875</v>
      </c>
      <c r="G8" s="52">
        <f>IFERROR(__xludf.DUMMYFUNCTION("""COMPUTED_VALUE"""),43776.0)</f>
        <v>43776</v>
      </c>
      <c r="H8" s="53">
        <f>IFERROR(__xludf.DUMMYFUNCTION("""COMPUTED_VALUE"""),0.5104166666666666)</f>
        <v>0.5104166667</v>
      </c>
      <c r="I8" s="49"/>
    </row>
    <row r="9">
      <c r="A9" s="49" t="s">
        <v>457</v>
      </c>
      <c r="B9" s="49" t="s">
        <v>455</v>
      </c>
      <c r="C9" s="49" t="s">
        <v>458</v>
      </c>
      <c r="D9" s="49" t="s">
        <v>459</v>
      </c>
      <c r="E9" s="52">
        <f>IFERROR(__xludf.DUMMYFUNCTION("""COMPUTED_VALUE"""),43776.0)</f>
        <v>43776</v>
      </c>
      <c r="F9" s="53">
        <f>IFERROR(__xludf.DUMMYFUNCTION("""COMPUTED_VALUE"""),0.5104166666666666)</f>
        <v>0.5104166667</v>
      </c>
      <c r="G9" s="52">
        <f>IFERROR(__xludf.DUMMYFUNCTION("""COMPUTED_VALUE"""),43776.0)</f>
        <v>43776</v>
      </c>
      <c r="H9" s="53">
        <f>IFERROR(__xludf.DUMMYFUNCTION("""COMPUTED_VALUE"""),0.5520833333333334)</f>
        <v>0.5520833333</v>
      </c>
      <c r="I9" s="49"/>
    </row>
    <row r="10">
      <c r="A10" s="49" t="s">
        <v>461</v>
      </c>
      <c r="B10" s="49" t="s">
        <v>462</v>
      </c>
      <c r="C10" s="49" t="s">
        <v>463</v>
      </c>
      <c r="D10" s="49" t="s">
        <v>464</v>
      </c>
      <c r="E10" s="52">
        <f>IFERROR(__xludf.DUMMYFUNCTION("""COMPUTED_VALUE"""),43776.0)</f>
        <v>43776</v>
      </c>
      <c r="F10" s="53">
        <f>IFERROR(__xludf.DUMMYFUNCTION("""COMPUTED_VALUE"""),0.59375)</f>
        <v>0.59375</v>
      </c>
      <c r="G10" s="52">
        <f>IFERROR(__xludf.DUMMYFUNCTION("""COMPUTED_VALUE"""),43776.0)</f>
        <v>43776</v>
      </c>
      <c r="H10" s="53">
        <f>IFERROR(__xludf.DUMMYFUNCTION("""COMPUTED_VALUE"""),0.6354166666666666)</f>
        <v>0.6354166667</v>
      </c>
      <c r="I10" s="49"/>
    </row>
    <row r="11">
      <c r="A11" s="49" t="s">
        <v>465</v>
      </c>
      <c r="B11" s="49" t="s">
        <v>463</v>
      </c>
      <c r="C11" s="49" t="s">
        <v>466</v>
      </c>
      <c r="D11" s="49" t="s">
        <v>467</v>
      </c>
      <c r="E11" s="52">
        <f>IFERROR(__xludf.DUMMYFUNCTION("""COMPUTED_VALUE"""),43776.0)</f>
        <v>43776</v>
      </c>
      <c r="F11" s="53">
        <f>IFERROR(__xludf.DUMMYFUNCTION("""COMPUTED_VALUE"""),0.6354166666666666)</f>
        <v>0.6354166667</v>
      </c>
      <c r="G11" s="52">
        <f>IFERROR(__xludf.DUMMYFUNCTION("""COMPUTED_VALUE"""),43776.0)</f>
        <v>43776</v>
      </c>
      <c r="H11" s="53">
        <f>IFERROR(__xludf.DUMMYFUNCTION("""COMPUTED_VALUE"""),0.6770833333333334)</f>
        <v>0.6770833333</v>
      </c>
      <c r="I11" s="49"/>
    </row>
    <row r="12">
      <c r="A12" s="49" t="s">
        <v>470</v>
      </c>
      <c r="B12" s="49" t="s">
        <v>466</v>
      </c>
      <c r="C12" s="49" t="s">
        <v>471</v>
      </c>
      <c r="D12" s="49" t="s">
        <v>472</v>
      </c>
      <c r="E12" s="52">
        <f>IFERROR(__xludf.DUMMYFUNCTION("""COMPUTED_VALUE"""),43776.0)</f>
        <v>43776</v>
      </c>
      <c r="F12" s="53">
        <f>IFERROR(__xludf.DUMMYFUNCTION("""COMPUTED_VALUE"""),0.6770833333333334)</f>
        <v>0.6770833333</v>
      </c>
      <c r="G12" s="52">
        <f>IFERROR(__xludf.DUMMYFUNCTION("""COMPUTED_VALUE"""),43776.0)</f>
        <v>43776</v>
      </c>
      <c r="H12" s="53">
        <f>IFERROR(__xludf.DUMMYFUNCTION("""COMPUTED_VALUE"""),0.71875)</f>
        <v>0.71875</v>
      </c>
      <c r="I12" s="49"/>
    </row>
    <row r="13">
      <c r="E13" s="10" t="str">
        <f>IFERROR(__xludf.DUMMYFUNCTION("""COMPUTED_VALUE"""),"#VALUE!")</f>
        <v>#VALUE!</v>
      </c>
      <c r="F13" s="10" t="str">
        <f>IFERROR(__xludf.DUMMYFUNCTION("""COMPUTED_VALUE"""),"")</f>
        <v/>
      </c>
      <c r="G13" s="10" t="str">
        <f>IFERROR(__xludf.DUMMYFUNCTION("""COMPUTED_VALUE"""),"#VALUE!")</f>
        <v>#VALUE!</v>
      </c>
      <c r="H13" s="10" t="str">
        <f>IFERROR(__xludf.DUMMYFUNCTION("""COMPUTED_VALUE"""),"")</f>
        <v/>
      </c>
    </row>
    <row r="14">
      <c r="E14" s="10" t="str">
        <f>IFERROR(__xludf.DUMMYFUNCTION("""COMPUTED_VALUE"""),"#VALUE!")</f>
        <v>#VALUE!</v>
      </c>
      <c r="F14" s="10" t="str">
        <f>IFERROR(__xludf.DUMMYFUNCTION("""COMPUTED_VALUE"""),"")</f>
        <v/>
      </c>
      <c r="G14" s="10" t="str">
        <f>IFERROR(__xludf.DUMMYFUNCTION("""COMPUTED_VALUE"""),"#VALUE!")</f>
        <v>#VALUE!</v>
      </c>
      <c r="H14" s="10" t="str">
        <f>IFERROR(__xludf.DUMMYFUNCTION("""COMPUTED_VALUE"""),"")</f>
        <v/>
      </c>
    </row>
    <row r="15">
      <c r="E15" s="10" t="str">
        <f>IFERROR(__xludf.DUMMYFUNCTION("""COMPUTED_VALUE"""),"#VALUE!")</f>
        <v>#VALUE!</v>
      </c>
      <c r="F15" s="10" t="str">
        <f>IFERROR(__xludf.DUMMYFUNCTION("""COMPUTED_VALUE"""),"")</f>
        <v/>
      </c>
      <c r="G15" s="10" t="str">
        <f>IFERROR(__xludf.DUMMYFUNCTION("""COMPUTED_VALUE"""),"#VALUE!")</f>
        <v>#VALUE!</v>
      </c>
      <c r="H15" s="10" t="str">
        <f>IFERROR(__xludf.DUMMYFUNCTION("""COMPUTED_VALUE"""),"")</f>
        <v/>
      </c>
    </row>
    <row r="16">
      <c r="E16" s="10" t="str">
        <f>IFERROR(__xludf.DUMMYFUNCTION("""COMPUTED_VALUE"""),"#VALUE!")</f>
        <v>#VALUE!</v>
      </c>
      <c r="F16" s="10" t="str">
        <f>IFERROR(__xludf.DUMMYFUNCTION("""COMPUTED_VALUE"""),"")</f>
        <v/>
      </c>
      <c r="G16" s="10" t="str">
        <f>IFERROR(__xludf.DUMMYFUNCTION("""COMPUTED_VALUE"""),"#VALUE!")</f>
        <v>#VALUE!</v>
      </c>
      <c r="H16" s="10" t="str">
        <f>IFERROR(__xludf.DUMMYFUNCTION("""COMPUTED_VALUE"""),"")</f>
        <v/>
      </c>
    </row>
    <row r="17">
      <c r="E17" s="10" t="str">
        <f>IFERROR(__xludf.DUMMYFUNCTION("""COMPUTED_VALUE"""),"#VALUE!")</f>
        <v>#VALUE!</v>
      </c>
      <c r="F17" s="10" t="str">
        <f>IFERROR(__xludf.DUMMYFUNCTION("""COMPUTED_VALUE"""),"")</f>
        <v/>
      </c>
      <c r="G17" s="10" t="str">
        <f>IFERROR(__xludf.DUMMYFUNCTION("""COMPUTED_VALUE"""),"#VALUE!")</f>
        <v>#VALUE!</v>
      </c>
      <c r="H17" s="10" t="str">
        <f>IFERROR(__xludf.DUMMYFUNCTION("""COMPUTED_VALUE"""),"")</f>
        <v/>
      </c>
    </row>
    <row r="18">
      <c r="E18" s="10" t="str">
        <f>IFERROR(__xludf.DUMMYFUNCTION("""COMPUTED_VALUE"""),"#VALUE!")</f>
        <v>#VALUE!</v>
      </c>
      <c r="F18" s="10" t="str">
        <f>IFERROR(__xludf.DUMMYFUNCTION("""COMPUTED_VALUE"""),"")</f>
        <v/>
      </c>
      <c r="G18" s="10" t="str">
        <f>IFERROR(__xludf.DUMMYFUNCTION("""COMPUTED_VALUE"""),"#VALUE!")</f>
        <v>#VALUE!</v>
      </c>
      <c r="H18" s="10" t="str">
        <f>IFERROR(__xludf.DUMMYFUNCTION("""COMPUTED_VALUE"""),"")</f>
        <v/>
      </c>
    </row>
    <row r="19">
      <c r="E19" s="10" t="str">
        <f>IFERROR(__xludf.DUMMYFUNCTION("""COMPUTED_VALUE"""),"#VALUE!")</f>
        <v>#VALUE!</v>
      </c>
      <c r="F19" s="10" t="str">
        <f>IFERROR(__xludf.DUMMYFUNCTION("""COMPUTED_VALUE"""),"")</f>
        <v/>
      </c>
      <c r="G19" s="10" t="str">
        <f>IFERROR(__xludf.DUMMYFUNCTION("""COMPUTED_VALUE"""),"#VALUE!")</f>
        <v>#VALUE!</v>
      </c>
      <c r="H19" s="10" t="str">
        <f>IFERROR(__xludf.DUMMYFUNCTION("""COMPUTED_VALUE"""),"")</f>
        <v/>
      </c>
    </row>
    <row r="20">
      <c r="E20" s="10" t="str">
        <f>IFERROR(__xludf.DUMMYFUNCTION("""COMPUTED_VALUE"""),"#VALUE!")</f>
        <v>#VALUE!</v>
      </c>
      <c r="F20" s="10" t="str">
        <f>IFERROR(__xludf.DUMMYFUNCTION("""COMPUTED_VALUE"""),"")</f>
        <v/>
      </c>
      <c r="G20" s="10" t="str">
        <f>IFERROR(__xludf.DUMMYFUNCTION("""COMPUTED_VALUE"""),"#VALUE!")</f>
        <v>#VALUE!</v>
      </c>
      <c r="H20" s="10" t="str">
        <f>IFERROR(__xludf.DUMMYFUNCTION("""COMPUTED_VALUE"""),"")</f>
        <v/>
      </c>
    </row>
    <row r="21">
      <c r="E21" s="10" t="str">
        <f>IFERROR(__xludf.DUMMYFUNCTION("""COMPUTED_VALUE"""),"#VALUE!")</f>
        <v>#VALUE!</v>
      </c>
      <c r="F21" s="10" t="str">
        <f>IFERROR(__xludf.DUMMYFUNCTION("""COMPUTED_VALUE"""),"")</f>
        <v/>
      </c>
      <c r="G21" s="10" t="str">
        <f>IFERROR(__xludf.DUMMYFUNCTION("""COMPUTED_VALUE"""),"#VALUE!")</f>
        <v>#VALUE!</v>
      </c>
      <c r="H21" s="10" t="str">
        <f>IFERROR(__xludf.DUMMYFUNCTION("""COMPUTED_VALUE"""),"")</f>
        <v/>
      </c>
    </row>
    <row r="22">
      <c r="E22" s="10" t="str">
        <f>IFERROR(__xludf.DUMMYFUNCTION("""COMPUTED_VALUE"""),"#VALUE!")</f>
        <v>#VALUE!</v>
      </c>
      <c r="F22" s="10" t="str">
        <f>IFERROR(__xludf.DUMMYFUNCTION("""COMPUTED_VALUE"""),"")</f>
        <v/>
      </c>
      <c r="G22" s="10" t="str">
        <f>IFERROR(__xludf.DUMMYFUNCTION("""COMPUTED_VALUE"""),"#VALUE!")</f>
        <v>#VALUE!</v>
      </c>
      <c r="H22" s="10" t="str">
        <f>IFERROR(__xludf.DUMMYFUNCTION("""COMPUTED_VALUE"""),"")</f>
        <v/>
      </c>
    </row>
    <row r="23">
      <c r="E23" s="10" t="str">
        <f>IFERROR(__xludf.DUMMYFUNCTION("""COMPUTED_VALUE"""),"#VALUE!")</f>
        <v>#VALUE!</v>
      </c>
      <c r="F23" s="10" t="str">
        <f>IFERROR(__xludf.DUMMYFUNCTION("""COMPUTED_VALUE"""),"")</f>
        <v/>
      </c>
      <c r="G23" s="10" t="str">
        <f>IFERROR(__xludf.DUMMYFUNCTION("""COMPUTED_VALUE"""),"#VALUE!")</f>
        <v>#VALUE!</v>
      </c>
      <c r="H23" s="10" t="str">
        <f>IFERROR(__xludf.DUMMYFUNCTION("""COMPUTED_VALUE"""),"")</f>
        <v/>
      </c>
    </row>
    <row r="24">
      <c r="E24" s="10" t="str">
        <f>IFERROR(__xludf.DUMMYFUNCTION("""COMPUTED_VALUE"""),"#VALUE!")</f>
        <v>#VALUE!</v>
      </c>
      <c r="F24" s="10" t="str">
        <f>IFERROR(__xludf.DUMMYFUNCTION("""COMPUTED_VALUE"""),"")</f>
        <v/>
      </c>
      <c r="G24" s="10" t="str">
        <f>IFERROR(__xludf.DUMMYFUNCTION("""COMPUTED_VALUE"""),"#VALUE!")</f>
        <v>#VALUE!</v>
      </c>
      <c r="H24" s="10" t="str">
        <f>IFERROR(__xludf.DUMMYFUNCTION("""COMPUTED_VALUE"""),"")</f>
        <v/>
      </c>
    </row>
    <row r="25">
      <c r="E25" s="10" t="str">
        <f>IFERROR(__xludf.DUMMYFUNCTION("""COMPUTED_VALUE"""),"#VALUE!")</f>
        <v>#VALUE!</v>
      </c>
      <c r="F25" s="10" t="str">
        <f>IFERROR(__xludf.DUMMYFUNCTION("""COMPUTED_VALUE"""),"")</f>
        <v/>
      </c>
      <c r="G25" s="10" t="str">
        <f>IFERROR(__xludf.DUMMYFUNCTION("""COMPUTED_VALUE"""),"#VALUE!")</f>
        <v>#VALUE!</v>
      </c>
      <c r="H25" s="10" t="str">
        <f>IFERROR(__xludf.DUMMYFUNCTION("""COMPUTED_VALUE"""),"")</f>
        <v/>
      </c>
    </row>
    <row r="26">
      <c r="E26" s="10" t="str">
        <f>IFERROR(__xludf.DUMMYFUNCTION("""COMPUTED_VALUE"""),"#VALUE!")</f>
        <v>#VALUE!</v>
      </c>
      <c r="F26" s="10" t="str">
        <f>IFERROR(__xludf.DUMMYFUNCTION("""COMPUTED_VALUE"""),"")</f>
        <v/>
      </c>
      <c r="G26" s="10" t="str">
        <f>IFERROR(__xludf.DUMMYFUNCTION("""COMPUTED_VALUE"""),"#VALUE!")</f>
        <v>#VALUE!</v>
      </c>
      <c r="H26" s="10" t="str">
        <f>IFERROR(__xludf.DUMMYFUNCTION("""COMPUTED_VALUE"""),"")</f>
        <v/>
      </c>
    </row>
    <row r="27">
      <c r="E27" s="10" t="str">
        <f>IFERROR(__xludf.DUMMYFUNCTION("""COMPUTED_VALUE"""),"#VALUE!")</f>
        <v>#VALUE!</v>
      </c>
      <c r="F27" s="10" t="str">
        <f>IFERROR(__xludf.DUMMYFUNCTION("""COMPUTED_VALUE"""),"")</f>
        <v/>
      </c>
      <c r="G27" s="10" t="str">
        <f>IFERROR(__xludf.DUMMYFUNCTION("""COMPUTED_VALUE"""),"#VALUE!")</f>
        <v>#VALUE!</v>
      </c>
      <c r="H27" s="10" t="str">
        <f>IFERROR(__xludf.DUMMYFUNCTION("""COMPUTED_VALUE"""),"")</f>
        <v/>
      </c>
    </row>
    <row r="28">
      <c r="E28" s="10" t="str">
        <f>IFERROR(__xludf.DUMMYFUNCTION("""COMPUTED_VALUE"""),"#VALUE!")</f>
        <v>#VALUE!</v>
      </c>
      <c r="F28" s="10" t="str">
        <f>IFERROR(__xludf.DUMMYFUNCTION("""COMPUTED_VALUE"""),"")</f>
        <v/>
      </c>
      <c r="G28" s="10" t="str">
        <f>IFERROR(__xludf.DUMMYFUNCTION("""COMPUTED_VALUE"""),"#VALUE!")</f>
        <v>#VALUE!</v>
      </c>
      <c r="H28" s="10" t="str">
        <f>IFERROR(__xludf.DUMMYFUNCTION("""COMPUTED_VALUE"""),"")</f>
        <v/>
      </c>
    </row>
    <row r="29">
      <c r="E29" s="10" t="str">
        <f>IFERROR(__xludf.DUMMYFUNCTION("""COMPUTED_VALUE"""),"#VALUE!")</f>
        <v>#VALUE!</v>
      </c>
      <c r="F29" s="10" t="str">
        <f>IFERROR(__xludf.DUMMYFUNCTION("""COMPUTED_VALUE"""),"")</f>
        <v/>
      </c>
      <c r="G29" s="10" t="str">
        <f>IFERROR(__xludf.DUMMYFUNCTION("""COMPUTED_VALUE"""),"#VALUE!")</f>
        <v>#VALUE!</v>
      </c>
      <c r="H29" s="10" t="str">
        <f>IFERROR(__xludf.DUMMYFUNCTION("""COMPUTED_VALUE"""),"")</f>
        <v/>
      </c>
    </row>
    <row r="30">
      <c r="E30" s="10" t="str">
        <f>IFERROR(__xludf.DUMMYFUNCTION("""COMPUTED_VALUE"""),"#VALUE!")</f>
        <v>#VALUE!</v>
      </c>
      <c r="F30" s="10" t="str">
        <f>IFERROR(__xludf.DUMMYFUNCTION("""COMPUTED_VALUE"""),"")</f>
        <v/>
      </c>
      <c r="G30" s="10" t="str">
        <f>IFERROR(__xludf.DUMMYFUNCTION("""COMPUTED_VALUE"""),"#VALUE!")</f>
        <v>#VALUE!</v>
      </c>
      <c r="H30" s="10" t="str">
        <f>IFERROR(__xludf.DUMMYFUNCTION("""COMPUTED_VALUE"""),"")</f>
        <v/>
      </c>
    </row>
    <row r="31">
      <c r="E31" s="10" t="str">
        <f>IFERROR(__xludf.DUMMYFUNCTION("""COMPUTED_VALUE"""),"#VALUE!")</f>
        <v>#VALUE!</v>
      </c>
      <c r="F31" s="10" t="str">
        <f>IFERROR(__xludf.DUMMYFUNCTION("""COMPUTED_VALUE"""),"")</f>
        <v/>
      </c>
      <c r="G31" s="10" t="str">
        <f>IFERROR(__xludf.DUMMYFUNCTION("""COMPUTED_VALUE"""),"#VALUE!")</f>
        <v>#VALUE!</v>
      </c>
      <c r="H31" s="10" t="str">
        <f>IFERROR(__xludf.DUMMYFUNCTION("""COMPUTED_VALUE"""),"")</f>
        <v/>
      </c>
    </row>
    <row r="32">
      <c r="E32" s="10" t="str">
        <f>IFERROR(__xludf.DUMMYFUNCTION("""COMPUTED_VALUE"""),"#VALUE!")</f>
        <v>#VALUE!</v>
      </c>
      <c r="F32" s="10" t="str">
        <f>IFERROR(__xludf.DUMMYFUNCTION("""COMPUTED_VALUE"""),"")</f>
        <v/>
      </c>
      <c r="G32" s="10" t="str">
        <f>IFERROR(__xludf.DUMMYFUNCTION("""COMPUTED_VALUE"""),"#VALUE!")</f>
        <v>#VALUE!</v>
      </c>
      <c r="H32" s="10" t="str">
        <f>IFERROR(__xludf.DUMMYFUNCTION("""COMPUTED_VALUE"""),"")</f>
        <v/>
      </c>
    </row>
    <row r="33">
      <c r="E33" s="10" t="str">
        <f>IFERROR(__xludf.DUMMYFUNCTION("""COMPUTED_VALUE"""),"#VALUE!")</f>
        <v>#VALUE!</v>
      </c>
      <c r="F33" s="10" t="str">
        <f>IFERROR(__xludf.DUMMYFUNCTION("""COMPUTED_VALUE"""),"")</f>
        <v/>
      </c>
      <c r="G33" s="10" t="str">
        <f>IFERROR(__xludf.DUMMYFUNCTION("""COMPUTED_VALUE"""),"#VALUE!")</f>
        <v>#VALUE!</v>
      </c>
      <c r="H33" s="10" t="str">
        <f>IFERROR(__xludf.DUMMYFUNCTION("""COMPUTED_VALUE"""),"")</f>
        <v/>
      </c>
    </row>
    <row r="34">
      <c r="E34" s="10" t="str">
        <f>IFERROR(__xludf.DUMMYFUNCTION("""COMPUTED_VALUE"""),"#VALUE!")</f>
        <v>#VALUE!</v>
      </c>
      <c r="F34" s="10" t="str">
        <f>IFERROR(__xludf.DUMMYFUNCTION("""COMPUTED_VALUE"""),"")</f>
        <v/>
      </c>
      <c r="G34" s="10" t="str">
        <f>IFERROR(__xludf.DUMMYFUNCTION("""COMPUTED_VALUE"""),"#VALUE!")</f>
        <v>#VALUE!</v>
      </c>
      <c r="H34" s="10" t="str">
        <f>IFERROR(__xludf.DUMMYFUNCTION("""COMPUTED_VALUE"""),"")</f>
        <v/>
      </c>
    </row>
    <row r="35">
      <c r="E35" s="10" t="str">
        <f>IFERROR(__xludf.DUMMYFUNCTION("""COMPUTED_VALUE"""),"#VALUE!")</f>
        <v>#VALUE!</v>
      </c>
      <c r="F35" s="10" t="str">
        <f>IFERROR(__xludf.DUMMYFUNCTION("""COMPUTED_VALUE"""),"")</f>
        <v/>
      </c>
      <c r="G35" s="10" t="str">
        <f>IFERROR(__xludf.DUMMYFUNCTION("""COMPUTED_VALUE"""),"#VALUE!")</f>
        <v>#VALUE!</v>
      </c>
      <c r="H35" s="10" t="str">
        <f>IFERROR(__xludf.DUMMYFUNCTION("""COMPUTED_VALUE"""),"")</f>
        <v/>
      </c>
    </row>
    <row r="36">
      <c r="E36" s="10" t="str">
        <f>IFERROR(__xludf.DUMMYFUNCTION("""COMPUTED_VALUE"""),"#VALUE!")</f>
        <v>#VALUE!</v>
      </c>
      <c r="F36" s="10" t="str">
        <f>IFERROR(__xludf.DUMMYFUNCTION("""COMPUTED_VALUE"""),"")</f>
        <v/>
      </c>
      <c r="G36" s="10" t="str">
        <f>IFERROR(__xludf.DUMMYFUNCTION("""COMPUTED_VALUE"""),"#VALUE!")</f>
        <v>#VALUE!</v>
      </c>
      <c r="H36" s="10" t="str">
        <f>IFERROR(__xludf.DUMMYFUNCTION("""COMPUTED_VALUE"""),"")</f>
        <v/>
      </c>
    </row>
    <row r="37">
      <c r="E37" s="10" t="str">
        <f>IFERROR(__xludf.DUMMYFUNCTION("""COMPUTED_VALUE"""),"#VALUE!")</f>
        <v>#VALUE!</v>
      </c>
      <c r="F37" s="10" t="str">
        <f>IFERROR(__xludf.DUMMYFUNCTION("""COMPUTED_VALUE"""),"")</f>
        <v/>
      </c>
      <c r="G37" s="10" t="str">
        <f>IFERROR(__xludf.DUMMYFUNCTION("""COMPUTED_VALUE"""),"#VALUE!")</f>
        <v>#VALUE!</v>
      </c>
      <c r="H37" s="10" t="str">
        <f>IFERROR(__xludf.DUMMYFUNCTION("""COMPUTED_VALUE"""),"")</f>
        <v/>
      </c>
    </row>
    <row r="38">
      <c r="E38" s="10" t="str">
        <f>IFERROR(__xludf.DUMMYFUNCTION("""COMPUTED_VALUE"""),"#VALUE!")</f>
        <v>#VALUE!</v>
      </c>
      <c r="F38" s="10" t="str">
        <f>IFERROR(__xludf.DUMMYFUNCTION("""COMPUTED_VALUE"""),"")</f>
        <v/>
      </c>
      <c r="G38" s="10" t="str">
        <f>IFERROR(__xludf.DUMMYFUNCTION("""COMPUTED_VALUE"""),"#VALUE!")</f>
        <v>#VALUE!</v>
      </c>
      <c r="H38" s="10" t="str">
        <f>IFERROR(__xludf.DUMMYFUNCTION("""COMPUTED_VALUE"""),"")</f>
        <v/>
      </c>
    </row>
    <row r="39">
      <c r="E39" s="10" t="str">
        <f>IFERROR(__xludf.DUMMYFUNCTION("""COMPUTED_VALUE"""),"#VALUE!")</f>
        <v>#VALUE!</v>
      </c>
      <c r="F39" s="10" t="str">
        <f>IFERROR(__xludf.DUMMYFUNCTION("""COMPUTED_VALUE"""),"")</f>
        <v/>
      </c>
      <c r="G39" s="10" t="str">
        <f>IFERROR(__xludf.DUMMYFUNCTION("""COMPUTED_VALUE"""),"#VALUE!")</f>
        <v>#VALUE!</v>
      </c>
      <c r="H39" s="10" t="str">
        <f>IFERROR(__xludf.DUMMYFUNCTION("""COMPUTED_VALUE"""),"")</f>
        <v/>
      </c>
    </row>
    <row r="40">
      <c r="E40" s="10" t="str">
        <f>IFERROR(__xludf.DUMMYFUNCTION("""COMPUTED_VALUE"""),"#VALUE!")</f>
        <v>#VALUE!</v>
      </c>
      <c r="F40" s="10" t="str">
        <f>IFERROR(__xludf.DUMMYFUNCTION("""COMPUTED_VALUE"""),"")</f>
        <v/>
      </c>
      <c r="G40" s="10" t="str">
        <f>IFERROR(__xludf.DUMMYFUNCTION("""COMPUTED_VALUE"""),"#VALUE!")</f>
        <v>#VALUE!</v>
      </c>
      <c r="H40" s="10" t="str">
        <f>IFERROR(__xludf.DUMMYFUNCTION("""COMPUTED_VALUE"""),"")</f>
        <v/>
      </c>
    </row>
    <row r="41">
      <c r="E41" s="10" t="str">
        <f>IFERROR(__xludf.DUMMYFUNCTION("""COMPUTED_VALUE"""),"#VALUE!")</f>
        <v>#VALUE!</v>
      </c>
      <c r="F41" s="10" t="str">
        <f>IFERROR(__xludf.DUMMYFUNCTION("""COMPUTED_VALUE"""),"")</f>
        <v/>
      </c>
      <c r="G41" s="10" t="str">
        <f>IFERROR(__xludf.DUMMYFUNCTION("""COMPUTED_VALUE"""),"#VALUE!")</f>
        <v>#VALUE!</v>
      </c>
      <c r="H41" s="10" t="str">
        <f>IFERROR(__xludf.DUMMYFUNCTION("""COMPUTED_VALUE"""),"")</f>
        <v/>
      </c>
    </row>
    <row r="42">
      <c r="E42" s="10" t="str">
        <f>IFERROR(__xludf.DUMMYFUNCTION("""COMPUTED_VALUE"""),"#VALUE!")</f>
        <v>#VALUE!</v>
      </c>
      <c r="F42" s="10" t="str">
        <f>IFERROR(__xludf.DUMMYFUNCTION("""COMPUTED_VALUE"""),"")</f>
        <v/>
      </c>
      <c r="G42" s="10" t="str">
        <f>IFERROR(__xludf.DUMMYFUNCTION("""COMPUTED_VALUE"""),"#VALUE!")</f>
        <v>#VALUE!</v>
      </c>
      <c r="H42" s="10" t="str">
        <f>IFERROR(__xludf.DUMMYFUNCTION("""COMPUTED_VALUE"""),"")</f>
        <v/>
      </c>
    </row>
    <row r="43">
      <c r="E43" s="10" t="str">
        <f>IFERROR(__xludf.DUMMYFUNCTION("""COMPUTED_VALUE"""),"#VALUE!")</f>
        <v>#VALUE!</v>
      </c>
      <c r="F43" s="10" t="str">
        <f>IFERROR(__xludf.DUMMYFUNCTION("""COMPUTED_VALUE"""),"")</f>
        <v/>
      </c>
      <c r="G43" s="10" t="str">
        <f>IFERROR(__xludf.DUMMYFUNCTION("""COMPUTED_VALUE"""),"#VALUE!")</f>
        <v>#VALUE!</v>
      </c>
      <c r="H43" s="10" t="str">
        <f>IFERROR(__xludf.DUMMYFUNCTION("""COMPUTED_VALUE"""),"")</f>
        <v/>
      </c>
    </row>
    <row r="44">
      <c r="E44" s="10" t="str">
        <f>IFERROR(__xludf.DUMMYFUNCTION("""COMPUTED_VALUE"""),"#VALUE!")</f>
        <v>#VALUE!</v>
      </c>
      <c r="F44" s="10" t="str">
        <f>IFERROR(__xludf.DUMMYFUNCTION("""COMPUTED_VALUE"""),"")</f>
        <v/>
      </c>
      <c r="G44" s="10" t="str">
        <f>IFERROR(__xludf.DUMMYFUNCTION("""COMPUTED_VALUE"""),"#VALUE!")</f>
        <v>#VALUE!</v>
      </c>
      <c r="H44" s="10" t="str">
        <f>IFERROR(__xludf.DUMMYFUNCTION("""COMPUTED_VALUE"""),"")</f>
        <v/>
      </c>
    </row>
    <row r="45">
      <c r="E45" s="10" t="str">
        <f>IFERROR(__xludf.DUMMYFUNCTION("""COMPUTED_VALUE"""),"#VALUE!")</f>
        <v>#VALUE!</v>
      </c>
      <c r="F45" s="10" t="str">
        <f>IFERROR(__xludf.DUMMYFUNCTION("""COMPUTED_VALUE"""),"")</f>
        <v/>
      </c>
      <c r="G45" s="10" t="str">
        <f>IFERROR(__xludf.DUMMYFUNCTION("""COMPUTED_VALUE"""),"#VALUE!")</f>
        <v>#VALUE!</v>
      </c>
      <c r="H45" s="10" t="str">
        <f>IFERROR(__xludf.DUMMYFUNCTION("""COMPUTED_VALUE"""),"")</f>
        <v/>
      </c>
    </row>
    <row r="46">
      <c r="E46" s="10" t="str">
        <f>IFERROR(__xludf.DUMMYFUNCTION("""COMPUTED_VALUE"""),"#VALUE!")</f>
        <v>#VALUE!</v>
      </c>
      <c r="F46" s="10" t="str">
        <f>IFERROR(__xludf.DUMMYFUNCTION("""COMPUTED_VALUE"""),"")</f>
        <v/>
      </c>
      <c r="G46" s="10" t="str">
        <f>IFERROR(__xludf.DUMMYFUNCTION("""COMPUTED_VALUE"""),"#VALUE!")</f>
        <v>#VALUE!</v>
      </c>
      <c r="H46" s="10" t="str">
        <f>IFERROR(__xludf.DUMMYFUNCTION("""COMPUTED_VALUE"""),"")</f>
        <v/>
      </c>
    </row>
    <row r="47">
      <c r="E47" s="10" t="str">
        <f>IFERROR(__xludf.DUMMYFUNCTION("""COMPUTED_VALUE"""),"#VALUE!")</f>
        <v>#VALUE!</v>
      </c>
      <c r="F47" s="10" t="str">
        <f>IFERROR(__xludf.DUMMYFUNCTION("""COMPUTED_VALUE"""),"")</f>
        <v/>
      </c>
      <c r="G47" s="10" t="str">
        <f>IFERROR(__xludf.DUMMYFUNCTION("""COMPUTED_VALUE"""),"#VALUE!")</f>
        <v>#VALUE!</v>
      </c>
      <c r="H47" s="10" t="str">
        <f>IFERROR(__xludf.DUMMYFUNCTION("""COMPUTED_VALUE"""),"")</f>
        <v/>
      </c>
    </row>
    <row r="48">
      <c r="E48" s="10" t="str">
        <f>IFERROR(__xludf.DUMMYFUNCTION("""COMPUTED_VALUE"""),"#VALUE!")</f>
        <v>#VALUE!</v>
      </c>
      <c r="F48" s="10" t="str">
        <f>IFERROR(__xludf.DUMMYFUNCTION("""COMPUTED_VALUE"""),"")</f>
        <v/>
      </c>
      <c r="G48" s="10" t="str">
        <f>IFERROR(__xludf.DUMMYFUNCTION("""COMPUTED_VALUE"""),"#VALUE!")</f>
        <v>#VALUE!</v>
      </c>
      <c r="H48" s="10" t="str">
        <f>IFERROR(__xludf.DUMMYFUNCTION("""COMPUTED_VALUE"""),"")</f>
        <v/>
      </c>
    </row>
    <row r="49">
      <c r="E49" s="10" t="str">
        <f>IFERROR(__xludf.DUMMYFUNCTION("""COMPUTED_VALUE"""),"#VALUE!")</f>
        <v>#VALUE!</v>
      </c>
      <c r="F49" s="10" t="str">
        <f>IFERROR(__xludf.DUMMYFUNCTION("""COMPUTED_VALUE"""),"")</f>
        <v/>
      </c>
      <c r="G49" s="10" t="str">
        <f>IFERROR(__xludf.DUMMYFUNCTION("""COMPUTED_VALUE"""),"#VALUE!")</f>
        <v>#VALUE!</v>
      </c>
      <c r="H49" s="10" t="str">
        <f>IFERROR(__xludf.DUMMYFUNCTION("""COMPUTED_VALUE"""),"")</f>
        <v/>
      </c>
    </row>
    <row r="50">
      <c r="E50" s="10" t="str">
        <f>IFERROR(__xludf.DUMMYFUNCTION("""COMPUTED_VALUE"""),"#VALUE!")</f>
        <v>#VALUE!</v>
      </c>
      <c r="F50" s="10" t="str">
        <f>IFERROR(__xludf.DUMMYFUNCTION("""COMPUTED_VALUE"""),"")</f>
        <v/>
      </c>
      <c r="G50" s="10" t="str">
        <f>IFERROR(__xludf.DUMMYFUNCTION("""COMPUTED_VALUE"""),"#VALUE!")</f>
        <v>#VALUE!</v>
      </c>
      <c r="H50" s="10" t="str">
        <f>IFERROR(__xludf.DUMMYFUNCTION("""COMPUTED_VALUE"""),"")</f>
        <v/>
      </c>
    </row>
    <row r="51">
      <c r="E51" s="10" t="str">
        <f>IFERROR(__xludf.DUMMYFUNCTION("""COMPUTED_VALUE"""),"#VALUE!")</f>
        <v>#VALUE!</v>
      </c>
      <c r="F51" s="10" t="str">
        <f>IFERROR(__xludf.DUMMYFUNCTION("""COMPUTED_VALUE"""),"")</f>
        <v/>
      </c>
      <c r="G51" s="10" t="str">
        <f>IFERROR(__xludf.DUMMYFUNCTION("""COMPUTED_VALUE"""),"#VALUE!")</f>
        <v>#VALUE!</v>
      </c>
      <c r="H51" s="10" t="str">
        <f>IFERROR(__xludf.DUMMYFUNCTION("""COMPUTED_VALUE"""),"")</f>
        <v/>
      </c>
    </row>
    <row r="52">
      <c r="E52" s="10" t="str">
        <f>IFERROR(__xludf.DUMMYFUNCTION("""COMPUTED_VALUE"""),"#VALUE!")</f>
        <v>#VALUE!</v>
      </c>
      <c r="F52" s="10" t="str">
        <f>IFERROR(__xludf.DUMMYFUNCTION("""COMPUTED_VALUE"""),"")</f>
        <v/>
      </c>
      <c r="G52" s="10" t="str">
        <f>IFERROR(__xludf.DUMMYFUNCTION("""COMPUTED_VALUE"""),"#VALUE!")</f>
        <v>#VALUE!</v>
      </c>
      <c r="H52" s="10" t="str">
        <f>IFERROR(__xludf.DUMMYFUNCTION("""COMPUTED_VALUE"""),"")</f>
        <v/>
      </c>
    </row>
    <row r="53">
      <c r="E53" s="10" t="str">
        <f>IFERROR(__xludf.DUMMYFUNCTION("""COMPUTED_VALUE"""),"#VALUE!")</f>
        <v>#VALUE!</v>
      </c>
      <c r="F53" s="10" t="str">
        <f>IFERROR(__xludf.DUMMYFUNCTION("""COMPUTED_VALUE"""),"")</f>
        <v/>
      </c>
      <c r="G53" s="10" t="str">
        <f>IFERROR(__xludf.DUMMYFUNCTION("""COMPUTED_VALUE"""),"#VALUE!")</f>
        <v>#VALUE!</v>
      </c>
      <c r="H53" s="10" t="str">
        <f>IFERROR(__xludf.DUMMYFUNCTION("""COMPUTED_VALUE"""),"")</f>
        <v/>
      </c>
    </row>
    <row r="54">
      <c r="E54" s="10" t="str">
        <f>IFERROR(__xludf.DUMMYFUNCTION("""COMPUTED_VALUE"""),"#VALUE!")</f>
        <v>#VALUE!</v>
      </c>
      <c r="F54" s="10" t="str">
        <f>IFERROR(__xludf.DUMMYFUNCTION("""COMPUTED_VALUE"""),"")</f>
        <v/>
      </c>
      <c r="G54" s="10" t="str">
        <f>IFERROR(__xludf.DUMMYFUNCTION("""COMPUTED_VALUE"""),"#VALUE!")</f>
        <v>#VALUE!</v>
      </c>
      <c r="H54" s="10" t="str">
        <f>IFERROR(__xludf.DUMMYFUNCTION("""COMPUTED_VALUE"""),"")</f>
        <v/>
      </c>
    </row>
    <row r="55">
      <c r="E55" s="10" t="str">
        <f>IFERROR(__xludf.DUMMYFUNCTION("""COMPUTED_VALUE"""),"#VALUE!")</f>
        <v>#VALUE!</v>
      </c>
      <c r="F55" s="10" t="str">
        <f>IFERROR(__xludf.DUMMYFUNCTION("""COMPUTED_VALUE"""),"")</f>
        <v/>
      </c>
      <c r="G55" s="10" t="str">
        <f>IFERROR(__xludf.DUMMYFUNCTION("""COMPUTED_VALUE"""),"#VALUE!")</f>
        <v>#VALUE!</v>
      </c>
      <c r="H55" s="10" t="str">
        <f>IFERROR(__xludf.DUMMYFUNCTION("""COMPUTED_VALUE"""),"")</f>
        <v/>
      </c>
    </row>
    <row r="56">
      <c r="E56" s="10" t="str">
        <f>IFERROR(__xludf.DUMMYFUNCTION("""COMPUTED_VALUE"""),"#VALUE!")</f>
        <v>#VALUE!</v>
      </c>
      <c r="F56" s="10" t="str">
        <f>IFERROR(__xludf.DUMMYFUNCTION("""COMPUTED_VALUE"""),"")</f>
        <v/>
      </c>
      <c r="G56" s="10" t="str">
        <f>IFERROR(__xludf.DUMMYFUNCTION("""COMPUTED_VALUE"""),"#VALUE!")</f>
        <v>#VALUE!</v>
      </c>
      <c r="H56" s="10" t="str">
        <f>IFERROR(__xludf.DUMMYFUNCTION("""COMPUTED_VALUE"""),"")</f>
        <v/>
      </c>
    </row>
    <row r="57">
      <c r="E57" s="10" t="str">
        <f>IFERROR(__xludf.DUMMYFUNCTION("""COMPUTED_VALUE"""),"#VALUE!")</f>
        <v>#VALUE!</v>
      </c>
      <c r="F57" s="10" t="str">
        <f>IFERROR(__xludf.DUMMYFUNCTION("""COMPUTED_VALUE"""),"")</f>
        <v/>
      </c>
      <c r="G57" s="10" t="str">
        <f>IFERROR(__xludf.DUMMYFUNCTION("""COMPUTED_VALUE"""),"#VALUE!")</f>
        <v>#VALUE!</v>
      </c>
      <c r="H57" s="10" t="str">
        <f>IFERROR(__xludf.DUMMYFUNCTION("""COMPUTED_VALUE"""),"")</f>
        <v/>
      </c>
    </row>
    <row r="58">
      <c r="E58" s="10" t="str">
        <f>IFERROR(__xludf.DUMMYFUNCTION("""COMPUTED_VALUE"""),"#VALUE!")</f>
        <v>#VALUE!</v>
      </c>
      <c r="F58" s="10" t="str">
        <f>IFERROR(__xludf.DUMMYFUNCTION("""COMPUTED_VALUE"""),"")</f>
        <v/>
      </c>
      <c r="G58" s="10" t="str">
        <f>IFERROR(__xludf.DUMMYFUNCTION("""COMPUTED_VALUE"""),"#VALUE!")</f>
        <v>#VALUE!</v>
      </c>
      <c r="H58" s="10" t="str">
        <f>IFERROR(__xludf.DUMMYFUNCTION("""COMPUTED_VALUE"""),"")</f>
        <v/>
      </c>
    </row>
    <row r="59">
      <c r="E59" s="10" t="str">
        <f>IFERROR(__xludf.DUMMYFUNCTION("""COMPUTED_VALUE"""),"#VALUE!")</f>
        <v>#VALUE!</v>
      </c>
      <c r="F59" s="10" t="str">
        <f>IFERROR(__xludf.DUMMYFUNCTION("""COMPUTED_VALUE"""),"")</f>
        <v/>
      </c>
      <c r="G59" s="10" t="str">
        <f>IFERROR(__xludf.DUMMYFUNCTION("""COMPUTED_VALUE"""),"#VALUE!")</f>
        <v>#VALUE!</v>
      </c>
      <c r="H59" s="10" t="str">
        <f>IFERROR(__xludf.DUMMYFUNCTION("""COMPUTED_VALUE"""),"")</f>
        <v/>
      </c>
    </row>
    <row r="60">
      <c r="E60" s="10" t="str">
        <f>IFERROR(__xludf.DUMMYFUNCTION("""COMPUTED_VALUE"""),"#VALUE!")</f>
        <v>#VALUE!</v>
      </c>
      <c r="F60" s="10" t="str">
        <f>IFERROR(__xludf.DUMMYFUNCTION("""COMPUTED_VALUE"""),"")</f>
        <v/>
      </c>
      <c r="G60" s="10" t="str">
        <f>IFERROR(__xludf.DUMMYFUNCTION("""COMPUTED_VALUE"""),"#VALUE!")</f>
        <v>#VALUE!</v>
      </c>
      <c r="H60" s="10" t="str">
        <f>IFERROR(__xludf.DUMMYFUNCTION("""COMPUTED_VALUE"""),"")</f>
        <v/>
      </c>
    </row>
    <row r="61">
      <c r="E61" s="10" t="str">
        <f>IFERROR(__xludf.DUMMYFUNCTION("""COMPUTED_VALUE"""),"#VALUE!")</f>
        <v>#VALUE!</v>
      </c>
      <c r="F61" s="10" t="str">
        <f>IFERROR(__xludf.DUMMYFUNCTION("""COMPUTED_VALUE"""),"")</f>
        <v/>
      </c>
      <c r="G61" s="10" t="str">
        <f>IFERROR(__xludf.DUMMYFUNCTION("""COMPUTED_VALUE"""),"#VALUE!")</f>
        <v>#VALUE!</v>
      </c>
      <c r="H61" s="10" t="str">
        <f>IFERROR(__xludf.DUMMYFUNCTION("""COMPUTED_VALUE"""),"")</f>
        <v/>
      </c>
    </row>
    <row r="62">
      <c r="E62" s="10" t="str">
        <f>IFERROR(__xludf.DUMMYFUNCTION("""COMPUTED_VALUE"""),"#VALUE!")</f>
        <v>#VALUE!</v>
      </c>
      <c r="F62" s="10" t="str">
        <f>IFERROR(__xludf.DUMMYFUNCTION("""COMPUTED_VALUE"""),"")</f>
        <v/>
      </c>
      <c r="G62" s="10" t="str">
        <f>IFERROR(__xludf.DUMMYFUNCTION("""COMPUTED_VALUE"""),"#VALUE!")</f>
        <v>#VALUE!</v>
      </c>
      <c r="H62" s="10" t="str">
        <f>IFERROR(__xludf.DUMMYFUNCTION("""COMPUTED_VALUE"""),"")</f>
        <v/>
      </c>
    </row>
    <row r="63">
      <c r="E63" s="10" t="str">
        <f>IFERROR(__xludf.DUMMYFUNCTION("""COMPUTED_VALUE"""),"#VALUE!")</f>
        <v>#VALUE!</v>
      </c>
      <c r="F63" s="10" t="str">
        <f>IFERROR(__xludf.DUMMYFUNCTION("""COMPUTED_VALUE"""),"")</f>
        <v/>
      </c>
      <c r="G63" s="10" t="str">
        <f>IFERROR(__xludf.DUMMYFUNCTION("""COMPUTED_VALUE"""),"#VALUE!")</f>
        <v>#VALUE!</v>
      </c>
      <c r="H63" s="10" t="str">
        <f>IFERROR(__xludf.DUMMYFUNCTION("""COMPUTED_VALUE"""),"")</f>
        <v/>
      </c>
    </row>
    <row r="64">
      <c r="E64" s="10" t="str">
        <f>IFERROR(__xludf.DUMMYFUNCTION("""COMPUTED_VALUE"""),"#VALUE!")</f>
        <v>#VALUE!</v>
      </c>
      <c r="F64" s="10" t="str">
        <f>IFERROR(__xludf.DUMMYFUNCTION("""COMPUTED_VALUE"""),"")</f>
        <v/>
      </c>
      <c r="G64" s="10" t="str">
        <f>IFERROR(__xludf.DUMMYFUNCTION("""COMPUTED_VALUE"""),"#VALUE!")</f>
        <v>#VALUE!</v>
      </c>
      <c r="H64" s="10" t="str">
        <f>IFERROR(__xludf.DUMMYFUNCTION("""COMPUTED_VALUE"""),"")</f>
        <v/>
      </c>
    </row>
    <row r="65">
      <c r="E65" s="10" t="str">
        <f>IFERROR(__xludf.DUMMYFUNCTION("""COMPUTED_VALUE"""),"#VALUE!")</f>
        <v>#VALUE!</v>
      </c>
      <c r="F65" s="10" t="str">
        <f>IFERROR(__xludf.DUMMYFUNCTION("""COMPUTED_VALUE"""),"")</f>
        <v/>
      </c>
      <c r="G65" s="10" t="str">
        <f>IFERROR(__xludf.DUMMYFUNCTION("""COMPUTED_VALUE"""),"#VALUE!")</f>
        <v>#VALUE!</v>
      </c>
      <c r="H65" s="10" t="str">
        <f>IFERROR(__xludf.DUMMYFUNCTION("""COMPUTED_VALUE"""),"")</f>
        <v/>
      </c>
    </row>
    <row r="66">
      <c r="E66" s="10" t="str">
        <f>IFERROR(__xludf.DUMMYFUNCTION("""COMPUTED_VALUE"""),"#VALUE!")</f>
        <v>#VALUE!</v>
      </c>
      <c r="F66" s="10" t="str">
        <f>IFERROR(__xludf.DUMMYFUNCTION("""COMPUTED_VALUE"""),"")</f>
        <v/>
      </c>
      <c r="G66" s="10" t="str">
        <f>IFERROR(__xludf.DUMMYFUNCTION("""COMPUTED_VALUE"""),"#VALUE!")</f>
        <v>#VALUE!</v>
      </c>
      <c r="H66" s="10" t="str">
        <f>IFERROR(__xludf.DUMMYFUNCTION("""COMPUTED_VALUE"""),"")</f>
        <v/>
      </c>
    </row>
    <row r="67">
      <c r="E67" s="10" t="str">
        <f>IFERROR(__xludf.DUMMYFUNCTION("""COMPUTED_VALUE"""),"#VALUE!")</f>
        <v>#VALUE!</v>
      </c>
      <c r="F67" s="10" t="str">
        <f>IFERROR(__xludf.DUMMYFUNCTION("""COMPUTED_VALUE"""),"")</f>
        <v/>
      </c>
      <c r="G67" s="10" t="str">
        <f>IFERROR(__xludf.DUMMYFUNCTION("""COMPUTED_VALUE"""),"#VALUE!")</f>
        <v>#VALUE!</v>
      </c>
      <c r="H67" s="10" t="str">
        <f>IFERROR(__xludf.DUMMYFUNCTION("""COMPUTED_VALUE"""),"")</f>
        <v/>
      </c>
    </row>
    <row r="68">
      <c r="E68" s="10" t="str">
        <f>IFERROR(__xludf.DUMMYFUNCTION("""COMPUTED_VALUE"""),"#VALUE!")</f>
        <v>#VALUE!</v>
      </c>
      <c r="F68" s="10" t="str">
        <f>IFERROR(__xludf.DUMMYFUNCTION("""COMPUTED_VALUE"""),"")</f>
        <v/>
      </c>
      <c r="G68" s="10" t="str">
        <f>IFERROR(__xludf.DUMMYFUNCTION("""COMPUTED_VALUE"""),"#VALUE!")</f>
        <v>#VALUE!</v>
      </c>
      <c r="H68" s="10" t="str">
        <f>IFERROR(__xludf.DUMMYFUNCTION("""COMPUTED_VALUE"""),"")</f>
        <v/>
      </c>
    </row>
    <row r="69">
      <c r="E69" s="10" t="str">
        <f>IFERROR(__xludf.DUMMYFUNCTION("""COMPUTED_VALUE"""),"#VALUE!")</f>
        <v>#VALUE!</v>
      </c>
      <c r="F69" s="10" t="str">
        <f>IFERROR(__xludf.DUMMYFUNCTION("""COMPUTED_VALUE"""),"")</f>
        <v/>
      </c>
      <c r="G69" s="10" t="str">
        <f>IFERROR(__xludf.DUMMYFUNCTION("""COMPUTED_VALUE"""),"#VALUE!")</f>
        <v>#VALUE!</v>
      </c>
      <c r="H69" s="10" t="str">
        <f>IFERROR(__xludf.DUMMYFUNCTION("""COMPUTED_VALUE"""),"")</f>
        <v/>
      </c>
    </row>
    <row r="70">
      <c r="E70" s="10" t="str">
        <f>IFERROR(__xludf.DUMMYFUNCTION("""COMPUTED_VALUE"""),"#VALUE!")</f>
        <v>#VALUE!</v>
      </c>
      <c r="F70" s="10" t="str">
        <f>IFERROR(__xludf.DUMMYFUNCTION("""COMPUTED_VALUE"""),"")</f>
        <v/>
      </c>
      <c r="G70" s="10" t="str">
        <f>IFERROR(__xludf.DUMMYFUNCTION("""COMPUTED_VALUE"""),"#VALUE!")</f>
        <v>#VALUE!</v>
      </c>
      <c r="H70" s="10" t="str">
        <f>IFERROR(__xludf.DUMMYFUNCTION("""COMPUTED_VALUE"""),"")</f>
        <v/>
      </c>
    </row>
    <row r="71">
      <c r="E71" s="10" t="str">
        <f>IFERROR(__xludf.DUMMYFUNCTION("""COMPUTED_VALUE"""),"#VALUE!")</f>
        <v>#VALUE!</v>
      </c>
      <c r="F71" s="10" t="str">
        <f>IFERROR(__xludf.DUMMYFUNCTION("""COMPUTED_VALUE"""),"")</f>
        <v/>
      </c>
      <c r="G71" s="10" t="str">
        <f>IFERROR(__xludf.DUMMYFUNCTION("""COMPUTED_VALUE"""),"#VALUE!")</f>
        <v>#VALUE!</v>
      </c>
      <c r="H71" s="10" t="str">
        <f>IFERROR(__xludf.DUMMYFUNCTION("""COMPUTED_VALUE"""),"")</f>
        <v/>
      </c>
    </row>
    <row r="72">
      <c r="E72" s="10" t="str">
        <f>IFERROR(__xludf.DUMMYFUNCTION("""COMPUTED_VALUE"""),"#VALUE!")</f>
        <v>#VALUE!</v>
      </c>
      <c r="F72" s="10" t="str">
        <f>IFERROR(__xludf.DUMMYFUNCTION("""COMPUTED_VALUE"""),"")</f>
        <v/>
      </c>
      <c r="G72" s="10" t="str">
        <f>IFERROR(__xludf.DUMMYFUNCTION("""COMPUTED_VALUE"""),"#VALUE!")</f>
        <v>#VALUE!</v>
      </c>
      <c r="H72" s="10" t="str">
        <f>IFERROR(__xludf.DUMMYFUNCTION("""COMPUTED_VALUE"""),"")</f>
        <v/>
      </c>
    </row>
    <row r="73">
      <c r="E73" s="10" t="str">
        <f>IFERROR(__xludf.DUMMYFUNCTION("""COMPUTED_VALUE"""),"#VALUE!")</f>
        <v>#VALUE!</v>
      </c>
      <c r="F73" s="10" t="str">
        <f>IFERROR(__xludf.DUMMYFUNCTION("""COMPUTED_VALUE"""),"")</f>
        <v/>
      </c>
      <c r="G73" s="10" t="str">
        <f>IFERROR(__xludf.DUMMYFUNCTION("""COMPUTED_VALUE"""),"#VALUE!")</f>
        <v>#VALUE!</v>
      </c>
      <c r="H73" s="10" t="str">
        <f>IFERROR(__xludf.DUMMYFUNCTION("""COMPUTED_VALUE"""),"")</f>
        <v/>
      </c>
    </row>
    <row r="74">
      <c r="E74" s="10" t="str">
        <f>IFERROR(__xludf.DUMMYFUNCTION("""COMPUTED_VALUE"""),"#VALUE!")</f>
        <v>#VALUE!</v>
      </c>
      <c r="F74" s="10" t="str">
        <f>IFERROR(__xludf.DUMMYFUNCTION("""COMPUTED_VALUE"""),"")</f>
        <v/>
      </c>
      <c r="G74" s="10" t="str">
        <f>IFERROR(__xludf.DUMMYFUNCTION("""COMPUTED_VALUE"""),"#VALUE!")</f>
        <v>#VALUE!</v>
      </c>
      <c r="H74" s="10" t="str">
        <f>IFERROR(__xludf.DUMMYFUNCTION("""COMPUTED_VALUE"""),"")</f>
        <v/>
      </c>
    </row>
    <row r="75">
      <c r="E75" s="10" t="str">
        <f>IFERROR(__xludf.DUMMYFUNCTION("""COMPUTED_VALUE"""),"#VALUE!")</f>
        <v>#VALUE!</v>
      </c>
      <c r="F75" s="10" t="str">
        <f>IFERROR(__xludf.DUMMYFUNCTION("""COMPUTED_VALUE"""),"")</f>
        <v/>
      </c>
      <c r="G75" s="10" t="str">
        <f>IFERROR(__xludf.DUMMYFUNCTION("""COMPUTED_VALUE"""),"#VALUE!")</f>
        <v>#VALUE!</v>
      </c>
      <c r="H75" s="10" t="str">
        <f>IFERROR(__xludf.DUMMYFUNCTION("""COMPUTED_VALUE"""),"")</f>
        <v/>
      </c>
    </row>
    <row r="76">
      <c r="E76" s="10" t="str">
        <f>IFERROR(__xludf.DUMMYFUNCTION("""COMPUTED_VALUE"""),"#VALUE!")</f>
        <v>#VALUE!</v>
      </c>
      <c r="F76" s="10" t="str">
        <f>IFERROR(__xludf.DUMMYFUNCTION("""COMPUTED_VALUE"""),"")</f>
        <v/>
      </c>
      <c r="G76" s="10" t="str">
        <f>IFERROR(__xludf.DUMMYFUNCTION("""COMPUTED_VALUE"""),"#VALUE!")</f>
        <v>#VALUE!</v>
      </c>
      <c r="H76" s="10" t="str">
        <f>IFERROR(__xludf.DUMMYFUNCTION("""COMPUTED_VALUE"""),"")</f>
        <v/>
      </c>
    </row>
    <row r="77">
      <c r="E77" s="10" t="str">
        <f>IFERROR(__xludf.DUMMYFUNCTION("""COMPUTED_VALUE"""),"#VALUE!")</f>
        <v>#VALUE!</v>
      </c>
      <c r="F77" s="10" t="str">
        <f>IFERROR(__xludf.DUMMYFUNCTION("""COMPUTED_VALUE"""),"")</f>
        <v/>
      </c>
      <c r="G77" s="10" t="str">
        <f>IFERROR(__xludf.DUMMYFUNCTION("""COMPUTED_VALUE"""),"#VALUE!")</f>
        <v>#VALUE!</v>
      </c>
      <c r="H77" s="10" t="str">
        <f>IFERROR(__xludf.DUMMYFUNCTION("""COMPUTED_VALUE"""),"")</f>
        <v/>
      </c>
    </row>
    <row r="78">
      <c r="E78" s="10" t="str">
        <f>IFERROR(__xludf.DUMMYFUNCTION("""COMPUTED_VALUE"""),"#VALUE!")</f>
        <v>#VALUE!</v>
      </c>
      <c r="F78" s="10" t="str">
        <f>IFERROR(__xludf.DUMMYFUNCTION("""COMPUTED_VALUE"""),"")</f>
        <v/>
      </c>
      <c r="G78" s="10" t="str">
        <f>IFERROR(__xludf.DUMMYFUNCTION("""COMPUTED_VALUE"""),"#VALUE!")</f>
        <v>#VALUE!</v>
      </c>
      <c r="H78" s="10" t="str">
        <f>IFERROR(__xludf.DUMMYFUNCTION("""COMPUTED_VALUE"""),"")</f>
        <v/>
      </c>
    </row>
    <row r="79">
      <c r="E79" s="10" t="str">
        <f>IFERROR(__xludf.DUMMYFUNCTION("""COMPUTED_VALUE"""),"#VALUE!")</f>
        <v>#VALUE!</v>
      </c>
      <c r="F79" s="10" t="str">
        <f>IFERROR(__xludf.DUMMYFUNCTION("""COMPUTED_VALUE"""),"")</f>
        <v/>
      </c>
      <c r="G79" s="10" t="str">
        <f>IFERROR(__xludf.DUMMYFUNCTION("""COMPUTED_VALUE"""),"#VALUE!")</f>
        <v>#VALUE!</v>
      </c>
      <c r="H79" s="10" t="str">
        <f>IFERROR(__xludf.DUMMYFUNCTION("""COMPUTED_VALUE"""),"")</f>
        <v/>
      </c>
    </row>
    <row r="80">
      <c r="E80" s="10" t="str">
        <f>IFERROR(__xludf.DUMMYFUNCTION("""COMPUTED_VALUE"""),"#VALUE!")</f>
        <v>#VALUE!</v>
      </c>
      <c r="F80" s="10" t="str">
        <f>IFERROR(__xludf.DUMMYFUNCTION("""COMPUTED_VALUE"""),"")</f>
        <v/>
      </c>
      <c r="G80" s="10" t="str">
        <f>IFERROR(__xludf.DUMMYFUNCTION("""COMPUTED_VALUE"""),"#VALUE!")</f>
        <v>#VALUE!</v>
      </c>
      <c r="H80" s="10" t="str">
        <f>IFERROR(__xludf.DUMMYFUNCTION("""COMPUTED_VALUE"""),"")</f>
        <v/>
      </c>
    </row>
    <row r="81">
      <c r="E81" s="10" t="str">
        <f>IFERROR(__xludf.DUMMYFUNCTION("""COMPUTED_VALUE"""),"#VALUE!")</f>
        <v>#VALUE!</v>
      </c>
      <c r="F81" s="10" t="str">
        <f>IFERROR(__xludf.DUMMYFUNCTION("""COMPUTED_VALUE"""),"")</f>
        <v/>
      </c>
      <c r="G81" s="10" t="str">
        <f>IFERROR(__xludf.DUMMYFUNCTION("""COMPUTED_VALUE"""),"#VALUE!")</f>
        <v>#VALUE!</v>
      </c>
      <c r="H81" s="10" t="str">
        <f>IFERROR(__xludf.DUMMYFUNCTION("""COMPUTED_VALUE"""),"")</f>
        <v/>
      </c>
    </row>
    <row r="82">
      <c r="E82" s="10" t="str">
        <f>IFERROR(__xludf.DUMMYFUNCTION("""COMPUTED_VALUE"""),"#VALUE!")</f>
        <v>#VALUE!</v>
      </c>
      <c r="F82" s="10" t="str">
        <f>IFERROR(__xludf.DUMMYFUNCTION("""COMPUTED_VALUE"""),"")</f>
        <v/>
      </c>
      <c r="G82" s="10" t="str">
        <f>IFERROR(__xludf.DUMMYFUNCTION("""COMPUTED_VALUE"""),"#VALUE!")</f>
        <v>#VALUE!</v>
      </c>
      <c r="H82" s="10" t="str">
        <f>IFERROR(__xludf.DUMMYFUNCTION("""COMPUTED_VALUE"""),"")</f>
        <v/>
      </c>
    </row>
    <row r="83">
      <c r="E83" s="10" t="str">
        <f>IFERROR(__xludf.DUMMYFUNCTION("""COMPUTED_VALUE"""),"#VALUE!")</f>
        <v>#VALUE!</v>
      </c>
      <c r="F83" s="10" t="str">
        <f>IFERROR(__xludf.DUMMYFUNCTION("""COMPUTED_VALUE"""),"")</f>
        <v/>
      </c>
      <c r="G83" s="10" t="str">
        <f>IFERROR(__xludf.DUMMYFUNCTION("""COMPUTED_VALUE"""),"#VALUE!")</f>
        <v>#VALUE!</v>
      </c>
      <c r="H83" s="10" t="str">
        <f>IFERROR(__xludf.DUMMYFUNCTION("""COMPUTED_VALUE"""),"")</f>
        <v/>
      </c>
    </row>
    <row r="84">
      <c r="E84" s="10" t="str">
        <f>IFERROR(__xludf.DUMMYFUNCTION("""COMPUTED_VALUE"""),"#VALUE!")</f>
        <v>#VALUE!</v>
      </c>
      <c r="F84" s="10" t="str">
        <f>IFERROR(__xludf.DUMMYFUNCTION("""COMPUTED_VALUE"""),"")</f>
        <v/>
      </c>
      <c r="G84" s="10" t="str">
        <f>IFERROR(__xludf.DUMMYFUNCTION("""COMPUTED_VALUE"""),"#VALUE!")</f>
        <v>#VALUE!</v>
      </c>
      <c r="H84" s="10" t="str">
        <f>IFERROR(__xludf.DUMMYFUNCTION("""COMPUTED_VALUE"""),"")</f>
        <v/>
      </c>
    </row>
    <row r="85">
      <c r="E85" s="10" t="str">
        <f>IFERROR(__xludf.DUMMYFUNCTION("""COMPUTED_VALUE"""),"#VALUE!")</f>
        <v>#VALUE!</v>
      </c>
      <c r="F85" s="10" t="str">
        <f>IFERROR(__xludf.DUMMYFUNCTION("""COMPUTED_VALUE"""),"")</f>
        <v/>
      </c>
      <c r="G85" s="10" t="str">
        <f>IFERROR(__xludf.DUMMYFUNCTION("""COMPUTED_VALUE"""),"#VALUE!")</f>
        <v>#VALUE!</v>
      </c>
      <c r="H85" s="10" t="str">
        <f>IFERROR(__xludf.DUMMYFUNCTION("""COMPUTED_VALUE"""),"")</f>
        <v/>
      </c>
    </row>
    <row r="86">
      <c r="E86" s="10" t="str">
        <f>IFERROR(__xludf.DUMMYFUNCTION("""COMPUTED_VALUE"""),"#VALUE!")</f>
        <v>#VALUE!</v>
      </c>
      <c r="F86" s="10" t="str">
        <f>IFERROR(__xludf.DUMMYFUNCTION("""COMPUTED_VALUE"""),"")</f>
        <v/>
      </c>
      <c r="G86" s="10" t="str">
        <f>IFERROR(__xludf.DUMMYFUNCTION("""COMPUTED_VALUE"""),"#VALUE!")</f>
        <v>#VALUE!</v>
      </c>
      <c r="H86" s="10" t="str">
        <f>IFERROR(__xludf.DUMMYFUNCTION("""COMPUTED_VALUE"""),"")</f>
        <v/>
      </c>
    </row>
    <row r="87">
      <c r="E87" s="10" t="str">
        <f>IFERROR(__xludf.DUMMYFUNCTION("""COMPUTED_VALUE"""),"#VALUE!")</f>
        <v>#VALUE!</v>
      </c>
      <c r="F87" s="10" t="str">
        <f>IFERROR(__xludf.DUMMYFUNCTION("""COMPUTED_VALUE"""),"")</f>
        <v/>
      </c>
      <c r="G87" s="10" t="str">
        <f>IFERROR(__xludf.DUMMYFUNCTION("""COMPUTED_VALUE"""),"#VALUE!")</f>
        <v>#VALUE!</v>
      </c>
      <c r="H87" s="10" t="str">
        <f>IFERROR(__xludf.DUMMYFUNCTION("""COMPUTED_VALUE"""),"")</f>
        <v/>
      </c>
    </row>
    <row r="88">
      <c r="E88" s="10" t="str">
        <f>IFERROR(__xludf.DUMMYFUNCTION("""COMPUTED_VALUE"""),"#VALUE!")</f>
        <v>#VALUE!</v>
      </c>
      <c r="F88" s="10" t="str">
        <f>IFERROR(__xludf.DUMMYFUNCTION("""COMPUTED_VALUE"""),"")</f>
        <v/>
      </c>
      <c r="G88" s="10" t="str">
        <f>IFERROR(__xludf.DUMMYFUNCTION("""COMPUTED_VALUE"""),"#VALUE!")</f>
        <v>#VALUE!</v>
      </c>
      <c r="H88" s="10" t="str">
        <f>IFERROR(__xludf.DUMMYFUNCTION("""COMPUTED_VALUE"""),"")</f>
        <v/>
      </c>
    </row>
    <row r="89">
      <c r="E89" s="10" t="str">
        <f>IFERROR(__xludf.DUMMYFUNCTION("""COMPUTED_VALUE"""),"#VALUE!")</f>
        <v>#VALUE!</v>
      </c>
      <c r="F89" s="10" t="str">
        <f>IFERROR(__xludf.DUMMYFUNCTION("""COMPUTED_VALUE"""),"")</f>
        <v/>
      </c>
      <c r="G89" s="10" t="str">
        <f>IFERROR(__xludf.DUMMYFUNCTION("""COMPUTED_VALUE"""),"#VALUE!")</f>
        <v>#VALUE!</v>
      </c>
      <c r="H89" s="10" t="str">
        <f>IFERROR(__xludf.DUMMYFUNCTION("""COMPUTED_VALUE"""),"")</f>
        <v/>
      </c>
    </row>
    <row r="90">
      <c r="E90" s="10" t="str">
        <f>IFERROR(__xludf.DUMMYFUNCTION("""COMPUTED_VALUE"""),"#VALUE!")</f>
        <v>#VALUE!</v>
      </c>
      <c r="F90" s="10" t="str">
        <f>IFERROR(__xludf.DUMMYFUNCTION("""COMPUTED_VALUE"""),"")</f>
        <v/>
      </c>
      <c r="G90" s="10" t="str">
        <f>IFERROR(__xludf.DUMMYFUNCTION("""COMPUTED_VALUE"""),"#VALUE!")</f>
        <v>#VALUE!</v>
      </c>
      <c r="H90" s="10" t="str">
        <f>IFERROR(__xludf.DUMMYFUNCTION("""COMPUTED_VALUE"""),"")</f>
        <v/>
      </c>
    </row>
    <row r="91">
      <c r="E91" s="10" t="str">
        <f>IFERROR(__xludf.DUMMYFUNCTION("""COMPUTED_VALUE"""),"#VALUE!")</f>
        <v>#VALUE!</v>
      </c>
      <c r="F91" s="10" t="str">
        <f>IFERROR(__xludf.DUMMYFUNCTION("""COMPUTED_VALUE"""),"")</f>
        <v/>
      </c>
      <c r="G91" s="10" t="str">
        <f>IFERROR(__xludf.DUMMYFUNCTION("""COMPUTED_VALUE"""),"#VALUE!")</f>
        <v>#VALUE!</v>
      </c>
      <c r="H91" s="10" t="str">
        <f>IFERROR(__xludf.DUMMYFUNCTION("""COMPUTED_VALUE"""),"")</f>
        <v/>
      </c>
    </row>
    <row r="92">
      <c r="E92" s="10" t="str">
        <f>IFERROR(__xludf.DUMMYFUNCTION("""COMPUTED_VALUE"""),"#VALUE!")</f>
        <v>#VALUE!</v>
      </c>
      <c r="F92" s="10" t="str">
        <f>IFERROR(__xludf.DUMMYFUNCTION("""COMPUTED_VALUE"""),"")</f>
        <v/>
      </c>
      <c r="G92" s="10" t="str">
        <f>IFERROR(__xludf.DUMMYFUNCTION("""COMPUTED_VALUE"""),"#VALUE!")</f>
        <v>#VALUE!</v>
      </c>
      <c r="H92" s="10" t="str">
        <f>IFERROR(__xludf.DUMMYFUNCTION("""COMPUTED_VALUE"""),"")</f>
        <v/>
      </c>
    </row>
    <row r="93">
      <c r="E93" s="10" t="str">
        <f>IFERROR(__xludf.DUMMYFUNCTION("""COMPUTED_VALUE"""),"#VALUE!")</f>
        <v>#VALUE!</v>
      </c>
      <c r="F93" s="10" t="str">
        <f>IFERROR(__xludf.DUMMYFUNCTION("""COMPUTED_VALUE"""),"")</f>
        <v/>
      </c>
      <c r="G93" s="10" t="str">
        <f>IFERROR(__xludf.DUMMYFUNCTION("""COMPUTED_VALUE"""),"#VALUE!")</f>
        <v>#VALUE!</v>
      </c>
      <c r="H93" s="10" t="str">
        <f>IFERROR(__xludf.DUMMYFUNCTION("""COMPUTED_VALUE"""),"")</f>
        <v/>
      </c>
    </row>
    <row r="94">
      <c r="E94" s="10" t="str">
        <f>IFERROR(__xludf.DUMMYFUNCTION("""COMPUTED_VALUE"""),"#VALUE!")</f>
        <v>#VALUE!</v>
      </c>
      <c r="F94" s="10" t="str">
        <f>IFERROR(__xludf.DUMMYFUNCTION("""COMPUTED_VALUE"""),"")</f>
        <v/>
      </c>
      <c r="G94" s="10" t="str">
        <f>IFERROR(__xludf.DUMMYFUNCTION("""COMPUTED_VALUE"""),"#VALUE!")</f>
        <v>#VALUE!</v>
      </c>
      <c r="H94" s="10" t="str">
        <f>IFERROR(__xludf.DUMMYFUNCTION("""COMPUTED_VALUE"""),"")</f>
        <v/>
      </c>
    </row>
    <row r="95">
      <c r="E95" s="10" t="str">
        <f>IFERROR(__xludf.DUMMYFUNCTION("""COMPUTED_VALUE"""),"#VALUE!")</f>
        <v>#VALUE!</v>
      </c>
      <c r="F95" s="10" t="str">
        <f>IFERROR(__xludf.DUMMYFUNCTION("""COMPUTED_VALUE"""),"")</f>
        <v/>
      </c>
      <c r="G95" s="10" t="str">
        <f>IFERROR(__xludf.DUMMYFUNCTION("""COMPUTED_VALUE"""),"#VALUE!")</f>
        <v>#VALUE!</v>
      </c>
      <c r="H95" s="10" t="str">
        <f>IFERROR(__xludf.DUMMYFUNCTION("""COMPUTED_VALUE"""),"")</f>
        <v/>
      </c>
    </row>
    <row r="96">
      <c r="E96" s="10" t="str">
        <f>IFERROR(__xludf.DUMMYFUNCTION("""COMPUTED_VALUE"""),"#VALUE!")</f>
        <v>#VALUE!</v>
      </c>
      <c r="F96" s="10" t="str">
        <f>IFERROR(__xludf.DUMMYFUNCTION("""COMPUTED_VALUE"""),"")</f>
        <v/>
      </c>
      <c r="G96" s="10" t="str">
        <f>IFERROR(__xludf.DUMMYFUNCTION("""COMPUTED_VALUE"""),"#VALUE!")</f>
        <v>#VALUE!</v>
      </c>
      <c r="H96" s="10" t="str">
        <f>IFERROR(__xludf.DUMMYFUNCTION("""COMPUTED_VALUE"""),"")</f>
        <v/>
      </c>
    </row>
    <row r="97">
      <c r="E97" s="10" t="str">
        <f>IFERROR(__xludf.DUMMYFUNCTION("""COMPUTED_VALUE"""),"#VALUE!")</f>
        <v>#VALUE!</v>
      </c>
      <c r="F97" s="10" t="str">
        <f>IFERROR(__xludf.DUMMYFUNCTION("""COMPUTED_VALUE"""),"")</f>
        <v/>
      </c>
      <c r="G97" s="10" t="str">
        <f>IFERROR(__xludf.DUMMYFUNCTION("""COMPUTED_VALUE"""),"#VALUE!")</f>
        <v>#VALUE!</v>
      </c>
      <c r="H97" s="10" t="str">
        <f>IFERROR(__xludf.DUMMYFUNCTION("""COMPUTED_VALUE"""),"")</f>
        <v/>
      </c>
    </row>
    <row r="98">
      <c r="E98" s="10" t="str">
        <f>IFERROR(__xludf.DUMMYFUNCTION("""COMPUTED_VALUE"""),"#VALUE!")</f>
        <v>#VALUE!</v>
      </c>
      <c r="F98" s="10" t="str">
        <f>IFERROR(__xludf.DUMMYFUNCTION("""COMPUTED_VALUE"""),"")</f>
        <v/>
      </c>
      <c r="G98" s="10" t="str">
        <f>IFERROR(__xludf.DUMMYFUNCTION("""COMPUTED_VALUE"""),"#VALUE!")</f>
        <v>#VALUE!</v>
      </c>
      <c r="H98" s="10" t="str">
        <f>IFERROR(__xludf.DUMMYFUNCTION("""COMPUTED_VALUE"""),"")</f>
        <v/>
      </c>
    </row>
    <row r="99">
      <c r="E99" s="10" t="str">
        <f>IFERROR(__xludf.DUMMYFUNCTION("""COMPUTED_VALUE"""),"#VALUE!")</f>
        <v>#VALUE!</v>
      </c>
      <c r="F99" s="10" t="str">
        <f>IFERROR(__xludf.DUMMYFUNCTION("""COMPUTED_VALUE"""),"")</f>
        <v/>
      </c>
      <c r="G99" s="10" t="str">
        <f>IFERROR(__xludf.DUMMYFUNCTION("""COMPUTED_VALUE"""),"#VALUE!")</f>
        <v>#VALUE!</v>
      </c>
      <c r="H99" s="10" t="str">
        <f>IFERROR(__xludf.DUMMYFUNCTION("""COMPUTED_VALUE"""),"")</f>
        <v/>
      </c>
    </row>
    <row r="100">
      <c r="E100" s="10" t="str">
        <f>IFERROR(__xludf.DUMMYFUNCTION("""COMPUTED_VALUE"""),"#VALUE!")</f>
        <v>#VALUE!</v>
      </c>
      <c r="F100" s="10" t="str">
        <f>IFERROR(__xludf.DUMMYFUNCTION("""COMPUTED_VALUE"""),"")</f>
        <v/>
      </c>
      <c r="G100" s="10" t="str">
        <f>IFERROR(__xludf.DUMMYFUNCTION("""COMPUTED_VALUE"""),"#VALUE!")</f>
        <v>#VALUE!</v>
      </c>
      <c r="H100" s="10" t="str">
        <f>IFERROR(__xludf.DUMMYFUNCTION("""COMPUTED_VALUE"""),"")</f>
        <v/>
      </c>
    </row>
    <row r="101">
      <c r="E101" s="10" t="str">
        <f>IFERROR(__xludf.DUMMYFUNCTION("""COMPUTED_VALUE"""),"#VALUE!")</f>
        <v>#VALUE!</v>
      </c>
      <c r="F101" s="10" t="str">
        <f>IFERROR(__xludf.DUMMYFUNCTION("""COMPUTED_VALUE"""),"")</f>
        <v/>
      </c>
      <c r="G101" s="10" t="str">
        <f>IFERROR(__xludf.DUMMYFUNCTION("""COMPUTED_VALUE"""),"#VALUE!")</f>
        <v>#VALUE!</v>
      </c>
      <c r="H101" s="10" t="str">
        <f>IFERROR(__xludf.DUMMYFUNCTION("""COMPUTED_VALUE"""),"")</f>
        <v/>
      </c>
    </row>
    <row r="102">
      <c r="E102" s="10" t="str">
        <f>IFERROR(__xludf.DUMMYFUNCTION("""COMPUTED_VALUE"""),"#VALUE!")</f>
        <v>#VALUE!</v>
      </c>
      <c r="F102" s="10" t="str">
        <f>IFERROR(__xludf.DUMMYFUNCTION("""COMPUTED_VALUE"""),"")</f>
        <v/>
      </c>
      <c r="G102" s="10" t="str">
        <f>IFERROR(__xludf.DUMMYFUNCTION("""COMPUTED_VALUE"""),"#VALUE!")</f>
        <v>#VALUE!</v>
      </c>
      <c r="H102" s="10" t="str">
        <f>IFERROR(__xludf.DUMMYFUNCTION("""COMPUTED_VALUE"""),"")</f>
        <v/>
      </c>
    </row>
    <row r="103">
      <c r="E103" s="10" t="str">
        <f>IFERROR(__xludf.DUMMYFUNCTION("""COMPUTED_VALUE"""),"#VALUE!")</f>
        <v>#VALUE!</v>
      </c>
      <c r="F103" s="10" t="str">
        <f>IFERROR(__xludf.DUMMYFUNCTION("""COMPUTED_VALUE"""),"")</f>
        <v/>
      </c>
      <c r="G103" s="10" t="str">
        <f>IFERROR(__xludf.DUMMYFUNCTION("""COMPUTED_VALUE"""),"#VALUE!")</f>
        <v>#VALUE!</v>
      </c>
      <c r="H103" s="10" t="str">
        <f>IFERROR(__xludf.DUMMYFUNCTION("""COMPUTED_VALUE"""),"")</f>
        <v/>
      </c>
    </row>
    <row r="104">
      <c r="E104" s="10" t="str">
        <f>IFERROR(__xludf.DUMMYFUNCTION("""COMPUTED_VALUE"""),"#VALUE!")</f>
        <v>#VALUE!</v>
      </c>
      <c r="F104" s="10" t="str">
        <f>IFERROR(__xludf.DUMMYFUNCTION("""COMPUTED_VALUE"""),"")</f>
        <v/>
      </c>
      <c r="G104" s="10" t="str">
        <f>IFERROR(__xludf.DUMMYFUNCTION("""COMPUTED_VALUE"""),"#VALUE!")</f>
        <v>#VALUE!</v>
      </c>
      <c r="H104" s="10" t="str">
        <f>IFERROR(__xludf.DUMMYFUNCTION("""COMPUTED_VALUE"""),"")</f>
        <v/>
      </c>
    </row>
    <row r="105">
      <c r="E105" s="10" t="str">
        <f>IFERROR(__xludf.DUMMYFUNCTION("""COMPUTED_VALUE"""),"#VALUE!")</f>
        <v>#VALUE!</v>
      </c>
      <c r="F105" s="10" t="str">
        <f>IFERROR(__xludf.DUMMYFUNCTION("""COMPUTED_VALUE"""),"")</f>
        <v/>
      </c>
      <c r="G105" s="10" t="str">
        <f>IFERROR(__xludf.DUMMYFUNCTION("""COMPUTED_VALUE"""),"#VALUE!")</f>
        <v>#VALUE!</v>
      </c>
      <c r="H105" s="10" t="str">
        <f>IFERROR(__xludf.DUMMYFUNCTION("""COMPUTED_VALUE"""),"")</f>
        <v/>
      </c>
    </row>
    <row r="106">
      <c r="E106" s="10" t="str">
        <f>IFERROR(__xludf.DUMMYFUNCTION("""COMPUTED_VALUE"""),"#VALUE!")</f>
        <v>#VALUE!</v>
      </c>
      <c r="F106" s="10" t="str">
        <f>IFERROR(__xludf.DUMMYFUNCTION("""COMPUTED_VALUE"""),"")</f>
        <v/>
      </c>
      <c r="G106" s="10" t="str">
        <f>IFERROR(__xludf.DUMMYFUNCTION("""COMPUTED_VALUE"""),"#VALUE!")</f>
        <v>#VALUE!</v>
      </c>
      <c r="H106" s="10" t="str">
        <f>IFERROR(__xludf.DUMMYFUNCTION("""COMPUTED_VALUE"""),"")</f>
        <v/>
      </c>
    </row>
    <row r="107">
      <c r="E107" s="10" t="str">
        <f>IFERROR(__xludf.DUMMYFUNCTION("""COMPUTED_VALUE"""),"#VALUE!")</f>
        <v>#VALUE!</v>
      </c>
      <c r="F107" s="10" t="str">
        <f>IFERROR(__xludf.DUMMYFUNCTION("""COMPUTED_VALUE"""),"")</f>
        <v/>
      </c>
      <c r="G107" s="10" t="str">
        <f>IFERROR(__xludf.DUMMYFUNCTION("""COMPUTED_VALUE"""),"#VALUE!")</f>
        <v>#VALUE!</v>
      </c>
      <c r="H107" s="10" t="str">
        <f>IFERROR(__xludf.DUMMYFUNCTION("""COMPUTED_VALUE"""),"")</f>
        <v/>
      </c>
    </row>
    <row r="108">
      <c r="E108" s="10" t="str">
        <f>IFERROR(__xludf.DUMMYFUNCTION("""COMPUTED_VALUE"""),"#VALUE!")</f>
        <v>#VALUE!</v>
      </c>
      <c r="F108" s="10" t="str">
        <f>IFERROR(__xludf.DUMMYFUNCTION("""COMPUTED_VALUE"""),"")</f>
        <v/>
      </c>
      <c r="G108" s="10" t="str">
        <f>IFERROR(__xludf.DUMMYFUNCTION("""COMPUTED_VALUE"""),"#VALUE!")</f>
        <v>#VALUE!</v>
      </c>
      <c r="H108" s="10" t="str">
        <f>IFERROR(__xludf.DUMMYFUNCTION("""COMPUTED_VALUE"""),"")</f>
        <v/>
      </c>
    </row>
    <row r="109">
      <c r="E109" s="10" t="str">
        <f>IFERROR(__xludf.DUMMYFUNCTION("""COMPUTED_VALUE"""),"#VALUE!")</f>
        <v>#VALUE!</v>
      </c>
      <c r="F109" s="10" t="str">
        <f>IFERROR(__xludf.DUMMYFUNCTION("""COMPUTED_VALUE"""),"")</f>
        <v/>
      </c>
      <c r="G109" s="10" t="str">
        <f>IFERROR(__xludf.DUMMYFUNCTION("""COMPUTED_VALUE"""),"#VALUE!")</f>
        <v>#VALUE!</v>
      </c>
      <c r="H109" s="10" t="str">
        <f>IFERROR(__xludf.DUMMYFUNCTION("""COMPUTED_VALUE"""),"")</f>
        <v/>
      </c>
    </row>
    <row r="110">
      <c r="E110" s="10" t="str">
        <f>IFERROR(__xludf.DUMMYFUNCTION("""COMPUTED_VALUE"""),"#VALUE!")</f>
        <v>#VALUE!</v>
      </c>
      <c r="F110" s="10" t="str">
        <f>IFERROR(__xludf.DUMMYFUNCTION("""COMPUTED_VALUE"""),"")</f>
        <v/>
      </c>
      <c r="G110" s="10" t="str">
        <f>IFERROR(__xludf.DUMMYFUNCTION("""COMPUTED_VALUE"""),"#VALUE!")</f>
        <v>#VALUE!</v>
      </c>
      <c r="H110" s="10" t="str">
        <f>IFERROR(__xludf.DUMMYFUNCTION("""COMPUTED_VALUE"""),"")</f>
        <v/>
      </c>
    </row>
    <row r="111">
      <c r="E111" s="10" t="str">
        <f>IFERROR(__xludf.DUMMYFUNCTION("""COMPUTED_VALUE"""),"#VALUE!")</f>
        <v>#VALUE!</v>
      </c>
      <c r="F111" s="10" t="str">
        <f>IFERROR(__xludf.DUMMYFUNCTION("""COMPUTED_VALUE"""),"")</f>
        <v/>
      </c>
      <c r="G111" s="10" t="str">
        <f>IFERROR(__xludf.DUMMYFUNCTION("""COMPUTED_VALUE"""),"#VALUE!")</f>
        <v>#VALUE!</v>
      </c>
      <c r="H111" s="10" t="str">
        <f>IFERROR(__xludf.DUMMYFUNCTION("""COMPUTED_VALUE"""),"")</f>
        <v/>
      </c>
    </row>
    <row r="112">
      <c r="E112" s="10" t="str">
        <f>IFERROR(__xludf.DUMMYFUNCTION("""COMPUTED_VALUE"""),"#VALUE!")</f>
        <v>#VALUE!</v>
      </c>
      <c r="F112" s="10" t="str">
        <f>IFERROR(__xludf.DUMMYFUNCTION("""COMPUTED_VALUE"""),"")</f>
        <v/>
      </c>
      <c r="G112" s="10" t="str">
        <f>IFERROR(__xludf.DUMMYFUNCTION("""COMPUTED_VALUE"""),"#VALUE!")</f>
        <v>#VALUE!</v>
      </c>
      <c r="H112" s="10" t="str">
        <f>IFERROR(__xludf.DUMMYFUNCTION("""COMPUTED_VALUE"""),"")</f>
        <v/>
      </c>
    </row>
    <row r="113">
      <c r="E113" s="10" t="str">
        <f>IFERROR(__xludf.DUMMYFUNCTION("""COMPUTED_VALUE"""),"#VALUE!")</f>
        <v>#VALUE!</v>
      </c>
      <c r="F113" s="10" t="str">
        <f>IFERROR(__xludf.DUMMYFUNCTION("""COMPUTED_VALUE"""),"")</f>
        <v/>
      </c>
      <c r="G113" s="10" t="str">
        <f>IFERROR(__xludf.DUMMYFUNCTION("""COMPUTED_VALUE"""),"#VALUE!")</f>
        <v>#VALUE!</v>
      </c>
      <c r="H113" s="10" t="str">
        <f>IFERROR(__xludf.DUMMYFUNCTION("""COMPUTED_VALUE"""),"")</f>
        <v/>
      </c>
    </row>
    <row r="114">
      <c r="E114" s="10" t="str">
        <f>IFERROR(__xludf.DUMMYFUNCTION("""COMPUTED_VALUE"""),"#VALUE!")</f>
        <v>#VALUE!</v>
      </c>
      <c r="F114" s="10" t="str">
        <f>IFERROR(__xludf.DUMMYFUNCTION("""COMPUTED_VALUE"""),"")</f>
        <v/>
      </c>
      <c r="G114" s="10" t="str">
        <f>IFERROR(__xludf.DUMMYFUNCTION("""COMPUTED_VALUE"""),"#VALUE!")</f>
        <v>#VALUE!</v>
      </c>
      <c r="H114" s="10" t="str">
        <f>IFERROR(__xludf.DUMMYFUNCTION("""COMPUTED_VALUE"""),"")</f>
        <v/>
      </c>
    </row>
    <row r="115">
      <c r="E115" s="10" t="str">
        <f>IFERROR(__xludf.DUMMYFUNCTION("""COMPUTED_VALUE"""),"#VALUE!")</f>
        <v>#VALUE!</v>
      </c>
      <c r="F115" s="10" t="str">
        <f>IFERROR(__xludf.DUMMYFUNCTION("""COMPUTED_VALUE"""),"")</f>
        <v/>
      </c>
      <c r="G115" s="10" t="str">
        <f>IFERROR(__xludf.DUMMYFUNCTION("""COMPUTED_VALUE"""),"#VALUE!")</f>
        <v>#VALUE!</v>
      </c>
      <c r="H115" s="10" t="str">
        <f>IFERROR(__xludf.DUMMYFUNCTION("""COMPUTED_VALUE"""),"")</f>
        <v/>
      </c>
    </row>
    <row r="116">
      <c r="E116" s="10" t="str">
        <f>IFERROR(__xludf.DUMMYFUNCTION("""COMPUTED_VALUE"""),"#VALUE!")</f>
        <v>#VALUE!</v>
      </c>
      <c r="F116" s="10" t="str">
        <f>IFERROR(__xludf.DUMMYFUNCTION("""COMPUTED_VALUE"""),"")</f>
        <v/>
      </c>
      <c r="G116" s="10" t="str">
        <f>IFERROR(__xludf.DUMMYFUNCTION("""COMPUTED_VALUE"""),"#VALUE!")</f>
        <v>#VALUE!</v>
      </c>
      <c r="H116" s="10" t="str">
        <f>IFERROR(__xludf.DUMMYFUNCTION("""COMPUTED_VALUE"""),"")</f>
        <v/>
      </c>
    </row>
    <row r="117">
      <c r="E117" s="10" t="str">
        <f>IFERROR(__xludf.DUMMYFUNCTION("""COMPUTED_VALUE"""),"#VALUE!")</f>
        <v>#VALUE!</v>
      </c>
      <c r="F117" s="10" t="str">
        <f>IFERROR(__xludf.DUMMYFUNCTION("""COMPUTED_VALUE"""),"")</f>
        <v/>
      </c>
      <c r="G117" s="10" t="str">
        <f>IFERROR(__xludf.DUMMYFUNCTION("""COMPUTED_VALUE"""),"#VALUE!")</f>
        <v>#VALUE!</v>
      </c>
      <c r="H117" s="10" t="str">
        <f>IFERROR(__xludf.DUMMYFUNCTION("""COMPUTED_VALUE"""),"")</f>
        <v/>
      </c>
    </row>
    <row r="118">
      <c r="E118" s="10" t="str">
        <f>IFERROR(__xludf.DUMMYFUNCTION("""COMPUTED_VALUE"""),"#VALUE!")</f>
        <v>#VALUE!</v>
      </c>
      <c r="F118" s="10" t="str">
        <f>IFERROR(__xludf.DUMMYFUNCTION("""COMPUTED_VALUE"""),"")</f>
        <v/>
      </c>
      <c r="G118" s="10" t="str">
        <f>IFERROR(__xludf.DUMMYFUNCTION("""COMPUTED_VALUE"""),"#VALUE!")</f>
        <v>#VALUE!</v>
      </c>
      <c r="H118" s="10" t="str">
        <f>IFERROR(__xludf.DUMMYFUNCTION("""COMPUTED_VALUE"""),"")</f>
        <v/>
      </c>
    </row>
    <row r="119">
      <c r="E119" s="10" t="str">
        <f>IFERROR(__xludf.DUMMYFUNCTION("""COMPUTED_VALUE"""),"#VALUE!")</f>
        <v>#VALUE!</v>
      </c>
      <c r="F119" s="10" t="str">
        <f>IFERROR(__xludf.DUMMYFUNCTION("""COMPUTED_VALUE"""),"")</f>
        <v/>
      </c>
      <c r="G119" s="10" t="str">
        <f>IFERROR(__xludf.DUMMYFUNCTION("""COMPUTED_VALUE"""),"#VALUE!")</f>
        <v>#VALUE!</v>
      </c>
      <c r="H119" s="10" t="str">
        <f>IFERROR(__xludf.DUMMYFUNCTION("""COMPUTED_VALUE"""),"")</f>
        <v/>
      </c>
    </row>
    <row r="120">
      <c r="E120" s="10" t="str">
        <f>IFERROR(__xludf.DUMMYFUNCTION("""COMPUTED_VALUE"""),"#VALUE!")</f>
        <v>#VALUE!</v>
      </c>
      <c r="F120" s="10" t="str">
        <f>IFERROR(__xludf.DUMMYFUNCTION("""COMPUTED_VALUE"""),"")</f>
        <v/>
      </c>
      <c r="G120" s="10" t="str">
        <f>IFERROR(__xludf.DUMMYFUNCTION("""COMPUTED_VALUE"""),"#VALUE!")</f>
        <v>#VALUE!</v>
      </c>
      <c r="H120" s="10" t="str">
        <f>IFERROR(__xludf.DUMMYFUNCTION("""COMPUTED_VALUE"""),"")</f>
        <v/>
      </c>
    </row>
    <row r="121">
      <c r="E121" s="10" t="str">
        <f>IFERROR(__xludf.DUMMYFUNCTION("""COMPUTED_VALUE"""),"#VALUE!")</f>
        <v>#VALUE!</v>
      </c>
      <c r="F121" s="10" t="str">
        <f>IFERROR(__xludf.DUMMYFUNCTION("""COMPUTED_VALUE"""),"")</f>
        <v/>
      </c>
      <c r="G121" s="10" t="str">
        <f>IFERROR(__xludf.DUMMYFUNCTION("""COMPUTED_VALUE"""),"#VALUE!")</f>
        <v>#VALUE!</v>
      </c>
      <c r="H121" s="10" t="str">
        <f>IFERROR(__xludf.DUMMYFUNCTION("""COMPUTED_VALUE"""),"")</f>
        <v/>
      </c>
    </row>
    <row r="122">
      <c r="E122" s="10" t="str">
        <f>IFERROR(__xludf.DUMMYFUNCTION("""COMPUTED_VALUE"""),"#VALUE!")</f>
        <v>#VALUE!</v>
      </c>
      <c r="F122" s="10" t="str">
        <f>IFERROR(__xludf.DUMMYFUNCTION("""COMPUTED_VALUE"""),"")</f>
        <v/>
      </c>
      <c r="G122" s="10" t="str">
        <f>IFERROR(__xludf.DUMMYFUNCTION("""COMPUTED_VALUE"""),"#VALUE!")</f>
        <v>#VALUE!</v>
      </c>
      <c r="H122" s="10" t="str">
        <f>IFERROR(__xludf.DUMMYFUNCTION("""COMPUTED_VALUE"""),"")</f>
        <v/>
      </c>
    </row>
    <row r="123">
      <c r="E123" s="10" t="str">
        <f>IFERROR(__xludf.DUMMYFUNCTION("""COMPUTED_VALUE"""),"#VALUE!")</f>
        <v>#VALUE!</v>
      </c>
      <c r="F123" s="10" t="str">
        <f>IFERROR(__xludf.DUMMYFUNCTION("""COMPUTED_VALUE"""),"")</f>
        <v/>
      </c>
      <c r="G123" s="10" t="str">
        <f>IFERROR(__xludf.DUMMYFUNCTION("""COMPUTED_VALUE"""),"#VALUE!")</f>
        <v>#VALUE!</v>
      </c>
      <c r="H123" s="10" t="str">
        <f>IFERROR(__xludf.DUMMYFUNCTION("""COMPUTED_VALUE"""),"")</f>
        <v/>
      </c>
    </row>
    <row r="124">
      <c r="E124" s="10" t="str">
        <f>IFERROR(__xludf.DUMMYFUNCTION("""COMPUTED_VALUE"""),"#VALUE!")</f>
        <v>#VALUE!</v>
      </c>
      <c r="F124" s="10" t="str">
        <f>IFERROR(__xludf.DUMMYFUNCTION("""COMPUTED_VALUE"""),"")</f>
        <v/>
      </c>
      <c r="G124" s="10" t="str">
        <f>IFERROR(__xludf.DUMMYFUNCTION("""COMPUTED_VALUE"""),"#VALUE!")</f>
        <v>#VALUE!</v>
      </c>
      <c r="H124" s="10" t="str">
        <f>IFERROR(__xludf.DUMMYFUNCTION("""COMPUTED_VALUE"""),"")</f>
        <v/>
      </c>
    </row>
    <row r="125">
      <c r="E125" s="10" t="str">
        <f>IFERROR(__xludf.DUMMYFUNCTION("""COMPUTED_VALUE"""),"#VALUE!")</f>
        <v>#VALUE!</v>
      </c>
      <c r="F125" s="10" t="str">
        <f>IFERROR(__xludf.DUMMYFUNCTION("""COMPUTED_VALUE"""),"")</f>
        <v/>
      </c>
      <c r="G125" s="10" t="str">
        <f>IFERROR(__xludf.DUMMYFUNCTION("""COMPUTED_VALUE"""),"#VALUE!")</f>
        <v>#VALUE!</v>
      </c>
      <c r="H125" s="10" t="str">
        <f>IFERROR(__xludf.DUMMYFUNCTION("""COMPUTED_VALUE"""),"")</f>
        <v/>
      </c>
    </row>
    <row r="126">
      <c r="E126" s="10" t="str">
        <f>IFERROR(__xludf.DUMMYFUNCTION("""COMPUTED_VALUE"""),"#VALUE!")</f>
        <v>#VALUE!</v>
      </c>
      <c r="F126" s="10" t="str">
        <f>IFERROR(__xludf.DUMMYFUNCTION("""COMPUTED_VALUE"""),"")</f>
        <v/>
      </c>
      <c r="G126" s="10" t="str">
        <f>IFERROR(__xludf.DUMMYFUNCTION("""COMPUTED_VALUE"""),"#VALUE!")</f>
        <v>#VALUE!</v>
      </c>
      <c r="H126" s="10" t="str">
        <f>IFERROR(__xludf.DUMMYFUNCTION("""COMPUTED_VALUE"""),"")</f>
        <v/>
      </c>
    </row>
    <row r="127">
      <c r="E127" s="10" t="str">
        <f>IFERROR(__xludf.DUMMYFUNCTION("""COMPUTED_VALUE"""),"#VALUE!")</f>
        <v>#VALUE!</v>
      </c>
      <c r="F127" s="10" t="str">
        <f>IFERROR(__xludf.DUMMYFUNCTION("""COMPUTED_VALUE"""),"")</f>
        <v/>
      </c>
      <c r="G127" s="10" t="str">
        <f>IFERROR(__xludf.DUMMYFUNCTION("""COMPUTED_VALUE"""),"#VALUE!")</f>
        <v>#VALUE!</v>
      </c>
      <c r="H127" s="10" t="str">
        <f>IFERROR(__xludf.DUMMYFUNCTION("""COMPUTED_VALUE"""),"")</f>
        <v/>
      </c>
    </row>
    <row r="128">
      <c r="E128" s="10" t="str">
        <f>IFERROR(__xludf.DUMMYFUNCTION("""COMPUTED_VALUE"""),"#VALUE!")</f>
        <v>#VALUE!</v>
      </c>
      <c r="F128" s="10" t="str">
        <f>IFERROR(__xludf.DUMMYFUNCTION("""COMPUTED_VALUE"""),"")</f>
        <v/>
      </c>
      <c r="G128" s="10" t="str">
        <f>IFERROR(__xludf.DUMMYFUNCTION("""COMPUTED_VALUE"""),"#VALUE!")</f>
        <v>#VALUE!</v>
      </c>
      <c r="H128" s="10" t="str">
        <f>IFERROR(__xludf.DUMMYFUNCTION("""COMPUTED_VALUE"""),"")</f>
        <v/>
      </c>
    </row>
    <row r="129">
      <c r="E129" s="10" t="str">
        <f>IFERROR(__xludf.DUMMYFUNCTION("""COMPUTED_VALUE"""),"#VALUE!")</f>
        <v>#VALUE!</v>
      </c>
      <c r="F129" s="10" t="str">
        <f>IFERROR(__xludf.DUMMYFUNCTION("""COMPUTED_VALUE"""),"")</f>
        <v/>
      </c>
      <c r="G129" s="10" t="str">
        <f>IFERROR(__xludf.DUMMYFUNCTION("""COMPUTED_VALUE"""),"#VALUE!")</f>
        <v>#VALUE!</v>
      </c>
      <c r="H129" s="10" t="str">
        <f>IFERROR(__xludf.DUMMYFUNCTION("""COMPUTED_VALUE"""),"")</f>
        <v/>
      </c>
    </row>
    <row r="130">
      <c r="E130" s="10" t="str">
        <f>IFERROR(__xludf.DUMMYFUNCTION("""COMPUTED_VALUE"""),"#VALUE!")</f>
        <v>#VALUE!</v>
      </c>
      <c r="F130" s="10" t="str">
        <f>IFERROR(__xludf.DUMMYFUNCTION("""COMPUTED_VALUE"""),"")</f>
        <v/>
      </c>
      <c r="G130" s="10" t="str">
        <f>IFERROR(__xludf.DUMMYFUNCTION("""COMPUTED_VALUE"""),"#VALUE!")</f>
        <v>#VALUE!</v>
      </c>
      <c r="H130" s="10" t="str">
        <f>IFERROR(__xludf.DUMMYFUNCTION("""COMPUTED_VALUE"""),"")</f>
        <v/>
      </c>
    </row>
    <row r="131">
      <c r="E131" s="10" t="str">
        <f>IFERROR(__xludf.DUMMYFUNCTION("""COMPUTED_VALUE"""),"#VALUE!")</f>
        <v>#VALUE!</v>
      </c>
      <c r="F131" s="10" t="str">
        <f>IFERROR(__xludf.DUMMYFUNCTION("""COMPUTED_VALUE"""),"")</f>
        <v/>
      </c>
      <c r="G131" s="10" t="str">
        <f>IFERROR(__xludf.DUMMYFUNCTION("""COMPUTED_VALUE"""),"#VALUE!")</f>
        <v>#VALUE!</v>
      </c>
      <c r="H131" s="10" t="str">
        <f>IFERROR(__xludf.DUMMYFUNCTION("""COMPUTED_VALUE"""),"")</f>
        <v/>
      </c>
    </row>
    <row r="132">
      <c r="E132" s="10" t="str">
        <f>IFERROR(__xludf.DUMMYFUNCTION("""COMPUTED_VALUE"""),"#VALUE!")</f>
        <v>#VALUE!</v>
      </c>
      <c r="F132" s="10" t="str">
        <f>IFERROR(__xludf.DUMMYFUNCTION("""COMPUTED_VALUE"""),"")</f>
        <v/>
      </c>
      <c r="G132" s="10" t="str">
        <f>IFERROR(__xludf.DUMMYFUNCTION("""COMPUTED_VALUE"""),"#VALUE!")</f>
        <v>#VALUE!</v>
      </c>
      <c r="H132" s="10" t="str">
        <f>IFERROR(__xludf.DUMMYFUNCTION("""COMPUTED_VALUE"""),"")</f>
        <v/>
      </c>
    </row>
    <row r="133">
      <c r="E133" s="10" t="str">
        <f>IFERROR(__xludf.DUMMYFUNCTION("""COMPUTED_VALUE"""),"#VALUE!")</f>
        <v>#VALUE!</v>
      </c>
      <c r="F133" s="10" t="str">
        <f>IFERROR(__xludf.DUMMYFUNCTION("""COMPUTED_VALUE"""),"")</f>
        <v/>
      </c>
      <c r="G133" s="10" t="str">
        <f>IFERROR(__xludf.DUMMYFUNCTION("""COMPUTED_VALUE"""),"#VALUE!")</f>
        <v>#VALUE!</v>
      </c>
      <c r="H133" s="10" t="str">
        <f>IFERROR(__xludf.DUMMYFUNCTION("""COMPUTED_VALUE"""),"")</f>
        <v/>
      </c>
    </row>
    <row r="134">
      <c r="E134" s="10" t="str">
        <f>IFERROR(__xludf.DUMMYFUNCTION("""COMPUTED_VALUE"""),"#VALUE!")</f>
        <v>#VALUE!</v>
      </c>
      <c r="F134" s="10" t="str">
        <f>IFERROR(__xludf.DUMMYFUNCTION("""COMPUTED_VALUE"""),"")</f>
        <v/>
      </c>
      <c r="G134" s="10" t="str">
        <f>IFERROR(__xludf.DUMMYFUNCTION("""COMPUTED_VALUE"""),"#VALUE!")</f>
        <v>#VALUE!</v>
      </c>
      <c r="H134" s="10" t="str">
        <f>IFERROR(__xludf.DUMMYFUNCTION("""COMPUTED_VALUE"""),"")</f>
        <v/>
      </c>
    </row>
    <row r="135">
      <c r="E135" s="10" t="str">
        <f>IFERROR(__xludf.DUMMYFUNCTION("""COMPUTED_VALUE"""),"#VALUE!")</f>
        <v>#VALUE!</v>
      </c>
      <c r="F135" s="10" t="str">
        <f>IFERROR(__xludf.DUMMYFUNCTION("""COMPUTED_VALUE"""),"")</f>
        <v/>
      </c>
      <c r="G135" s="10" t="str">
        <f>IFERROR(__xludf.DUMMYFUNCTION("""COMPUTED_VALUE"""),"#VALUE!")</f>
        <v>#VALUE!</v>
      </c>
      <c r="H135" s="10" t="str">
        <f>IFERROR(__xludf.DUMMYFUNCTION("""COMPUTED_VALUE"""),"")</f>
        <v/>
      </c>
    </row>
    <row r="136">
      <c r="E136" s="10" t="str">
        <f>IFERROR(__xludf.DUMMYFUNCTION("""COMPUTED_VALUE"""),"#VALUE!")</f>
        <v>#VALUE!</v>
      </c>
      <c r="F136" s="10" t="str">
        <f>IFERROR(__xludf.DUMMYFUNCTION("""COMPUTED_VALUE"""),"")</f>
        <v/>
      </c>
      <c r="G136" s="10" t="str">
        <f>IFERROR(__xludf.DUMMYFUNCTION("""COMPUTED_VALUE"""),"#VALUE!")</f>
        <v>#VALUE!</v>
      </c>
      <c r="H136" s="10" t="str">
        <f>IFERROR(__xludf.DUMMYFUNCTION("""COMPUTED_VALUE"""),"")</f>
        <v/>
      </c>
    </row>
    <row r="137">
      <c r="E137" s="10" t="str">
        <f>IFERROR(__xludf.DUMMYFUNCTION("""COMPUTED_VALUE"""),"#VALUE!")</f>
        <v>#VALUE!</v>
      </c>
      <c r="F137" s="10" t="str">
        <f>IFERROR(__xludf.DUMMYFUNCTION("""COMPUTED_VALUE"""),"")</f>
        <v/>
      </c>
      <c r="G137" s="10" t="str">
        <f>IFERROR(__xludf.DUMMYFUNCTION("""COMPUTED_VALUE"""),"#VALUE!")</f>
        <v>#VALUE!</v>
      </c>
      <c r="H137" s="10" t="str">
        <f>IFERROR(__xludf.DUMMYFUNCTION("""COMPUTED_VALUE"""),"")</f>
        <v/>
      </c>
    </row>
    <row r="138">
      <c r="E138" s="10" t="str">
        <f>IFERROR(__xludf.DUMMYFUNCTION("""COMPUTED_VALUE"""),"#VALUE!")</f>
        <v>#VALUE!</v>
      </c>
      <c r="F138" s="10" t="str">
        <f>IFERROR(__xludf.DUMMYFUNCTION("""COMPUTED_VALUE"""),"")</f>
        <v/>
      </c>
      <c r="G138" s="10" t="str">
        <f>IFERROR(__xludf.DUMMYFUNCTION("""COMPUTED_VALUE"""),"#VALUE!")</f>
        <v>#VALUE!</v>
      </c>
      <c r="H138" s="10" t="str">
        <f>IFERROR(__xludf.DUMMYFUNCTION("""COMPUTED_VALUE"""),"")</f>
        <v/>
      </c>
    </row>
    <row r="139">
      <c r="E139" s="10" t="str">
        <f>IFERROR(__xludf.DUMMYFUNCTION("""COMPUTED_VALUE"""),"#VALUE!")</f>
        <v>#VALUE!</v>
      </c>
      <c r="F139" s="10" t="str">
        <f>IFERROR(__xludf.DUMMYFUNCTION("""COMPUTED_VALUE"""),"")</f>
        <v/>
      </c>
      <c r="G139" s="10" t="str">
        <f>IFERROR(__xludf.DUMMYFUNCTION("""COMPUTED_VALUE"""),"#VALUE!")</f>
        <v>#VALUE!</v>
      </c>
      <c r="H139" s="10" t="str">
        <f>IFERROR(__xludf.DUMMYFUNCTION("""COMPUTED_VALUE"""),"")</f>
        <v/>
      </c>
    </row>
    <row r="140">
      <c r="E140" s="10" t="str">
        <f>IFERROR(__xludf.DUMMYFUNCTION("""COMPUTED_VALUE"""),"#VALUE!")</f>
        <v>#VALUE!</v>
      </c>
      <c r="F140" s="10" t="str">
        <f>IFERROR(__xludf.DUMMYFUNCTION("""COMPUTED_VALUE"""),"")</f>
        <v/>
      </c>
      <c r="G140" s="10" t="str">
        <f>IFERROR(__xludf.DUMMYFUNCTION("""COMPUTED_VALUE"""),"#VALUE!")</f>
        <v>#VALUE!</v>
      </c>
      <c r="H140" s="10" t="str">
        <f>IFERROR(__xludf.DUMMYFUNCTION("""COMPUTED_VALUE"""),"")</f>
        <v/>
      </c>
    </row>
    <row r="141">
      <c r="E141" s="10" t="str">
        <f>IFERROR(__xludf.DUMMYFUNCTION("""COMPUTED_VALUE"""),"#VALUE!")</f>
        <v>#VALUE!</v>
      </c>
      <c r="F141" s="10" t="str">
        <f>IFERROR(__xludf.DUMMYFUNCTION("""COMPUTED_VALUE"""),"")</f>
        <v/>
      </c>
      <c r="G141" s="10" t="str">
        <f>IFERROR(__xludf.DUMMYFUNCTION("""COMPUTED_VALUE"""),"#VALUE!")</f>
        <v>#VALUE!</v>
      </c>
      <c r="H141" s="10" t="str">
        <f>IFERROR(__xludf.DUMMYFUNCTION("""COMPUTED_VALUE"""),"")</f>
        <v/>
      </c>
    </row>
    <row r="142">
      <c r="E142" s="10" t="str">
        <f>IFERROR(__xludf.DUMMYFUNCTION("""COMPUTED_VALUE"""),"#VALUE!")</f>
        <v>#VALUE!</v>
      </c>
      <c r="F142" s="10" t="str">
        <f>IFERROR(__xludf.DUMMYFUNCTION("""COMPUTED_VALUE"""),"")</f>
        <v/>
      </c>
      <c r="G142" s="10" t="str">
        <f>IFERROR(__xludf.DUMMYFUNCTION("""COMPUTED_VALUE"""),"#VALUE!")</f>
        <v>#VALUE!</v>
      </c>
      <c r="H142" s="10" t="str">
        <f>IFERROR(__xludf.DUMMYFUNCTION("""COMPUTED_VALUE"""),"")</f>
        <v/>
      </c>
    </row>
    <row r="143">
      <c r="E143" s="10" t="str">
        <f>IFERROR(__xludf.DUMMYFUNCTION("""COMPUTED_VALUE"""),"#VALUE!")</f>
        <v>#VALUE!</v>
      </c>
      <c r="F143" s="10" t="str">
        <f>IFERROR(__xludf.DUMMYFUNCTION("""COMPUTED_VALUE"""),"")</f>
        <v/>
      </c>
      <c r="G143" s="10" t="str">
        <f>IFERROR(__xludf.DUMMYFUNCTION("""COMPUTED_VALUE"""),"#VALUE!")</f>
        <v>#VALUE!</v>
      </c>
      <c r="H143" s="10" t="str">
        <f>IFERROR(__xludf.DUMMYFUNCTION("""COMPUTED_VALUE"""),"")</f>
        <v/>
      </c>
    </row>
    <row r="144">
      <c r="E144" s="10" t="str">
        <f>IFERROR(__xludf.DUMMYFUNCTION("""COMPUTED_VALUE"""),"#VALUE!")</f>
        <v>#VALUE!</v>
      </c>
      <c r="F144" s="10" t="str">
        <f>IFERROR(__xludf.DUMMYFUNCTION("""COMPUTED_VALUE"""),"")</f>
        <v/>
      </c>
      <c r="G144" s="10" t="str">
        <f>IFERROR(__xludf.DUMMYFUNCTION("""COMPUTED_VALUE"""),"#VALUE!")</f>
        <v>#VALUE!</v>
      </c>
      <c r="H144" s="10" t="str">
        <f>IFERROR(__xludf.DUMMYFUNCTION("""COMPUTED_VALUE"""),"")</f>
        <v/>
      </c>
    </row>
    <row r="145">
      <c r="E145" s="10" t="str">
        <f>IFERROR(__xludf.DUMMYFUNCTION("""COMPUTED_VALUE"""),"#VALUE!")</f>
        <v>#VALUE!</v>
      </c>
      <c r="F145" s="10" t="str">
        <f>IFERROR(__xludf.DUMMYFUNCTION("""COMPUTED_VALUE"""),"")</f>
        <v/>
      </c>
      <c r="G145" s="10" t="str">
        <f>IFERROR(__xludf.DUMMYFUNCTION("""COMPUTED_VALUE"""),"#VALUE!")</f>
        <v>#VALUE!</v>
      </c>
      <c r="H145" s="10" t="str">
        <f>IFERROR(__xludf.DUMMYFUNCTION("""COMPUTED_VALUE"""),"")</f>
        <v/>
      </c>
    </row>
    <row r="146">
      <c r="E146" s="10" t="str">
        <f>IFERROR(__xludf.DUMMYFUNCTION("""COMPUTED_VALUE"""),"#VALUE!")</f>
        <v>#VALUE!</v>
      </c>
      <c r="F146" s="10" t="str">
        <f>IFERROR(__xludf.DUMMYFUNCTION("""COMPUTED_VALUE"""),"")</f>
        <v/>
      </c>
      <c r="G146" s="10" t="str">
        <f>IFERROR(__xludf.DUMMYFUNCTION("""COMPUTED_VALUE"""),"#VALUE!")</f>
        <v>#VALUE!</v>
      </c>
      <c r="H146" s="10" t="str">
        <f>IFERROR(__xludf.DUMMYFUNCTION("""COMPUTED_VALUE"""),"")</f>
        <v/>
      </c>
    </row>
    <row r="147">
      <c r="E147" s="10" t="str">
        <f>IFERROR(__xludf.DUMMYFUNCTION("""COMPUTED_VALUE"""),"#VALUE!")</f>
        <v>#VALUE!</v>
      </c>
      <c r="F147" s="10" t="str">
        <f>IFERROR(__xludf.DUMMYFUNCTION("""COMPUTED_VALUE"""),"")</f>
        <v/>
      </c>
      <c r="G147" s="10" t="str">
        <f>IFERROR(__xludf.DUMMYFUNCTION("""COMPUTED_VALUE"""),"#VALUE!")</f>
        <v>#VALUE!</v>
      </c>
      <c r="H147" s="10" t="str">
        <f>IFERROR(__xludf.DUMMYFUNCTION("""COMPUTED_VALUE"""),"")</f>
        <v/>
      </c>
    </row>
    <row r="148">
      <c r="E148" s="10" t="str">
        <f>IFERROR(__xludf.DUMMYFUNCTION("""COMPUTED_VALUE"""),"#VALUE!")</f>
        <v>#VALUE!</v>
      </c>
      <c r="F148" s="10" t="str">
        <f>IFERROR(__xludf.DUMMYFUNCTION("""COMPUTED_VALUE"""),"")</f>
        <v/>
      </c>
      <c r="G148" s="10" t="str">
        <f>IFERROR(__xludf.DUMMYFUNCTION("""COMPUTED_VALUE"""),"#VALUE!")</f>
        <v>#VALUE!</v>
      </c>
      <c r="H148" s="10" t="str">
        <f>IFERROR(__xludf.DUMMYFUNCTION("""COMPUTED_VALUE"""),"")</f>
        <v/>
      </c>
    </row>
    <row r="149">
      <c r="E149" s="10" t="str">
        <f>IFERROR(__xludf.DUMMYFUNCTION("""COMPUTED_VALUE"""),"#VALUE!")</f>
        <v>#VALUE!</v>
      </c>
      <c r="F149" s="10" t="str">
        <f>IFERROR(__xludf.DUMMYFUNCTION("""COMPUTED_VALUE"""),"")</f>
        <v/>
      </c>
      <c r="G149" s="10" t="str">
        <f>IFERROR(__xludf.DUMMYFUNCTION("""COMPUTED_VALUE"""),"#VALUE!")</f>
        <v>#VALUE!</v>
      </c>
      <c r="H149" s="10" t="str">
        <f>IFERROR(__xludf.DUMMYFUNCTION("""COMPUTED_VALUE"""),"")</f>
        <v/>
      </c>
    </row>
    <row r="150">
      <c r="E150" s="10" t="str">
        <f>IFERROR(__xludf.DUMMYFUNCTION("""COMPUTED_VALUE"""),"#VALUE!")</f>
        <v>#VALUE!</v>
      </c>
      <c r="F150" s="10" t="str">
        <f>IFERROR(__xludf.DUMMYFUNCTION("""COMPUTED_VALUE"""),"")</f>
        <v/>
      </c>
      <c r="G150" s="10" t="str">
        <f>IFERROR(__xludf.DUMMYFUNCTION("""COMPUTED_VALUE"""),"#VALUE!")</f>
        <v>#VALUE!</v>
      </c>
      <c r="H150" s="10" t="str">
        <f>IFERROR(__xludf.DUMMYFUNCTION("""COMPUTED_VALUE"""),"")</f>
        <v/>
      </c>
    </row>
    <row r="151">
      <c r="E151" s="10" t="str">
        <f>IFERROR(__xludf.DUMMYFUNCTION("""COMPUTED_VALUE"""),"#VALUE!")</f>
        <v>#VALUE!</v>
      </c>
      <c r="F151" s="10" t="str">
        <f>IFERROR(__xludf.DUMMYFUNCTION("""COMPUTED_VALUE"""),"")</f>
        <v/>
      </c>
      <c r="G151" s="10" t="str">
        <f>IFERROR(__xludf.DUMMYFUNCTION("""COMPUTED_VALUE"""),"#VALUE!")</f>
        <v>#VALUE!</v>
      </c>
      <c r="H151" s="10" t="str">
        <f>IFERROR(__xludf.DUMMYFUNCTION("""COMPUTED_VALUE"""),"")</f>
        <v/>
      </c>
    </row>
    <row r="152">
      <c r="E152" s="10" t="str">
        <f>IFERROR(__xludf.DUMMYFUNCTION("""COMPUTED_VALUE"""),"#VALUE!")</f>
        <v>#VALUE!</v>
      </c>
      <c r="F152" s="10" t="str">
        <f>IFERROR(__xludf.DUMMYFUNCTION("""COMPUTED_VALUE"""),"")</f>
        <v/>
      </c>
      <c r="G152" s="10" t="str">
        <f>IFERROR(__xludf.DUMMYFUNCTION("""COMPUTED_VALUE"""),"#VALUE!")</f>
        <v>#VALUE!</v>
      </c>
      <c r="H152" s="10" t="str">
        <f>IFERROR(__xludf.DUMMYFUNCTION("""COMPUTED_VALUE"""),"")</f>
        <v/>
      </c>
    </row>
    <row r="153">
      <c r="E153" s="10" t="str">
        <f>IFERROR(__xludf.DUMMYFUNCTION("""COMPUTED_VALUE"""),"#VALUE!")</f>
        <v>#VALUE!</v>
      </c>
      <c r="F153" s="10" t="str">
        <f>IFERROR(__xludf.DUMMYFUNCTION("""COMPUTED_VALUE"""),"")</f>
        <v/>
      </c>
      <c r="G153" s="10" t="str">
        <f>IFERROR(__xludf.DUMMYFUNCTION("""COMPUTED_VALUE"""),"#VALUE!")</f>
        <v>#VALUE!</v>
      </c>
      <c r="H153" s="10" t="str">
        <f>IFERROR(__xludf.DUMMYFUNCTION("""COMPUTED_VALUE"""),"")</f>
        <v/>
      </c>
    </row>
    <row r="154">
      <c r="E154" s="10" t="str">
        <f>IFERROR(__xludf.DUMMYFUNCTION("""COMPUTED_VALUE"""),"#VALUE!")</f>
        <v>#VALUE!</v>
      </c>
      <c r="F154" s="10" t="str">
        <f>IFERROR(__xludf.DUMMYFUNCTION("""COMPUTED_VALUE"""),"")</f>
        <v/>
      </c>
      <c r="G154" s="10" t="str">
        <f>IFERROR(__xludf.DUMMYFUNCTION("""COMPUTED_VALUE"""),"#VALUE!")</f>
        <v>#VALUE!</v>
      </c>
      <c r="H154" s="10" t="str">
        <f>IFERROR(__xludf.DUMMYFUNCTION("""COMPUTED_VALUE"""),"")</f>
        <v/>
      </c>
    </row>
    <row r="155">
      <c r="E155" s="10" t="str">
        <f>IFERROR(__xludf.DUMMYFUNCTION("""COMPUTED_VALUE"""),"#VALUE!")</f>
        <v>#VALUE!</v>
      </c>
      <c r="F155" s="10" t="str">
        <f>IFERROR(__xludf.DUMMYFUNCTION("""COMPUTED_VALUE"""),"")</f>
        <v/>
      </c>
      <c r="G155" s="10" t="str">
        <f>IFERROR(__xludf.DUMMYFUNCTION("""COMPUTED_VALUE"""),"#VALUE!")</f>
        <v>#VALUE!</v>
      </c>
      <c r="H155" s="10" t="str">
        <f>IFERROR(__xludf.DUMMYFUNCTION("""COMPUTED_VALUE"""),"")</f>
        <v/>
      </c>
    </row>
    <row r="156">
      <c r="E156" s="10" t="str">
        <f>IFERROR(__xludf.DUMMYFUNCTION("""COMPUTED_VALUE"""),"#VALUE!")</f>
        <v>#VALUE!</v>
      </c>
      <c r="F156" s="10" t="str">
        <f>IFERROR(__xludf.DUMMYFUNCTION("""COMPUTED_VALUE"""),"")</f>
        <v/>
      </c>
      <c r="G156" s="10" t="str">
        <f>IFERROR(__xludf.DUMMYFUNCTION("""COMPUTED_VALUE"""),"#VALUE!")</f>
        <v>#VALUE!</v>
      </c>
      <c r="H156" s="10" t="str">
        <f>IFERROR(__xludf.DUMMYFUNCTION("""COMPUTED_VALUE"""),"")</f>
        <v/>
      </c>
    </row>
    <row r="157">
      <c r="E157" s="10" t="str">
        <f>IFERROR(__xludf.DUMMYFUNCTION("""COMPUTED_VALUE"""),"#VALUE!")</f>
        <v>#VALUE!</v>
      </c>
      <c r="F157" s="10" t="str">
        <f>IFERROR(__xludf.DUMMYFUNCTION("""COMPUTED_VALUE"""),"")</f>
        <v/>
      </c>
      <c r="G157" s="10" t="str">
        <f>IFERROR(__xludf.DUMMYFUNCTION("""COMPUTED_VALUE"""),"#VALUE!")</f>
        <v>#VALUE!</v>
      </c>
      <c r="H157" s="10" t="str">
        <f>IFERROR(__xludf.DUMMYFUNCTION("""COMPUTED_VALUE"""),"")</f>
        <v/>
      </c>
    </row>
    <row r="158">
      <c r="E158" s="10" t="str">
        <f>IFERROR(__xludf.DUMMYFUNCTION("""COMPUTED_VALUE"""),"#VALUE!")</f>
        <v>#VALUE!</v>
      </c>
      <c r="F158" s="10" t="str">
        <f>IFERROR(__xludf.DUMMYFUNCTION("""COMPUTED_VALUE"""),"")</f>
        <v/>
      </c>
      <c r="G158" s="10" t="str">
        <f>IFERROR(__xludf.DUMMYFUNCTION("""COMPUTED_VALUE"""),"#VALUE!")</f>
        <v>#VALUE!</v>
      </c>
      <c r="H158" s="10" t="str">
        <f>IFERROR(__xludf.DUMMYFUNCTION("""COMPUTED_VALUE"""),"")</f>
        <v/>
      </c>
    </row>
    <row r="159">
      <c r="E159" s="10" t="str">
        <f>IFERROR(__xludf.DUMMYFUNCTION("""COMPUTED_VALUE"""),"#VALUE!")</f>
        <v>#VALUE!</v>
      </c>
      <c r="F159" s="10" t="str">
        <f>IFERROR(__xludf.DUMMYFUNCTION("""COMPUTED_VALUE"""),"")</f>
        <v/>
      </c>
      <c r="G159" s="10" t="str">
        <f>IFERROR(__xludf.DUMMYFUNCTION("""COMPUTED_VALUE"""),"#VALUE!")</f>
        <v>#VALUE!</v>
      </c>
      <c r="H159" s="10" t="str">
        <f>IFERROR(__xludf.DUMMYFUNCTION("""COMPUTED_VALUE"""),"")</f>
        <v/>
      </c>
    </row>
    <row r="160">
      <c r="E160" s="10" t="str">
        <f>IFERROR(__xludf.DUMMYFUNCTION("""COMPUTED_VALUE"""),"#VALUE!")</f>
        <v>#VALUE!</v>
      </c>
      <c r="F160" s="10" t="str">
        <f>IFERROR(__xludf.DUMMYFUNCTION("""COMPUTED_VALUE"""),"")</f>
        <v/>
      </c>
      <c r="G160" s="10" t="str">
        <f>IFERROR(__xludf.DUMMYFUNCTION("""COMPUTED_VALUE"""),"#VALUE!")</f>
        <v>#VALUE!</v>
      </c>
      <c r="H160" s="10" t="str">
        <f>IFERROR(__xludf.DUMMYFUNCTION("""COMPUTED_VALUE"""),"")</f>
        <v/>
      </c>
    </row>
    <row r="161">
      <c r="E161" s="10" t="str">
        <f>IFERROR(__xludf.DUMMYFUNCTION("""COMPUTED_VALUE"""),"#VALUE!")</f>
        <v>#VALUE!</v>
      </c>
      <c r="F161" s="10" t="str">
        <f>IFERROR(__xludf.DUMMYFUNCTION("""COMPUTED_VALUE"""),"")</f>
        <v/>
      </c>
      <c r="G161" s="10" t="str">
        <f>IFERROR(__xludf.DUMMYFUNCTION("""COMPUTED_VALUE"""),"#VALUE!")</f>
        <v>#VALUE!</v>
      </c>
      <c r="H161" s="10" t="str">
        <f>IFERROR(__xludf.DUMMYFUNCTION("""COMPUTED_VALUE"""),"")</f>
        <v/>
      </c>
    </row>
    <row r="162">
      <c r="E162" s="10" t="str">
        <f>IFERROR(__xludf.DUMMYFUNCTION("""COMPUTED_VALUE"""),"#VALUE!")</f>
        <v>#VALUE!</v>
      </c>
      <c r="F162" s="10" t="str">
        <f>IFERROR(__xludf.DUMMYFUNCTION("""COMPUTED_VALUE"""),"")</f>
        <v/>
      </c>
      <c r="G162" s="10" t="str">
        <f>IFERROR(__xludf.DUMMYFUNCTION("""COMPUTED_VALUE"""),"#VALUE!")</f>
        <v>#VALUE!</v>
      </c>
      <c r="H162" s="10" t="str">
        <f>IFERROR(__xludf.DUMMYFUNCTION("""COMPUTED_VALUE"""),"")</f>
        <v/>
      </c>
    </row>
    <row r="163">
      <c r="E163" s="10" t="str">
        <f>IFERROR(__xludf.DUMMYFUNCTION("""COMPUTED_VALUE"""),"#VALUE!")</f>
        <v>#VALUE!</v>
      </c>
      <c r="F163" s="10" t="str">
        <f>IFERROR(__xludf.DUMMYFUNCTION("""COMPUTED_VALUE"""),"")</f>
        <v/>
      </c>
      <c r="G163" s="10" t="str">
        <f>IFERROR(__xludf.DUMMYFUNCTION("""COMPUTED_VALUE"""),"#VALUE!")</f>
        <v>#VALUE!</v>
      </c>
      <c r="H163" s="10" t="str">
        <f>IFERROR(__xludf.DUMMYFUNCTION("""COMPUTED_VALUE"""),"")</f>
        <v/>
      </c>
    </row>
    <row r="164">
      <c r="E164" s="10" t="str">
        <f>IFERROR(__xludf.DUMMYFUNCTION("""COMPUTED_VALUE"""),"#VALUE!")</f>
        <v>#VALUE!</v>
      </c>
      <c r="F164" s="10" t="str">
        <f>IFERROR(__xludf.DUMMYFUNCTION("""COMPUTED_VALUE"""),"")</f>
        <v/>
      </c>
      <c r="G164" s="10" t="str">
        <f>IFERROR(__xludf.DUMMYFUNCTION("""COMPUTED_VALUE"""),"#VALUE!")</f>
        <v>#VALUE!</v>
      </c>
      <c r="H164" s="10" t="str">
        <f>IFERROR(__xludf.DUMMYFUNCTION("""COMPUTED_VALUE"""),"")</f>
        <v/>
      </c>
    </row>
    <row r="165">
      <c r="E165" s="10" t="str">
        <f>IFERROR(__xludf.DUMMYFUNCTION("""COMPUTED_VALUE"""),"#VALUE!")</f>
        <v>#VALUE!</v>
      </c>
      <c r="F165" s="10" t="str">
        <f>IFERROR(__xludf.DUMMYFUNCTION("""COMPUTED_VALUE"""),"")</f>
        <v/>
      </c>
      <c r="G165" s="10" t="str">
        <f>IFERROR(__xludf.DUMMYFUNCTION("""COMPUTED_VALUE"""),"#VALUE!")</f>
        <v>#VALUE!</v>
      </c>
      <c r="H165" s="10" t="str">
        <f>IFERROR(__xludf.DUMMYFUNCTION("""COMPUTED_VALUE"""),"")</f>
        <v/>
      </c>
    </row>
    <row r="166">
      <c r="E166" s="10" t="str">
        <f>IFERROR(__xludf.DUMMYFUNCTION("""COMPUTED_VALUE"""),"#VALUE!")</f>
        <v>#VALUE!</v>
      </c>
      <c r="F166" s="10" t="str">
        <f>IFERROR(__xludf.DUMMYFUNCTION("""COMPUTED_VALUE"""),"")</f>
        <v/>
      </c>
      <c r="G166" s="10" t="str">
        <f>IFERROR(__xludf.DUMMYFUNCTION("""COMPUTED_VALUE"""),"#VALUE!")</f>
        <v>#VALUE!</v>
      </c>
      <c r="H166" s="10" t="str">
        <f>IFERROR(__xludf.DUMMYFUNCTION("""COMPUTED_VALUE"""),"")</f>
        <v/>
      </c>
    </row>
    <row r="167">
      <c r="E167" s="10" t="str">
        <f>IFERROR(__xludf.DUMMYFUNCTION("""COMPUTED_VALUE"""),"#VALUE!")</f>
        <v>#VALUE!</v>
      </c>
      <c r="F167" s="10" t="str">
        <f>IFERROR(__xludf.DUMMYFUNCTION("""COMPUTED_VALUE"""),"")</f>
        <v/>
      </c>
      <c r="G167" s="10" t="str">
        <f>IFERROR(__xludf.DUMMYFUNCTION("""COMPUTED_VALUE"""),"#VALUE!")</f>
        <v>#VALUE!</v>
      </c>
      <c r="H167" s="10" t="str">
        <f>IFERROR(__xludf.DUMMYFUNCTION("""COMPUTED_VALUE"""),"")</f>
        <v/>
      </c>
    </row>
    <row r="168">
      <c r="E168" s="10" t="str">
        <f>IFERROR(__xludf.DUMMYFUNCTION("""COMPUTED_VALUE"""),"#VALUE!")</f>
        <v>#VALUE!</v>
      </c>
      <c r="F168" s="10" t="str">
        <f>IFERROR(__xludf.DUMMYFUNCTION("""COMPUTED_VALUE"""),"")</f>
        <v/>
      </c>
      <c r="G168" s="10" t="str">
        <f>IFERROR(__xludf.DUMMYFUNCTION("""COMPUTED_VALUE"""),"#VALUE!")</f>
        <v>#VALUE!</v>
      </c>
      <c r="H168" s="10" t="str">
        <f>IFERROR(__xludf.DUMMYFUNCTION("""COMPUTED_VALUE"""),"")</f>
        <v/>
      </c>
    </row>
    <row r="169">
      <c r="E169" s="10" t="str">
        <f>IFERROR(__xludf.DUMMYFUNCTION("""COMPUTED_VALUE"""),"#VALUE!")</f>
        <v>#VALUE!</v>
      </c>
      <c r="F169" s="10" t="str">
        <f>IFERROR(__xludf.DUMMYFUNCTION("""COMPUTED_VALUE"""),"")</f>
        <v/>
      </c>
      <c r="G169" s="10" t="str">
        <f>IFERROR(__xludf.DUMMYFUNCTION("""COMPUTED_VALUE"""),"#VALUE!")</f>
        <v>#VALUE!</v>
      </c>
      <c r="H169" s="10" t="str">
        <f>IFERROR(__xludf.DUMMYFUNCTION("""COMPUTED_VALUE"""),"")</f>
        <v/>
      </c>
    </row>
    <row r="170">
      <c r="E170" s="10" t="str">
        <f>IFERROR(__xludf.DUMMYFUNCTION("""COMPUTED_VALUE"""),"#VALUE!")</f>
        <v>#VALUE!</v>
      </c>
      <c r="F170" s="10" t="str">
        <f>IFERROR(__xludf.DUMMYFUNCTION("""COMPUTED_VALUE"""),"")</f>
        <v/>
      </c>
      <c r="G170" s="10" t="str">
        <f>IFERROR(__xludf.DUMMYFUNCTION("""COMPUTED_VALUE"""),"#VALUE!")</f>
        <v>#VALUE!</v>
      </c>
      <c r="H170" s="10" t="str">
        <f>IFERROR(__xludf.DUMMYFUNCTION("""COMPUTED_VALUE"""),"")</f>
        <v/>
      </c>
    </row>
    <row r="171">
      <c r="E171" s="10" t="str">
        <f>IFERROR(__xludf.DUMMYFUNCTION("""COMPUTED_VALUE"""),"#VALUE!")</f>
        <v>#VALUE!</v>
      </c>
      <c r="F171" s="10" t="str">
        <f>IFERROR(__xludf.DUMMYFUNCTION("""COMPUTED_VALUE"""),"")</f>
        <v/>
      </c>
      <c r="G171" s="10" t="str">
        <f>IFERROR(__xludf.DUMMYFUNCTION("""COMPUTED_VALUE"""),"#VALUE!")</f>
        <v>#VALUE!</v>
      </c>
      <c r="H171" s="10" t="str">
        <f>IFERROR(__xludf.DUMMYFUNCTION("""COMPUTED_VALUE"""),"")</f>
        <v/>
      </c>
    </row>
    <row r="172">
      <c r="E172" s="10" t="str">
        <f>IFERROR(__xludf.DUMMYFUNCTION("""COMPUTED_VALUE"""),"#VALUE!")</f>
        <v>#VALUE!</v>
      </c>
      <c r="F172" s="10" t="str">
        <f>IFERROR(__xludf.DUMMYFUNCTION("""COMPUTED_VALUE"""),"")</f>
        <v/>
      </c>
      <c r="G172" s="10" t="str">
        <f>IFERROR(__xludf.DUMMYFUNCTION("""COMPUTED_VALUE"""),"#VALUE!")</f>
        <v>#VALUE!</v>
      </c>
      <c r="H172" s="10" t="str">
        <f>IFERROR(__xludf.DUMMYFUNCTION("""COMPUTED_VALUE"""),"")</f>
        <v/>
      </c>
    </row>
    <row r="173">
      <c r="E173" s="10" t="str">
        <f>IFERROR(__xludf.DUMMYFUNCTION("""COMPUTED_VALUE"""),"#VALUE!")</f>
        <v>#VALUE!</v>
      </c>
      <c r="F173" s="10" t="str">
        <f>IFERROR(__xludf.DUMMYFUNCTION("""COMPUTED_VALUE"""),"")</f>
        <v/>
      </c>
      <c r="G173" s="10" t="str">
        <f>IFERROR(__xludf.DUMMYFUNCTION("""COMPUTED_VALUE"""),"#VALUE!")</f>
        <v>#VALUE!</v>
      </c>
      <c r="H173" s="10" t="str">
        <f>IFERROR(__xludf.DUMMYFUNCTION("""COMPUTED_VALUE"""),"")</f>
        <v/>
      </c>
    </row>
    <row r="174">
      <c r="E174" s="10" t="str">
        <f>IFERROR(__xludf.DUMMYFUNCTION("""COMPUTED_VALUE"""),"#VALUE!")</f>
        <v>#VALUE!</v>
      </c>
      <c r="F174" s="10" t="str">
        <f>IFERROR(__xludf.DUMMYFUNCTION("""COMPUTED_VALUE"""),"")</f>
        <v/>
      </c>
      <c r="G174" s="10" t="str">
        <f>IFERROR(__xludf.DUMMYFUNCTION("""COMPUTED_VALUE"""),"#VALUE!")</f>
        <v>#VALUE!</v>
      </c>
      <c r="H174" s="10" t="str">
        <f>IFERROR(__xludf.DUMMYFUNCTION("""COMPUTED_VALUE"""),"")</f>
        <v/>
      </c>
    </row>
    <row r="175">
      <c r="E175" s="10" t="str">
        <f>IFERROR(__xludf.DUMMYFUNCTION("""COMPUTED_VALUE"""),"#VALUE!")</f>
        <v>#VALUE!</v>
      </c>
      <c r="F175" s="10" t="str">
        <f>IFERROR(__xludf.DUMMYFUNCTION("""COMPUTED_VALUE"""),"")</f>
        <v/>
      </c>
      <c r="G175" s="10" t="str">
        <f>IFERROR(__xludf.DUMMYFUNCTION("""COMPUTED_VALUE"""),"#VALUE!")</f>
        <v>#VALUE!</v>
      </c>
      <c r="H175" s="10" t="str">
        <f>IFERROR(__xludf.DUMMYFUNCTION("""COMPUTED_VALUE"""),"")</f>
        <v/>
      </c>
    </row>
    <row r="176">
      <c r="E176" s="10" t="str">
        <f>IFERROR(__xludf.DUMMYFUNCTION("""COMPUTED_VALUE"""),"#VALUE!")</f>
        <v>#VALUE!</v>
      </c>
      <c r="F176" s="10" t="str">
        <f>IFERROR(__xludf.DUMMYFUNCTION("""COMPUTED_VALUE"""),"")</f>
        <v/>
      </c>
      <c r="G176" s="10" t="str">
        <f>IFERROR(__xludf.DUMMYFUNCTION("""COMPUTED_VALUE"""),"#VALUE!")</f>
        <v>#VALUE!</v>
      </c>
      <c r="H176" s="10" t="str">
        <f>IFERROR(__xludf.DUMMYFUNCTION("""COMPUTED_VALUE"""),"")</f>
        <v/>
      </c>
    </row>
    <row r="177">
      <c r="E177" s="10" t="str">
        <f>IFERROR(__xludf.DUMMYFUNCTION("""COMPUTED_VALUE"""),"#VALUE!")</f>
        <v>#VALUE!</v>
      </c>
      <c r="F177" s="10" t="str">
        <f>IFERROR(__xludf.DUMMYFUNCTION("""COMPUTED_VALUE"""),"")</f>
        <v/>
      </c>
      <c r="G177" s="10" t="str">
        <f>IFERROR(__xludf.DUMMYFUNCTION("""COMPUTED_VALUE"""),"#VALUE!")</f>
        <v>#VALUE!</v>
      </c>
      <c r="H177" s="10" t="str">
        <f>IFERROR(__xludf.DUMMYFUNCTION("""COMPUTED_VALUE"""),"")</f>
        <v/>
      </c>
    </row>
    <row r="178">
      <c r="E178" s="10" t="str">
        <f>IFERROR(__xludf.DUMMYFUNCTION("""COMPUTED_VALUE"""),"#VALUE!")</f>
        <v>#VALUE!</v>
      </c>
      <c r="F178" s="10" t="str">
        <f>IFERROR(__xludf.DUMMYFUNCTION("""COMPUTED_VALUE"""),"")</f>
        <v/>
      </c>
      <c r="G178" s="10" t="str">
        <f>IFERROR(__xludf.DUMMYFUNCTION("""COMPUTED_VALUE"""),"#VALUE!")</f>
        <v>#VALUE!</v>
      </c>
      <c r="H178" s="10" t="str">
        <f>IFERROR(__xludf.DUMMYFUNCTION("""COMPUTED_VALUE"""),"")</f>
        <v/>
      </c>
    </row>
    <row r="179">
      <c r="E179" s="10" t="str">
        <f>IFERROR(__xludf.DUMMYFUNCTION("""COMPUTED_VALUE"""),"#VALUE!")</f>
        <v>#VALUE!</v>
      </c>
      <c r="F179" s="10" t="str">
        <f>IFERROR(__xludf.DUMMYFUNCTION("""COMPUTED_VALUE"""),"")</f>
        <v/>
      </c>
      <c r="G179" s="10" t="str">
        <f>IFERROR(__xludf.DUMMYFUNCTION("""COMPUTED_VALUE"""),"#VALUE!")</f>
        <v>#VALUE!</v>
      </c>
      <c r="H179" s="10" t="str">
        <f>IFERROR(__xludf.DUMMYFUNCTION("""COMPUTED_VALUE"""),"")</f>
        <v/>
      </c>
    </row>
    <row r="180">
      <c r="E180" s="10" t="str">
        <f>IFERROR(__xludf.DUMMYFUNCTION("""COMPUTED_VALUE"""),"#VALUE!")</f>
        <v>#VALUE!</v>
      </c>
      <c r="F180" s="10" t="str">
        <f>IFERROR(__xludf.DUMMYFUNCTION("""COMPUTED_VALUE"""),"")</f>
        <v/>
      </c>
      <c r="G180" s="10" t="str">
        <f>IFERROR(__xludf.DUMMYFUNCTION("""COMPUTED_VALUE"""),"#VALUE!")</f>
        <v>#VALUE!</v>
      </c>
      <c r="H180" s="10" t="str">
        <f>IFERROR(__xludf.DUMMYFUNCTION("""COMPUTED_VALUE"""),"")</f>
        <v/>
      </c>
    </row>
    <row r="181">
      <c r="E181" s="10" t="str">
        <f>IFERROR(__xludf.DUMMYFUNCTION("""COMPUTED_VALUE"""),"#VALUE!")</f>
        <v>#VALUE!</v>
      </c>
      <c r="F181" s="10" t="str">
        <f>IFERROR(__xludf.DUMMYFUNCTION("""COMPUTED_VALUE"""),"")</f>
        <v/>
      </c>
      <c r="G181" s="10" t="str">
        <f>IFERROR(__xludf.DUMMYFUNCTION("""COMPUTED_VALUE"""),"#VALUE!")</f>
        <v>#VALUE!</v>
      </c>
      <c r="H181" s="10" t="str">
        <f>IFERROR(__xludf.DUMMYFUNCTION("""COMPUTED_VALUE"""),"")</f>
        <v/>
      </c>
    </row>
    <row r="182">
      <c r="E182" s="10" t="str">
        <f>IFERROR(__xludf.DUMMYFUNCTION("""COMPUTED_VALUE"""),"#VALUE!")</f>
        <v>#VALUE!</v>
      </c>
      <c r="F182" s="10" t="str">
        <f>IFERROR(__xludf.DUMMYFUNCTION("""COMPUTED_VALUE"""),"")</f>
        <v/>
      </c>
      <c r="G182" s="10" t="str">
        <f>IFERROR(__xludf.DUMMYFUNCTION("""COMPUTED_VALUE"""),"#VALUE!")</f>
        <v>#VALUE!</v>
      </c>
      <c r="H182" s="10" t="str">
        <f>IFERROR(__xludf.DUMMYFUNCTION("""COMPUTED_VALUE"""),"")</f>
        <v/>
      </c>
    </row>
    <row r="183">
      <c r="E183" s="10" t="str">
        <f>IFERROR(__xludf.DUMMYFUNCTION("""COMPUTED_VALUE"""),"#VALUE!")</f>
        <v>#VALUE!</v>
      </c>
      <c r="F183" s="10" t="str">
        <f>IFERROR(__xludf.DUMMYFUNCTION("""COMPUTED_VALUE"""),"")</f>
        <v/>
      </c>
      <c r="G183" s="10" t="str">
        <f>IFERROR(__xludf.DUMMYFUNCTION("""COMPUTED_VALUE"""),"#VALUE!")</f>
        <v>#VALUE!</v>
      </c>
      <c r="H183" s="10" t="str">
        <f>IFERROR(__xludf.DUMMYFUNCTION("""COMPUTED_VALUE"""),"")</f>
        <v/>
      </c>
    </row>
    <row r="184">
      <c r="E184" s="10" t="str">
        <f>IFERROR(__xludf.DUMMYFUNCTION("""COMPUTED_VALUE"""),"#VALUE!")</f>
        <v>#VALUE!</v>
      </c>
      <c r="F184" s="10" t="str">
        <f>IFERROR(__xludf.DUMMYFUNCTION("""COMPUTED_VALUE"""),"")</f>
        <v/>
      </c>
      <c r="G184" s="10" t="str">
        <f>IFERROR(__xludf.DUMMYFUNCTION("""COMPUTED_VALUE"""),"#VALUE!")</f>
        <v>#VALUE!</v>
      </c>
      <c r="H184" s="10" t="str">
        <f>IFERROR(__xludf.DUMMYFUNCTION("""COMPUTED_VALUE"""),"")</f>
        <v/>
      </c>
    </row>
    <row r="185">
      <c r="E185" s="10" t="str">
        <f>IFERROR(__xludf.DUMMYFUNCTION("""COMPUTED_VALUE"""),"#VALUE!")</f>
        <v>#VALUE!</v>
      </c>
      <c r="F185" s="10" t="str">
        <f>IFERROR(__xludf.DUMMYFUNCTION("""COMPUTED_VALUE"""),"")</f>
        <v/>
      </c>
      <c r="G185" s="10" t="str">
        <f>IFERROR(__xludf.DUMMYFUNCTION("""COMPUTED_VALUE"""),"#VALUE!")</f>
        <v>#VALUE!</v>
      </c>
      <c r="H185" s="10" t="str">
        <f>IFERROR(__xludf.DUMMYFUNCTION("""COMPUTED_VALUE"""),"")</f>
        <v/>
      </c>
    </row>
    <row r="186">
      <c r="E186" s="10" t="str">
        <f>IFERROR(__xludf.DUMMYFUNCTION("""COMPUTED_VALUE"""),"#VALUE!")</f>
        <v>#VALUE!</v>
      </c>
      <c r="F186" s="10" t="str">
        <f>IFERROR(__xludf.DUMMYFUNCTION("""COMPUTED_VALUE"""),"")</f>
        <v/>
      </c>
      <c r="G186" s="10" t="str">
        <f>IFERROR(__xludf.DUMMYFUNCTION("""COMPUTED_VALUE"""),"#VALUE!")</f>
        <v>#VALUE!</v>
      </c>
      <c r="H186" s="10" t="str">
        <f>IFERROR(__xludf.DUMMYFUNCTION("""COMPUTED_VALUE"""),"")</f>
        <v/>
      </c>
    </row>
    <row r="187">
      <c r="E187" s="10" t="str">
        <f>IFERROR(__xludf.DUMMYFUNCTION("""COMPUTED_VALUE"""),"#VALUE!")</f>
        <v>#VALUE!</v>
      </c>
      <c r="F187" s="10" t="str">
        <f>IFERROR(__xludf.DUMMYFUNCTION("""COMPUTED_VALUE"""),"")</f>
        <v/>
      </c>
      <c r="G187" s="10" t="str">
        <f>IFERROR(__xludf.DUMMYFUNCTION("""COMPUTED_VALUE"""),"#VALUE!")</f>
        <v>#VALUE!</v>
      </c>
      <c r="H187" s="10" t="str">
        <f>IFERROR(__xludf.DUMMYFUNCTION("""COMPUTED_VALUE"""),"")</f>
        <v/>
      </c>
    </row>
    <row r="188">
      <c r="E188" s="10" t="str">
        <f>IFERROR(__xludf.DUMMYFUNCTION("""COMPUTED_VALUE"""),"#VALUE!")</f>
        <v>#VALUE!</v>
      </c>
      <c r="F188" s="10" t="str">
        <f>IFERROR(__xludf.DUMMYFUNCTION("""COMPUTED_VALUE"""),"")</f>
        <v/>
      </c>
      <c r="G188" s="10" t="str">
        <f>IFERROR(__xludf.DUMMYFUNCTION("""COMPUTED_VALUE"""),"#VALUE!")</f>
        <v>#VALUE!</v>
      </c>
      <c r="H188" s="10" t="str">
        <f>IFERROR(__xludf.DUMMYFUNCTION("""COMPUTED_VALUE"""),"")</f>
        <v/>
      </c>
    </row>
    <row r="189">
      <c r="E189" s="10" t="str">
        <f>IFERROR(__xludf.DUMMYFUNCTION("""COMPUTED_VALUE"""),"#VALUE!")</f>
        <v>#VALUE!</v>
      </c>
      <c r="F189" s="10" t="str">
        <f>IFERROR(__xludf.DUMMYFUNCTION("""COMPUTED_VALUE"""),"")</f>
        <v/>
      </c>
      <c r="G189" s="10" t="str">
        <f>IFERROR(__xludf.DUMMYFUNCTION("""COMPUTED_VALUE"""),"#VALUE!")</f>
        <v>#VALUE!</v>
      </c>
      <c r="H189" s="10" t="str">
        <f>IFERROR(__xludf.DUMMYFUNCTION("""COMPUTED_VALUE"""),"")</f>
        <v/>
      </c>
    </row>
    <row r="190">
      <c r="E190" s="10" t="str">
        <f>IFERROR(__xludf.DUMMYFUNCTION("""COMPUTED_VALUE"""),"#VALUE!")</f>
        <v>#VALUE!</v>
      </c>
      <c r="F190" s="10" t="str">
        <f>IFERROR(__xludf.DUMMYFUNCTION("""COMPUTED_VALUE"""),"")</f>
        <v/>
      </c>
      <c r="G190" s="10" t="str">
        <f>IFERROR(__xludf.DUMMYFUNCTION("""COMPUTED_VALUE"""),"#VALUE!")</f>
        <v>#VALUE!</v>
      </c>
      <c r="H190" s="10" t="str">
        <f>IFERROR(__xludf.DUMMYFUNCTION("""COMPUTED_VALUE"""),"")</f>
        <v/>
      </c>
    </row>
    <row r="191">
      <c r="E191" s="10" t="str">
        <f>IFERROR(__xludf.DUMMYFUNCTION("""COMPUTED_VALUE"""),"#VALUE!")</f>
        <v>#VALUE!</v>
      </c>
      <c r="F191" s="10" t="str">
        <f>IFERROR(__xludf.DUMMYFUNCTION("""COMPUTED_VALUE"""),"")</f>
        <v/>
      </c>
      <c r="G191" s="10" t="str">
        <f>IFERROR(__xludf.DUMMYFUNCTION("""COMPUTED_VALUE"""),"#VALUE!")</f>
        <v>#VALUE!</v>
      </c>
      <c r="H191" s="10" t="str">
        <f>IFERROR(__xludf.DUMMYFUNCTION("""COMPUTED_VALUE"""),"")</f>
        <v/>
      </c>
    </row>
    <row r="192">
      <c r="E192" s="10" t="str">
        <f>IFERROR(__xludf.DUMMYFUNCTION("""COMPUTED_VALUE"""),"#VALUE!")</f>
        <v>#VALUE!</v>
      </c>
      <c r="F192" s="10" t="str">
        <f>IFERROR(__xludf.DUMMYFUNCTION("""COMPUTED_VALUE"""),"")</f>
        <v/>
      </c>
      <c r="G192" s="10" t="str">
        <f>IFERROR(__xludf.DUMMYFUNCTION("""COMPUTED_VALUE"""),"#VALUE!")</f>
        <v>#VALUE!</v>
      </c>
      <c r="H192" s="10" t="str">
        <f>IFERROR(__xludf.DUMMYFUNCTION("""COMPUTED_VALUE"""),"")</f>
        <v/>
      </c>
    </row>
    <row r="193">
      <c r="E193" s="10" t="str">
        <f>IFERROR(__xludf.DUMMYFUNCTION("""COMPUTED_VALUE"""),"#VALUE!")</f>
        <v>#VALUE!</v>
      </c>
      <c r="F193" s="10" t="str">
        <f>IFERROR(__xludf.DUMMYFUNCTION("""COMPUTED_VALUE"""),"")</f>
        <v/>
      </c>
      <c r="G193" s="10" t="str">
        <f>IFERROR(__xludf.DUMMYFUNCTION("""COMPUTED_VALUE"""),"#VALUE!")</f>
        <v>#VALUE!</v>
      </c>
      <c r="H193" s="10" t="str">
        <f>IFERROR(__xludf.DUMMYFUNCTION("""COMPUTED_VALUE"""),"")</f>
        <v/>
      </c>
    </row>
    <row r="194">
      <c r="E194" s="10" t="str">
        <f>IFERROR(__xludf.DUMMYFUNCTION("""COMPUTED_VALUE"""),"#VALUE!")</f>
        <v>#VALUE!</v>
      </c>
      <c r="F194" s="10" t="str">
        <f>IFERROR(__xludf.DUMMYFUNCTION("""COMPUTED_VALUE"""),"")</f>
        <v/>
      </c>
      <c r="G194" s="10" t="str">
        <f>IFERROR(__xludf.DUMMYFUNCTION("""COMPUTED_VALUE"""),"#VALUE!")</f>
        <v>#VALUE!</v>
      </c>
      <c r="H194" s="10" t="str">
        <f>IFERROR(__xludf.DUMMYFUNCTION("""COMPUTED_VALUE"""),"")</f>
        <v/>
      </c>
    </row>
    <row r="195">
      <c r="E195" s="10" t="str">
        <f>IFERROR(__xludf.DUMMYFUNCTION("""COMPUTED_VALUE"""),"#VALUE!")</f>
        <v>#VALUE!</v>
      </c>
      <c r="F195" s="10" t="str">
        <f>IFERROR(__xludf.DUMMYFUNCTION("""COMPUTED_VALUE"""),"")</f>
        <v/>
      </c>
      <c r="G195" s="10" t="str">
        <f>IFERROR(__xludf.DUMMYFUNCTION("""COMPUTED_VALUE"""),"#VALUE!")</f>
        <v>#VALUE!</v>
      </c>
      <c r="H195" s="10" t="str">
        <f>IFERROR(__xludf.DUMMYFUNCTION("""COMPUTED_VALUE"""),"")</f>
        <v/>
      </c>
    </row>
    <row r="196">
      <c r="E196" s="10" t="str">
        <f>IFERROR(__xludf.DUMMYFUNCTION("""COMPUTED_VALUE"""),"#VALUE!")</f>
        <v>#VALUE!</v>
      </c>
      <c r="F196" s="10" t="str">
        <f>IFERROR(__xludf.DUMMYFUNCTION("""COMPUTED_VALUE"""),"")</f>
        <v/>
      </c>
      <c r="G196" s="10" t="str">
        <f>IFERROR(__xludf.DUMMYFUNCTION("""COMPUTED_VALUE"""),"#VALUE!")</f>
        <v>#VALUE!</v>
      </c>
      <c r="H196" s="10" t="str">
        <f>IFERROR(__xludf.DUMMYFUNCTION("""COMPUTED_VALUE"""),"")</f>
        <v/>
      </c>
    </row>
    <row r="197">
      <c r="E197" s="10" t="str">
        <f>IFERROR(__xludf.DUMMYFUNCTION("""COMPUTED_VALUE"""),"#VALUE!")</f>
        <v>#VALUE!</v>
      </c>
      <c r="F197" s="10" t="str">
        <f>IFERROR(__xludf.DUMMYFUNCTION("""COMPUTED_VALUE"""),"")</f>
        <v/>
      </c>
      <c r="G197" s="10" t="str">
        <f>IFERROR(__xludf.DUMMYFUNCTION("""COMPUTED_VALUE"""),"#VALUE!")</f>
        <v>#VALUE!</v>
      </c>
      <c r="H197" s="10" t="str">
        <f>IFERROR(__xludf.DUMMYFUNCTION("""COMPUTED_VALUE"""),"")</f>
        <v/>
      </c>
    </row>
    <row r="198">
      <c r="E198" s="10" t="str">
        <f>IFERROR(__xludf.DUMMYFUNCTION("""COMPUTED_VALUE"""),"#VALUE!")</f>
        <v>#VALUE!</v>
      </c>
      <c r="F198" s="10" t="str">
        <f>IFERROR(__xludf.DUMMYFUNCTION("""COMPUTED_VALUE"""),"")</f>
        <v/>
      </c>
      <c r="G198" s="10" t="str">
        <f>IFERROR(__xludf.DUMMYFUNCTION("""COMPUTED_VALUE"""),"#VALUE!")</f>
        <v>#VALUE!</v>
      </c>
      <c r="H198" s="10" t="str">
        <f>IFERROR(__xludf.DUMMYFUNCTION("""COMPUTED_VALUE"""),"")</f>
        <v/>
      </c>
    </row>
    <row r="199">
      <c r="E199" s="10" t="str">
        <f>IFERROR(__xludf.DUMMYFUNCTION("""COMPUTED_VALUE"""),"#VALUE!")</f>
        <v>#VALUE!</v>
      </c>
      <c r="F199" s="10" t="str">
        <f>IFERROR(__xludf.DUMMYFUNCTION("""COMPUTED_VALUE"""),"")</f>
        <v/>
      </c>
      <c r="G199" s="10" t="str">
        <f>IFERROR(__xludf.DUMMYFUNCTION("""COMPUTED_VALUE"""),"#VALUE!")</f>
        <v>#VALUE!</v>
      </c>
      <c r="H199" s="10" t="str">
        <f>IFERROR(__xludf.DUMMYFUNCTION("""COMPUTED_VALUE"""),"")</f>
        <v/>
      </c>
    </row>
    <row r="200">
      <c r="E200" s="10" t="str">
        <f>IFERROR(__xludf.DUMMYFUNCTION("""COMPUTED_VALUE"""),"#VALUE!")</f>
        <v>#VALUE!</v>
      </c>
      <c r="F200" s="10" t="str">
        <f>IFERROR(__xludf.DUMMYFUNCTION("""COMPUTED_VALUE"""),"")</f>
        <v/>
      </c>
      <c r="G200" s="10" t="str">
        <f>IFERROR(__xludf.DUMMYFUNCTION("""COMPUTED_VALUE"""),"#VALUE!")</f>
        <v>#VALUE!</v>
      </c>
      <c r="H200" s="10" t="str">
        <f>IFERROR(__xludf.DUMMYFUNCTION("""COMPUTED_VALUE"""),"")</f>
        <v/>
      </c>
    </row>
    <row r="201">
      <c r="E201" s="10" t="str">
        <f>IFERROR(__xludf.DUMMYFUNCTION("""COMPUTED_VALUE"""),"#VALUE!")</f>
        <v>#VALUE!</v>
      </c>
      <c r="F201" s="10" t="str">
        <f>IFERROR(__xludf.DUMMYFUNCTION("""COMPUTED_VALUE"""),"")</f>
        <v/>
      </c>
      <c r="G201" s="10" t="str">
        <f>IFERROR(__xludf.DUMMYFUNCTION("""COMPUTED_VALUE"""),"#VALUE!")</f>
        <v>#VALUE!</v>
      </c>
      <c r="H201" s="10" t="str">
        <f>IFERROR(__xludf.DUMMYFUNCTION("""COMPUTED_VALUE"""),"")</f>
        <v/>
      </c>
    </row>
    <row r="202">
      <c r="E202" s="10" t="str">
        <f>IFERROR(__xludf.DUMMYFUNCTION("""COMPUTED_VALUE"""),"#VALUE!")</f>
        <v>#VALUE!</v>
      </c>
      <c r="F202" s="10" t="str">
        <f>IFERROR(__xludf.DUMMYFUNCTION("""COMPUTED_VALUE"""),"")</f>
        <v/>
      </c>
      <c r="G202" s="10" t="str">
        <f>IFERROR(__xludf.DUMMYFUNCTION("""COMPUTED_VALUE"""),"#VALUE!")</f>
        <v>#VALUE!</v>
      </c>
      <c r="H202" s="10" t="str">
        <f>IFERROR(__xludf.DUMMYFUNCTION("""COMPUTED_VALUE"""),"")</f>
        <v/>
      </c>
    </row>
    <row r="203">
      <c r="E203" s="10" t="str">
        <f>IFERROR(__xludf.DUMMYFUNCTION("""COMPUTED_VALUE"""),"#VALUE!")</f>
        <v>#VALUE!</v>
      </c>
      <c r="F203" s="10" t="str">
        <f>IFERROR(__xludf.DUMMYFUNCTION("""COMPUTED_VALUE"""),"")</f>
        <v/>
      </c>
      <c r="G203" s="10" t="str">
        <f>IFERROR(__xludf.DUMMYFUNCTION("""COMPUTED_VALUE"""),"#VALUE!")</f>
        <v>#VALUE!</v>
      </c>
      <c r="H203" s="10" t="str">
        <f>IFERROR(__xludf.DUMMYFUNCTION("""COMPUTED_VALUE"""),"")</f>
        <v/>
      </c>
    </row>
    <row r="204">
      <c r="E204" s="10" t="str">
        <f>IFERROR(__xludf.DUMMYFUNCTION("""COMPUTED_VALUE"""),"#VALUE!")</f>
        <v>#VALUE!</v>
      </c>
      <c r="F204" s="10" t="str">
        <f>IFERROR(__xludf.DUMMYFUNCTION("""COMPUTED_VALUE"""),"")</f>
        <v/>
      </c>
      <c r="G204" s="10" t="str">
        <f>IFERROR(__xludf.DUMMYFUNCTION("""COMPUTED_VALUE"""),"#VALUE!")</f>
        <v>#VALUE!</v>
      </c>
      <c r="H204" s="10" t="str">
        <f>IFERROR(__xludf.DUMMYFUNCTION("""COMPUTED_VALUE"""),"")</f>
        <v/>
      </c>
    </row>
    <row r="205">
      <c r="E205" s="10" t="str">
        <f>IFERROR(__xludf.DUMMYFUNCTION("""COMPUTED_VALUE"""),"#VALUE!")</f>
        <v>#VALUE!</v>
      </c>
      <c r="F205" s="10" t="str">
        <f>IFERROR(__xludf.DUMMYFUNCTION("""COMPUTED_VALUE"""),"")</f>
        <v/>
      </c>
      <c r="G205" s="10" t="str">
        <f>IFERROR(__xludf.DUMMYFUNCTION("""COMPUTED_VALUE"""),"#VALUE!")</f>
        <v>#VALUE!</v>
      </c>
      <c r="H205" s="10" t="str">
        <f>IFERROR(__xludf.DUMMYFUNCTION("""COMPUTED_VALUE"""),"")</f>
        <v/>
      </c>
    </row>
    <row r="206">
      <c r="E206" s="10" t="str">
        <f>IFERROR(__xludf.DUMMYFUNCTION("""COMPUTED_VALUE"""),"#VALUE!")</f>
        <v>#VALUE!</v>
      </c>
      <c r="F206" s="10" t="str">
        <f>IFERROR(__xludf.DUMMYFUNCTION("""COMPUTED_VALUE"""),"")</f>
        <v/>
      </c>
      <c r="G206" s="10" t="str">
        <f>IFERROR(__xludf.DUMMYFUNCTION("""COMPUTED_VALUE"""),"#VALUE!")</f>
        <v>#VALUE!</v>
      </c>
      <c r="H206" s="10" t="str">
        <f>IFERROR(__xludf.DUMMYFUNCTION("""COMPUTED_VALUE"""),"")</f>
        <v/>
      </c>
    </row>
    <row r="207">
      <c r="E207" s="10" t="str">
        <f>IFERROR(__xludf.DUMMYFUNCTION("""COMPUTED_VALUE"""),"#VALUE!")</f>
        <v>#VALUE!</v>
      </c>
      <c r="F207" s="10" t="str">
        <f>IFERROR(__xludf.DUMMYFUNCTION("""COMPUTED_VALUE"""),"")</f>
        <v/>
      </c>
      <c r="G207" s="10" t="str">
        <f>IFERROR(__xludf.DUMMYFUNCTION("""COMPUTED_VALUE"""),"#VALUE!")</f>
        <v>#VALUE!</v>
      </c>
      <c r="H207" s="10" t="str">
        <f>IFERROR(__xludf.DUMMYFUNCTION("""COMPUTED_VALUE"""),"")</f>
        <v/>
      </c>
    </row>
    <row r="208">
      <c r="E208" s="10" t="str">
        <f>IFERROR(__xludf.DUMMYFUNCTION("""COMPUTED_VALUE"""),"#VALUE!")</f>
        <v>#VALUE!</v>
      </c>
      <c r="F208" s="10" t="str">
        <f>IFERROR(__xludf.DUMMYFUNCTION("""COMPUTED_VALUE"""),"")</f>
        <v/>
      </c>
      <c r="G208" s="10" t="str">
        <f>IFERROR(__xludf.DUMMYFUNCTION("""COMPUTED_VALUE"""),"#VALUE!")</f>
        <v>#VALUE!</v>
      </c>
      <c r="H208" s="10" t="str">
        <f>IFERROR(__xludf.DUMMYFUNCTION("""COMPUTED_VALUE"""),"")</f>
        <v/>
      </c>
    </row>
    <row r="209">
      <c r="E209" s="10" t="str">
        <f>IFERROR(__xludf.DUMMYFUNCTION("""COMPUTED_VALUE"""),"#VALUE!")</f>
        <v>#VALUE!</v>
      </c>
      <c r="F209" s="10" t="str">
        <f>IFERROR(__xludf.DUMMYFUNCTION("""COMPUTED_VALUE"""),"")</f>
        <v/>
      </c>
      <c r="G209" s="10" t="str">
        <f>IFERROR(__xludf.DUMMYFUNCTION("""COMPUTED_VALUE"""),"#VALUE!")</f>
        <v>#VALUE!</v>
      </c>
      <c r="H209" s="10" t="str">
        <f>IFERROR(__xludf.DUMMYFUNCTION("""COMPUTED_VALUE"""),"")</f>
        <v/>
      </c>
    </row>
    <row r="210">
      <c r="E210" s="10" t="str">
        <f>IFERROR(__xludf.DUMMYFUNCTION("""COMPUTED_VALUE"""),"#VALUE!")</f>
        <v>#VALUE!</v>
      </c>
      <c r="F210" s="10" t="str">
        <f>IFERROR(__xludf.DUMMYFUNCTION("""COMPUTED_VALUE"""),"")</f>
        <v/>
      </c>
      <c r="G210" s="10" t="str">
        <f>IFERROR(__xludf.DUMMYFUNCTION("""COMPUTED_VALUE"""),"#VALUE!")</f>
        <v>#VALUE!</v>
      </c>
      <c r="H210" s="10" t="str">
        <f>IFERROR(__xludf.DUMMYFUNCTION("""COMPUTED_VALUE"""),"")</f>
        <v/>
      </c>
    </row>
    <row r="211">
      <c r="E211" s="10" t="str">
        <f>IFERROR(__xludf.DUMMYFUNCTION("""COMPUTED_VALUE"""),"#VALUE!")</f>
        <v>#VALUE!</v>
      </c>
      <c r="F211" s="10" t="str">
        <f>IFERROR(__xludf.DUMMYFUNCTION("""COMPUTED_VALUE"""),"")</f>
        <v/>
      </c>
      <c r="G211" s="10" t="str">
        <f>IFERROR(__xludf.DUMMYFUNCTION("""COMPUTED_VALUE"""),"#VALUE!")</f>
        <v>#VALUE!</v>
      </c>
      <c r="H211" s="10" t="str">
        <f>IFERROR(__xludf.DUMMYFUNCTION("""COMPUTED_VALUE"""),"")</f>
        <v/>
      </c>
    </row>
    <row r="212">
      <c r="E212" s="10" t="str">
        <f>IFERROR(__xludf.DUMMYFUNCTION("""COMPUTED_VALUE"""),"#VALUE!")</f>
        <v>#VALUE!</v>
      </c>
      <c r="F212" s="10" t="str">
        <f>IFERROR(__xludf.DUMMYFUNCTION("""COMPUTED_VALUE"""),"")</f>
        <v/>
      </c>
      <c r="G212" s="10" t="str">
        <f>IFERROR(__xludf.DUMMYFUNCTION("""COMPUTED_VALUE"""),"#VALUE!")</f>
        <v>#VALUE!</v>
      </c>
      <c r="H212" s="10" t="str">
        <f>IFERROR(__xludf.DUMMYFUNCTION("""COMPUTED_VALUE"""),"")</f>
        <v/>
      </c>
    </row>
    <row r="213">
      <c r="E213" s="10" t="str">
        <f>IFERROR(__xludf.DUMMYFUNCTION("""COMPUTED_VALUE"""),"#VALUE!")</f>
        <v>#VALUE!</v>
      </c>
      <c r="F213" s="10" t="str">
        <f>IFERROR(__xludf.DUMMYFUNCTION("""COMPUTED_VALUE"""),"")</f>
        <v/>
      </c>
      <c r="G213" s="10" t="str">
        <f>IFERROR(__xludf.DUMMYFUNCTION("""COMPUTED_VALUE"""),"#VALUE!")</f>
        <v>#VALUE!</v>
      </c>
      <c r="H213" s="10" t="str">
        <f>IFERROR(__xludf.DUMMYFUNCTION("""COMPUTED_VALUE"""),"")</f>
        <v/>
      </c>
    </row>
    <row r="214">
      <c r="E214" s="10" t="str">
        <f>IFERROR(__xludf.DUMMYFUNCTION("""COMPUTED_VALUE"""),"#VALUE!")</f>
        <v>#VALUE!</v>
      </c>
      <c r="F214" s="10" t="str">
        <f>IFERROR(__xludf.DUMMYFUNCTION("""COMPUTED_VALUE"""),"")</f>
        <v/>
      </c>
      <c r="G214" s="10" t="str">
        <f>IFERROR(__xludf.DUMMYFUNCTION("""COMPUTED_VALUE"""),"#VALUE!")</f>
        <v>#VALUE!</v>
      </c>
      <c r="H214" s="10" t="str">
        <f>IFERROR(__xludf.DUMMYFUNCTION("""COMPUTED_VALUE"""),"")</f>
        <v/>
      </c>
    </row>
    <row r="215">
      <c r="E215" s="10" t="str">
        <f>IFERROR(__xludf.DUMMYFUNCTION("""COMPUTED_VALUE"""),"#VALUE!")</f>
        <v>#VALUE!</v>
      </c>
      <c r="F215" s="10" t="str">
        <f>IFERROR(__xludf.DUMMYFUNCTION("""COMPUTED_VALUE"""),"")</f>
        <v/>
      </c>
      <c r="G215" s="10" t="str">
        <f>IFERROR(__xludf.DUMMYFUNCTION("""COMPUTED_VALUE"""),"#VALUE!")</f>
        <v>#VALUE!</v>
      </c>
      <c r="H215" s="10" t="str">
        <f>IFERROR(__xludf.DUMMYFUNCTION("""COMPUTED_VALUE"""),"")</f>
        <v/>
      </c>
    </row>
    <row r="216">
      <c r="E216" s="10" t="str">
        <f>IFERROR(__xludf.DUMMYFUNCTION("""COMPUTED_VALUE"""),"#VALUE!")</f>
        <v>#VALUE!</v>
      </c>
      <c r="F216" s="10" t="str">
        <f>IFERROR(__xludf.DUMMYFUNCTION("""COMPUTED_VALUE"""),"")</f>
        <v/>
      </c>
      <c r="G216" s="10" t="str">
        <f>IFERROR(__xludf.DUMMYFUNCTION("""COMPUTED_VALUE"""),"#VALUE!")</f>
        <v>#VALUE!</v>
      </c>
      <c r="H216" s="10" t="str">
        <f>IFERROR(__xludf.DUMMYFUNCTION("""COMPUTED_VALUE"""),"")</f>
        <v/>
      </c>
    </row>
    <row r="217">
      <c r="E217" s="10" t="str">
        <f>IFERROR(__xludf.DUMMYFUNCTION("""COMPUTED_VALUE"""),"#VALUE!")</f>
        <v>#VALUE!</v>
      </c>
      <c r="F217" s="10" t="str">
        <f>IFERROR(__xludf.DUMMYFUNCTION("""COMPUTED_VALUE"""),"")</f>
        <v/>
      </c>
      <c r="G217" s="10" t="str">
        <f>IFERROR(__xludf.DUMMYFUNCTION("""COMPUTED_VALUE"""),"#VALUE!")</f>
        <v>#VALUE!</v>
      </c>
      <c r="H217" s="10" t="str">
        <f>IFERROR(__xludf.DUMMYFUNCTION("""COMPUTED_VALUE"""),"")</f>
        <v/>
      </c>
    </row>
    <row r="218">
      <c r="E218" s="10" t="str">
        <f>IFERROR(__xludf.DUMMYFUNCTION("""COMPUTED_VALUE"""),"#VALUE!")</f>
        <v>#VALUE!</v>
      </c>
      <c r="F218" s="10" t="str">
        <f>IFERROR(__xludf.DUMMYFUNCTION("""COMPUTED_VALUE"""),"")</f>
        <v/>
      </c>
      <c r="G218" s="10" t="str">
        <f>IFERROR(__xludf.DUMMYFUNCTION("""COMPUTED_VALUE"""),"#VALUE!")</f>
        <v>#VALUE!</v>
      </c>
      <c r="H218" s="10" t="str">
        <f>IFERROR(__xludf.DUMMYFUNCTION("""COMPUTED_VALUE"""),"")</f>
        <v/>
      </c>
    </row>
    <row r="219">
      <c r="E219" s="10" t="str">
        <f>IFERROR(__xludf.DUMMYFUNCTION("""COMPUTED_VALUE"""),"#VALUE!")</f>
        <v>#VALUE!</v>
      </c>
      <c r="F219" s="10" t="str">
        <f>IFERROR(__xludf.DUMMYFUNCTION("""COMPUTED_VALUE"""),"")</f>
        <v/>
      </c>
      <c r="G219" s="10" t="str">
        <f>IFERROR(__xludf.DUMMYFUNCTION("""COMPUTED_VALUE"""),"#VALUE!")</f>
        <v>#VALUE!</v>
      </c>
      <c r="H219" s="10" t="str">
        <f>IFERROR(__xludf.DUMMYFUNCTION("""COMPUTED_VALUE"""),"")</f>
        <v/>
      </c>
    </row>
    <row r="220">
      <c r="E220" s="10" t="str">
        <f>IFERROR(__xludf.DUMMYFUNCTION("""COMPUTED_VALUE"""),"#VALUE!")</f>
        <v>#VALUE!</v>
      </c>
      <c r="F220" s="10" t="str">
        <f>IFERROR(__xludf.DUMMYFUNCTION("""COMPUTED_VALUE"""),"")</f>
        <v/>
      </c>
      <c r="G220" s="10" t="str">
        <f>IFERROR(__xludf.DUMMYFUNCTION("""COMPUTED_VALUE"""),"#VALUE!")</f>
        <v>#VALUE!</v>
      </c>
      <c r="H220" s="10" t="str">
        <f>IFERROR(__xludf.DUMMYFUNCTION("""COMPUTED_VALUE"""),"")</f>
        <v/>
      </c>
    </row>
    <row r="221">
      <c r="E221" s="10" t="str">
        <f>IFERROR(__xludf.DUMMYFUNCTION("""COMPUTED_VALUE"""),"#VALUE!")</f>
        <v>#VALUE!</v>
      </c>
      <c r="F221" s="10" t="str">
        <f>IFERROR(__xludf.DUMMYFUNCTION("""COMPUTED_VALUE"""),"")</f>
        <v/>
      </c>
      <c r="G221" s="10" t="str">
        <f>IFERROR(__xludf.DUMMYFUNCTION("""COMPUTED_VALUE"""),"#VALUE!")</f>
        <v>#VALUE!</v>
      </c>
      <c r="H221" s="10" t="str">
        <f>IFERROR(__xludf.DUMMYFUNCTION("""COMPUTED_VALUE"""),"")</f>
        <v/>
      </c>
    </row>
    <row r="222">
      <c r="E222" s="10" t="str">
        <f>IFERROR(__xludf.DUMMYFUNCTION("""COMPUTED_VALUE"""),"#VALUE!")</f>
        <v>#VALUE!</v>
      </c>
      <c r="F222" s="10" t="str">
        <f>IFERROR(__xludf.DUMMYFUNCTION("""COMPUTED_VALUE"""),"")</f>
        <v/>
      </c>
      <c r="G222" s="10" t="str">
        <f>IFERROR(__xludf.DUMMYFUNCTION("""COMPUTED_VALUE"""),"#VALUE!")</f>
        <v>#VALUE!</v>
      </c>
      <c r="H222" s="10" t="str">
        <f>IFERROR(__xludf.DUMMYFUNCTION("""COMPUTED_VALUE"""),"")</f>
        <v/>
      </c>
    </row>
    <row r="223">
      <c r="E223" s="10" t="str">
        <f>IFERROR(__xludf.DUMMYFUNCTION("""COMPUTED_VALUE"""),"#VALUE!")</f>
        <v>#VALUE!</v>
      </c>
      <c r="F223" s="10" t="str">
        <f>IFERROR(__xludf.DUMMYFUNCTION("""COMPUTED_VALUE"""),"")</f>
        <v/>
      </c>
      <c r="G223" s="10" t="str">
        <f>IFERROR(__xludf.DUMMYFUNCTION("""COMPUTED_VALUE"""),"#VALUE!")</f>
        <v>#VALUE!</v>
      </c>
      <c r="H223" s="10" t="str">
        <f>IFERROR(__xludf.DUMMYFUNCTION("""COMPUTED_VALUE"""),"")</f>
        <v/>
      </c>
    </row>
    <row r="224">
      <c r="E224" s="10" t="str">
        <f>IFERROR(__xludf.DUMMYFUNCTION("""COMPUTED_VALUE"""),"#VALUE!")</f>
        <v>#VALUE!</v>
      </c>
      <c r="F224" s="10" t="str">
        <f>IFERROR(__xludf.DUMMYFUNCTION("""COMPUTED_VALUE"""),"")</f>
        <v/>
      </c>
      <c r="G224" s="10" t="str">
        <f>IFERROR(__xludf.DUMMYFUNCTION("""COMPUTED_VALUE"""),"#VALUE!")</f>
        <v>#VALUE!</v>
      </c>
      <c r="H224" s="10" t="str">
        <f>IFERROR(__xludf.DUMMYFUNCTION("""COMPUTED_VALUE"""),"")</f>
        <v/>
      </c>
    </row>
    <row r="225">
      <c r="E225" s="10" t="str">
        <f>IFERROR(__xludf.DUMMYFUNCTION("""COMPUTED_VALUE"""),"#VALUE!")</f>
        <v>#VALUE!</v>
      </c>
      <c r="F225" s="10" t="str">
        <f>IFERROR(__xludf.DUMMYFUNCTION("""COMPUTED_VALUE"""),"")</f>
        <v/>
      </c>
      <c r="G225" s="10" t="str">
        <f>IFERROR(__xludf.DUMMYFUNCTION("""COMPUTED_VALUE"""),"#VALUE!")</f>
        <v>#VALUE!</v>
      </c>
      <c r="H225" s="10" t="str">
        <f>IFERROR(__xludf.DUMMYFUNCTION("""COMPUTED_VALUE"""),"")</f>
        <v/>
      </c>
    </row>
    <row r="226">
      <c r="E226" s="10" t="str">
        <f>IFERROR(__xludf.DUMMYFUNCTION("""COMPUTED_VALUE"""),"#VALUE!")</f>
        <v>#VALUE!</v>
      </c>
      <c r="F226" s="10" t="str">
        <f>IFERROR(__xludf.DUMMYFUNCTION("""COMPUTED_VALUE"""),"")</f>
        <v/>
      </c>
      <c r="G226" s="10" t="str">
        <f>IFERROR(__xludf.DUMMYFUNCTION("""COMPUTED_VALUE"""),"#VALUE!")</f>
        <v>#VALUE!</v>
      </c>
      <c r="H226" s="10" t="str">
        <f>IFERROR(__xludf.DUMMYFUNCTION("""COMPUTED_VALUE"""),"")</f>
        <v/>
      </c>
    </row>
    <row r="227">
      <c r="E227" s="10" t="str">
        <f>IFERROR(__xludf.DUMMYFUNCTION("""COMPUTED_VALUE"""),"#VALUE!")</f>
        <v>#VALUE!</v>
      </c>
      <c r="F227" s="10" t="str">
        <f>IFERROR(__xludf.DUMMYFUNCTION("""COMPUTED_VALUE"""),"")</f>
        <v/>
      </c>
      <c r="G227" s="10" t="str">
        <f>IFERROR(__xludf.DUMMYFUNCTION("""COMPUTED_VALUE"""),"#VALUE!")</f>
        <v>#VALUE!</v>
      </c>
      <c r="H227" s="10" t="str">
        <f>IFERROR(__xludf.DUMMYFUNCTION("""COMPUTED_VALUE"""),"")</f>
        <v/>
      </c>
    </row>
    <row r="228">
      <c r="E228" s="10" t="str">
        <f>IFERROR(__xludf.DUMMYFUNCTION("""COMPUTED_VALUE"""),"#VALUE!")</f>
        <v>#VALUE!</v>
      </c>
      <c r="F228" s="10" t="str">
        <f>IFERROR(__xludf.DUMMYFUNCTION("""COMPUTED_VALUE"""),"")</f>
        <v/>
      </c>
      <c r="G228" s="10" t="str">
        <f>IFERROR(__xludf.DUMMYFUNCTION("""COMPUTED_VALUE"""),"#VALUE!")</f>
        <v>#VALUE!</v>
      </c>
      <c r="H228" s="10" t="str">
        <f>IFERROR(__xludf.DUMMYFUNCTION("""COMPUTED_VALUE"""),"")</f>
        <v/>
      </c>
    </row>
    <row r="229">
      <c r="E229" s="10" t="str">
        <f>IFERROR(__xludf.DUMMYFUNCTION("""COMPUTED_VALUE"""),"#VALUE!")</f>
        <v>#VALUE!</v>
      </c>
      <c r="F229" s="10" t="str">
        <f>IFERROR(__xludf.DUMMYFUNCTION("""COMPUTED_VALUE"""),"")</f>
        <v/>
      </c>
      <c r="G229" s="10" t="str">
        <f>IFERROR(__xludf.DUMMYFUNCTION("""COMPUTED_VALUE"""),"#VALUE!")</f>
        <v>#VALUE!</v>
      </c>
      <c r="H229" s="10" t="str">
        <f>IFERROR(__xludf.DUMMYFUNCTION("""COMPUTED_VALUE"""),"")</f>
        <v/>
      </c>
    </row>
    <row r="230">
      <c r="E230" s="10" t="str">
        <f>IFERROR(__xludf.DUMMYFUNCTION("""COMPUTED_VALUE"""),"#VALUE!")</f>
        <v>#VALUE!</v>
      </c>
      <c r="F230" s="10" t="str">
        <f>IFERROR(__xludf.DUMMYFUNCTION("""COMPUTED_VALUE"""),"")</f>
        <v/>
      </c>
      <c r="G230" s="10" t="str">
        <f>IFERROR(__xludf.DUMMYFUNCTION("""COMPUTED_VALUE"""),"#VALUE!")</f>
        <v>#VALUE!</v>
      </c>
      <c r="H230" s="10" t="str">
        <f>IFERROR(__xludf.DUMMYFUNCTION("""COMPUTED_VALUE"""),"")</f>
        <v/>
      </c>
    </row>
    <row r="231">
      <c r="E231" s="10" t="str">
        <f>IFERROR(__xludf.DUMMYFUNCTION("""COMPUTED_VALUE"""),"#VALUE!")</f>
        <v>#VALUE!</v>
      </c>
      <c r="F231" s="10" t="str">
        <f>IFERROR(__xludf.DUMMYFUNCTION("""COMPUTED_VALUE"""),"")</f>
        <v/>
      </c>
      <c r="G231" s="10" t="str">
        <f>IFERROR(__xludf.DUMMYFUNCTION("""COMPUTED_VALUE"""),"#VALUE!")</f>
        <v>#VALUE!</v>
      </c>
      <c r="H231" s="10" t="str">
        <f>IFERROR(__xludf.DUMMYFUNCTION("""COMPUTED_VALUE"""),"")</f>
        <v/>
      </c>
    </row>
    <row r="232">
      <c r="E232" s="10" t="str">
        <f>IFERROR(__xludf.DUMMYFUNCTION("""COMPUTED_VALUE"""),"#VALUE!")</f>
        <v>#VALUE!</v>
      </c>
      <c r="F232" s="10" t="str">
        <f>IFERROR(__xludf.DUMMYFUNCTION("""COMPUTED_VALUE"""),"")</f>
        <v/>
      </c>
      <c r="G232" s="10" t="str">
        <f>IFERROR(__xludf.DUMMYFUNCTION("""COMPUTED_VALUE"""),"#VALUE!")</f>
        <v>#VALUE!</v>
      </c>
      <c r="H232" s="10" t="str">
        <f>IFERROR(__xludf.DUMMYFUNCTION("""COMPUTED_VALUE"""),"")</f>
        <v/>
      </c>
    </row>
    <row r="233">
      <c r="E233" s="10" t="str">
        <f>IFERROR(__xludf.DUMMYFUNCTION("""COMPUTED_VALUE"""),"#VALUE!")</f>
        <v>#VALUE!</v>
      </c>
      <c r="F233" s="10" t="str">
        <f>IFERROR(__xludf.DUMMYFUNCTION("""COMPUTED_VALUE"""),"")</f>
        <v/>
      </c>
      <c r="G233" s="10" t="str">
        <f>IFERROR(__xludf.DUMMYFUNCTION("""COMPUTED_VALUE"""),"#VALUE!")</f>
        <v>#VALUE!</v>
      </c>
      <c r="H233" s="10" t="str">
        <f>IFERROR(__xludf.DUMMYFUNCTION("""COMPUTED_VALUE"""),"")</f>
        <v/>
      </c>
    </row>
    <row r="234">
      <c r="E234" s="10" t="str">
        <f>IFERROR(__xludf.DUMMYFUNCTION("""COMPUTED_VALUE"""),"#VALUE!")</f>
        <v>#VALUE!</v>
      </c>
      <c r="F234" s="10" t="str">
        <f>IFERROR(__xludf.DUMMYFUNCTION("""COMPUTED_VALUE"""),"")</f>
        <v/>
      </c>
      <c r="G234" s="10" t="str">
        <f>IFERROR(__xludf.DUMMYFUNCTION("""COMPUTED_VALUE"""),"#VALUE!")</f>
        <v>#VALUE!</v>
      </c>
      <c r="H234" s="10" t="str">
        <f>IFERROR(__xludf.DUMMYFUNCTION("""COMPUTED_VALUE"""),"")</f>
        <v/>
      </c>
    </row>
    <row r="235">
      <c r="E235" s="10" t="str">
        <f>IFERROR(__xludf.DUMMYFUNCTION("""COMPUTED_VALUE"""),"#VALUE!")</f>
        <v>#VALUE!</v>
      </c>
      <c r="F235" s="10" t="str">
        <f>IFERROR(__xludf.DUMMYFUNCTION("""COMPUTED_VALUE"""),"")</f>
        <v/>
      </c>
      <c r="G235" s="10" t="str">
        <f>IFERROR(__xludf.DUMMYFUNCTION("""COMPUTED_VALUE"""),"#VALUE!")</f>
        <v>#VALUE!</v>
      </c>
      <c r="H235" s="10" t="str">
        <f>IFERROR(__xludf.DUMMYFUNCTION("""COMPUTED_VALUE"""),"")</f>
        <v/>
      </c>
    </row>
    <row r="236">
      <c r="E236" s="10" t="str">
        <f>IFERROR(__xludf.DUMMYFUNCTION("""COMPUTED_VALUE"""),"#VALUE!")</f>
        <v>#VALUE!</v>
      </c>
      <c r="F236" s="10" t="str">
        <f>IFERROR(__xludf.DUMMYFUNCTION("""COMPUTED_VALUE"""),"")</f>
        <v/>
      </c>
      <c r="G236" s="10" t="str">
        <f>IFERROR(__xludf.DUMMYFUNCTION("""COMPUTED_VALUE"""),"#VALUE!")</f>
        <v>#VALUE!</v>
      </c>
      <c r="H236" s="10" t="str">
        <f>IFERROR(__xludf.DUMMYFUNCTION("""COMPUTED_VALUE"""),"")</f>
        <v/>
      </c>
    </row>
    <row r="237">
      <c r="E237" s="10" t="str">
        <f>IFERROR(__xludf.DUMMYFUNCTION("""COMPUTED_VALUE"""),"#VALUE!")</f>
        <v>#VALUE!</v>
      </c>
      <c r="F237" s="10" t="str">
        <f>IFERROR(__xludf.DUMMYFUNCTION("""COMPUTED_VALUE"""),"")</f>
        <v/>
      </c>
      <c r="G237" s="10" t="str">
        <f>IFERROR(__xludf.DUMMYFUNCTION("""COMPUTED_VALUE"""),"#VALUE!")</f>
        <v>#VALUE!</v>
      </c>
      <c r="H237" s="10" t="str">
        <f>IFERROR(__xludf.DUMMYFUNCTION("""COMPUTED_VALUE"""),"")</f>
        <v/>
      </c>
    </row>
    <row r="238">
      <c r="E238" s="10" t="str">
        <f>IFERROR(__xludf.DUMMYFUNCTION("""COMPUTED_VALUE"""),"#VALUE!")</f>
        <v>#VALUE!</v>
      </c>
      <c r="F238" s="10" t="str">
        <f>IFERROR(__xludf.DUMMYFUNCTION("""COMPUTED_VALUE"""),"")</f>
        <v/>
      </c>
      <c r="G238" s="10" t="str">
        <f>IFERROR(__xludf.DUMMYFUNCTION("""COMPUTED_VALUE"""),"#VALUE!")</f>
        <v>#VALUE!</v>
      </c>
      <c r="H238" s="10" t="str">
        <f>IFERROR(__xludf.DUMMYFUNCTION("""COMPUTED_VALUE"""),"")</f>
        <v/>
      </c>
    </row>
    <row r="239">
      <c r="E239" s="10" t="str">
        <f>IFERROR(__xludf.DUMMYFUNCTION("""COMPUTED_VALUE"""),"#VALUE!")</f>
        <v>#VALUE!</v>
      </c>
      <c r="F239" s="10" t="str">
        <f>IFERROR(__xludf.DUMMYFUNCTION("""COMPUTED_VALUE"""),"")</f>
        <v/>
      </c>
      <c r="G239" s="10" t="str">
        <f>IFERROR(__xludf.DUMMYFUNCTION("""COMPUTED_VALUE"""),"#VALUE!")</f>
        <v>#VALUE!</v>
      </c>
      <c r="H239" s="10" t="str">
        <f>IFERROR(__xludf.DUMMYFUNCTION("""COMPUTED_VALUE"""),"")</f>
        <v/>
      </c>
    </row>
    <row r="240">
      <c r="E240" s="10" t="str">
        <f>IFERROR(__xludf.DUMMYFUNCTION("""COMPUTED_VALUE"""),"#VALUE!")</f>
        <v>#VALUE!</v>
      </c>
      <c r="F240" s="10" t="str">
        <f>IFERROR(__xludf.DUMMYFUNCTION("""COMPUTED_VALUE"""),"")</f>
        <v/>
      </c>
      <c r="G240" s="10" t="str">
        <f>IFERROR(__xludf.DUMMYFUNCTION("""COMPUTED_VALUE"""),"#VALUE!")</f>
        <v>#VALUE!</v>
      </c>
      <c r="H240" s="10" t="str">
        <f>IFERROR(__xludf.DUMMYFUNCTION("""COMPUTED_VALUE"""),"")</f>
        <v/>
      </c>
    </row>
    <row r="241">
      <c r="E241" s="10" t="str">
        <f>IFERROR(__xludf.DUMMYFUNCTION("""COMPUTED_VALUE"""),"#VALUE!")</f>
        <v>#VALUE!</v>
      </c>
      <c r="F241" s="10" t="str">
        <f>IFERROR(__xludf.DUMMYFUNCTION("""COMPUTED_VALUE"""),"")</f>
        <v/>
      </c>
      <c r="G241" s="10" t="str">
        <f>IFERROR(__xludf.DUMMYFUNCTION("""COMPUTED_VALUE"""),"#VALUE!")</f>
        <v>#VALUE!</v>
      </c>
      <c r="H241" s="10" t="str">
        <f>IFERROR(__xludf.DUMMYFUNCTION("""COMPUTED_VALUE"""),"")</f>
        <v/>
      </c>
    </row>
    <row r="242">
      <c r="E242" s="10" t="str">
        <f>IFERROR(__xludf.DUMMYFUNCTION("""COMPUTED_VALUE"""),"#VALUE!")</f>
        <v>#VALUE!</v>
      </c>
      <c r="F242" s="10" t="str">
        <f>IFERROR(__xludf.DUMMYFUNCTION("""COMPUTED_VALUE"""),"")</f>
        <v/>
      </c>
      <c r="G242" s="10" t="str">
        <f>IFERROR(__xludf.DUMMYFUNCTION("""COMPUTED_VALUE"""),"#VALUE!")</f>
        <v>#VALUE!</v>
      </c>
      <c r="H242" s="10" t="str">
        <f>IFERROR(__xludf.DUMMYFUNCTION("""COMPUTED_VALUE"""),"")</f>
        <v/>
      </c>
    </row>
    <row r="243">
      <c r="E243" s="10" t="str">
        <f>IFERROR(__xludf.DUMMYFUNCTION("""COMPUTED_VALUE"""),"#VALUE!")</f>
        <v>#VALUE!</v>
      </c>
      <c r="F243" s="10" t="str">
        <f>IFERROR(__xludf.DUMMYFUNCTION("""COMPUTED_VALUE"""),"")</f>
        <v/>
      </c>
      <c r="G243" s="10" t="str">
        <f>IFERROR(__xludf.DUMMYFUNCTION("""COMPUTED_VALUE"""),"#VALUE!")</f>
        <v>#VALUE!</v>
      </c>
      <c r="H243" s="10" t="str">
        <f>IFERROR(__xludf.DUMMYFUNCTION("""COMPUTED_VALUE"""),"")</f>
        <v/>
      </c>
    </row>
    <row r="244">
      <c r="E244" s="10" t="str">
        <f>IFERROR(__xludf.DUMMYFUNCTION("""COMPUTED_VALUE"""),"#VALUE!")</f>
        <v>#VALUE!</v>
      </c>
      <c r="F244" s="10" t="str">
        <f>IFERROR(__xludf.DUMMYFUNCTION("""COMPUTED_VALUE"""),"")</f>
        <v/>
      </c>
      <c r="G244" s="10" t="str">
        <f>IFERROR(__xludf.DUMMYFUNCTION("""COMPUTED_VALUE"""),"#VALUE!")</f>
        <v>#VALUE!</v>
      </c>
      <c r="H244" s="10" t="str">
        <f>IFERROR(__xludf.DUMMYFUNCTION("""COMPUTED_VALUE"""),"")</f>
        <v/>
      </c>
    </row>
    <row r="245">
      <c r="E245" s="10" t="str">
        <f>IFERROR(__xludf.DUMMYFUNCTION("""COMPUTED_VALUE"""),"#VALUE!")</f>
        <v>#VALUE!</v>
      </c>
      <c r="F245" s="10" t="str">
        <f>IFERROR(__xludf.DUMMYFUNCTION("""COMPUTED_VALUE"""),"")</f>
        <v/>
      </c>
      <c r="G245" s="10" t="str">
        <f>IFERROR(__xludf.DUMMYFUNCTION("""COMPUTED_VALUE"""),"#VALUE!")</f>
        <v>#VALUE!</v>
      </c>
      <c r="H245" s="10" t="str">
        <f>IFERROR(__xludf.DUMMYFUNCTION("""COMPUTED_VALUE"""),"")</f>
        <v/>
      </c>
    </row>
    <row r="246">
      <c r="E246" s="10" t="str">
        <f>IFERROR(__xludf.DUMMYFUNCTION("""COMPUTED_VALUE"""),"#VALUE!")</f>
        <v>#VALUE!</v>
      </c>
      <c r="F246" s="10" t="str">
        <f>IFERROR(__xludf.DUMMYFUNCTION("""COMPUTED_VALUE"""),"")</f>
        <v/>
      </c>
      <c r="G246" s="10" t="str">
        <f>IFERROR(__xludf.DUMMYFUNCTION("""COMPUTED_VALUE"""),"#VALUE!")</f>
        <v>#VALUE!</v>
      </c>
      <c r="H246" s="10" t="str">
        <f>IFERROR(__xludf.DUMMYFUNCTION("""COMPUTED_VALUE"""),"")</f>
        <v/>
      </c>
    </row>
    <row r="247">
      <c r="E247" s="10" t="str">
        <f>IFERROR(__xludf.DUMMYFUNCTION("""COMPUTED_VALUE"""),"#VALUE!")</f>
        <v>#VALUE!</v>
      </c>
      <c r="F247" s="10" t="str">
        <f>IFERROR(__xludf.DUMMYFUNCTION("""COMPUTED_VALUE"""),"")</f>
        <v/>
      </c>
      <c r="G247" s="10" t="str">
        <f>IFERROR(__xludf.DUMMYFUNCTION("""COMPUTED_VALUE"""),"#VALUE!")</f>
        <v>#VALUE!</v>
      </c>
      <c r="H247" s="10" t="str">
        <f>IFERROR(__xludf.DUMMYFUNCTION("""COMPUTED_VALUE"""),"")</f>
        <v/>
      </c>
    </row>
    <row r="248">
      <c r="E248" s="10" t="str">
        <f>IFERROR(__xludf.DUMMYFUNCTION("""COMPUTED_VALUE"""),"#VALUE!")</f>
        <v>#VALUE!</v>
      </c>
      <c r="F248" s="10" t="str">
        <f>IFERROR(__xludf.DUMMYFUNCTION("""COMPUTED_VALUE"""),"")</f>
        <v/>
      </c>
      <c r="G248" s="10" t="str">
        <f>IFERROR(__xludf.DUMMYFUNCTION("""COMPUTED_VALUE"""),"#VALUE!")</f>
        <v>#VALUE!</v>
      </c>
      <c r="H248" s="10" t="str">
        <f>IFERROR(__xludf.DUMMYFUNCTION("""COMPUTED_VALUE"""),"")</f>
        <v/>
      </c>
    </row>
    <row r="249">
      <c r="E249" s="10" t="str">
        <f>IFERROR(__xludf.DUMMYFUNCTION("""COMPUTED_VALUE"""),"#VALUE!")</f>
        <v>#VALUE!</v>
      </c>
      <c r="F249" s="10" t="str">
        <f>IFERROR(__xludf.DUMMYFUNCTION("""COMPUTED_VALUE"""),"")</f>
        <v/>
      </c>
      <c r="G249" s="10" t="str">
        <f>IFERROR(__xludf.DUMMYFUNCTION("""COMPUTED_VALUE"""),"#VALUE!")</f>
        <v>#VALUE!</v>
      </c>
      <c r="H249" s="10" t="str">
        <f>IFERROR(__xludf.DUMMYFUNCTION("""COMPUTED_VALUE"""),"")</f>
        <v/>
      </c>
    </row>
    <row r="250">
      <c r="E250" s="10" t="str">
        <f>IFERROR(__xludf.DUMMYFUNCTION("""COMPUTED_VALUE"""),"#VALUE!")</f>
        <v>#VALUE!</v>
      </c>
      <c r="F250" s="10" t="str">
        <f>IFERROR(__xludf.DUMMYFUNCTION("""COMPUTED_VALUE"""),"")</f>
        <v/>
      </c>
      <c r="G250" s="10" t="str">
        <f>IFERROR(__xludf.DUMMYFUNCTION("""COMPUTED_VALUE"""),"#VALUE!")</f>
        <v>#VALUE!</v>
      </c>
      <c r="H250" s="10" t="str">
        <f>IFERROR(__xludf.DUMMYFUNCTION("""COMPUTED_VALUE"""),"")</f>
        <v/>
      </c>
    </row>
    <row r="251">
      <c r="E251" s="10" t="str">
        <f>IFERROR(__xludf.DUMMYFUNCTION("""COMPUTED_VALUE"""),"#VALUE!")</f>
        <v>#VALUE!</v>
      </c>
      <c r="F251" s="10" t="str">
        <f>IFERROR(__xludf.DUMMYFUNCTION("""COMPUTED_VALUE"""),"")</f>
        <v/>
      </c>
      <c r="G251" s="10" t="str">
        <f>IFERROR(__xludf.DUMMYFUNCTION("""COMPUTED_VALUE"""),"#VALUE!")</f>
        <v>#VALUE!</v>
      </c>
      <c r="H251" s="10" t="str">
        <f>IFERROR(__xludf.DUMMYFUNCTION("""COMPUTED_VALUE"""),"")</f>
        <v/>
      </c>
    </row>
    <row r="252">
      <c r="E252" s="10" t="str">
        <f>IFERROR(__xludf.DUMMYFUNCTION("""COMPUTED_VALUE"""),"#VALUE!")</f>
        <v>#VALUE!</v>
      </c>
      <c r="F252" s="10" t="str">
        <f>IFERROR(__xludf.DUMMYFUNCTION("""COMPUTED_VALUE"""),"")</f>
        <v/>
      </c>
      <c r="G252" s="10" t="str">
        <f>IFERROR(__xludf.DUMMYFUNCTION("""COMPUTED_VALUE"""),"#VALUE!")</f>
        <v>#VALUE!</v>
      </c>
      <c r="H252" s="10" t="str">
        <f>IFERROR(__xludf.DUMMYFUNCTION("""COMPUTED_VALUE"""),"")</f>
        <v/>
      </c>
    </row>
    <row r="253">
      <c r="E253" s="10" t="str">
        <f>IFERROR(__xludf.DUMMYFUNCTION("""COMPUTED_VALUE"""),"#VALUE!")</f>
        <v>#VALUE!</v>
      </c>
      <c r="F253" s="10" t="str">
        <f>IFERROR(__xludf.DUMMYFUNCTION("""COMPUTED_VALUE"""),"")</f>
        <v/>
      </c>
      <c r="G253" s="10" t="str">
        <f>IFERROR(__xludf.DUMMYFUNCTION("""COMPUTED_VALUE"""),"#VALUE!")</f>
        <v>#VALUE!</v>
      </c>
      <c r="H253" s="10" t="str">
        <f>IFERROR(__xludf.DUMMYFUNCTION("""COMPUTED_VALUE"""),"")</f>
        <v/>
      </c>
    </row>
    <row r="254">
      <c r="E254" s="10" t="str">
        <f>IFERROR(__xludf.DUMMYFUNCTION("""COMPUTED_VALUE"""),"#VALUE!")</f>
        <v>#VALUE!</v>
      </c>
      <c r="F254" s="10" t="str">
        <f>IFERROR(__xludf.DUMMYFUNCTION("""COMPUTED_VALUE"""),"")</f>
        <v/>
      </c>
      <c r="G254" s="10" t="str">
        <f>IFERROR(__xludf.DUMMYFUNCTION("""COMPUTED_VALUE"""),"#VALUE!")</f>
        <v>#VALUE!</v>
      </c>
      <c r="H254" s="10" t="str">
        <f>IFERROR(__xludf.DUMMYFUNCTION("""COMPUTED_VALUE"""),"")</f>
        <v/>
      </c>
    </row>
    <row r="255">
      <c r="E255" s="10" t="str">
        <f>IFERROR(__xludf.DUMMYFUNCTION("""COMPUTED_VALUE"""),"#VALUE!")</f>
        <v>#VALUE!</v>
      </c>
      <c r="F255" s="10" t="str">
        <f>IFERROR(__xludf.DUMMYFUNCTION("""COMPUTED_VALUE"""),"")</f>
        <v/>
      </c>
      <c r="G255" s="10" t="str">
        <f>IFERROR(__xludf.DUMMYFUNCTION("""COMPUTED_VALUE"""),"#VALUE!")</f>
        <v>#VALUE!</v>
      </c>
      <c r="H255" s="10" t="str">
        <f>IFERROR(__xludf.DUMMYFUNCTION("""COMPUTED_VALUE"""),"")</f>
        <v/>
      </c>
    </row>
    <row r="256">
      <c r="E256" s="10" t="str">
        <f>IFERROR(__xludf.DUMMYFUNCTION("""COMPUTED_VALUE"""),"#VALUE!")</f>
        <v>#VALUE!</v>
      </c>
      <c r="F256" s="10" t="str">
        <f>IFERROR(__xludf.DUMMYFUNCTION("""COMPUTED_VALUE"""),"")</f>
        <v/>
      </c>
      <c r="G256" s="10" t="str">
        <f>IFERROR(__xludf.DUMMYFUNCTION("""COMPUTED_VALUE"""),"#VALUE!")</f>
        <v>#VALUE!</v>
      </c>
      <c r="H256" s="10" t="str">
        <f>IFERROR(__xludf.DUMMYFUNCTION("""COMPUTED_VALUE"""),"")</f>
        <v/>
      </c>
    </row>
    <row r="257">
      <c r="E257" s="10" t="str">
        <f>IFERROR(__xludf.DUMMYFUNCTION("""COMPUTED_VALUE"""),"#VALUE!")</f>
        <v>#VALUE!</v>
      </c>
      <c r="F257" s="10" t="str">
        <f>IFERROR(__xludf.DUMMYFUNCTION("""COMPUTED_VALUE"""),"")</f>
        <v/>
      </c>
      <c r="G257" s="10" t="str">
        <f>IFERROR(__xludf.DUMMYFUNCTION("""COMPUTED_VALUE"""),"#VALUE!")</f>
        <v>#VALUE!</v>
      </c>
      <c r="H257" s="10" t="str">
        <f>IFERROR(__xludf.DUMMYFUNCTION("""COMPUTED_VALUE"""),"")</f>
        <v/>
      </c>
    </row>
    <row r="258">
      <c r="E258" s="10" t="str">
        <f>IFERROR(__xludf.DUMMYFUNCTION("""COMPUTED_VALUE"""),"#VALUE!")</f>
        <v>#VALUE!</v>
      </c>
      <c r="F258" s="10" t="str">
        <f>IFERROR(__xludf.DUMMYFUNCTION("""COMPUTED_VALUE"""),"")</f>
        <v/>
      </c>
      <c r="G258" s="10" t="str">
        <f>IFERROR(__xludf.DUMMYFUNCTION("""COMPUTED_VALUE"""),"#VALUE!")</f>
        <v>#VALUE!</v>
      </c>
      <c r="H258" s="10" t="str">
        <f>IFERROR(__xludf.DUMMYFUNCTION("""COMPUTED_VALUE"""),"")</f>
        <v/>
      </c>
    </row>
    <row r="259">
      <c r="E259" s="10" t="str">
        <f>IFERROR(__xludf.DUMMYFUNCTION("""COMPUTED_VALUE"""),"#VALUE!")</f>
        <v>#VALUE!</v>
      </c>
      <c r="F259" s="10" t="str">
        <f>IFERROR(__xludf.DUMMYFUNCTION("""COMPUTED_VALUE"""),"")</f>
        <v/>
      </c>
      <c r="G259" s="10" t="str">
        <f>IFERROR(__xludf.DUMMYFUNCTION("""COMPUTED_VALUE"""),"#VALUE!")</f>
        <v>#VALUE!</v>
      </c>
      <c r="H259" s="10" t="str">
        <f>IFERROR(__xludf.DUMMYFUNCTION("""COMPUTED_VALUE"""),"")</f>
        <v/>
      </c>
    </row>
    <row r="260">
      <c r="E260" s="10" t="str">
        <f>IFERROR(__xludf.DUMMYFUNCTION("""COMPUTED_VALUE"""),"#VALUE!")</f>
        <v>#VALUE!</v>
      </c>
      <c r="F260" s="10" t="str">
        <f>IFERROR(__xludf.DUMMYFUNCTION("""COMPUTED_VALUE"""),"")</f>
        <v/>
      </c>
      <c r="G260" s="10" t="str">
        <f>IFERROR(__xludf.DUMMYFUNCTION("""COMPUTED_VALUE"""),"#VALUE!")</f>
        <v>#VALUE!</v>
      </c>
      <c r="H260" s="10" t="str">
        <f>IFERROR(__xludf.DUMMYFUNCTION("""COMPUTED_VALUE"""),"")</f>
        <v/>
      </c>
    </row>
    <row r="261">
      <c r="E261" s="10" t="str">
        <f>IFERROR(__xludf.DUMMYFUNCTION("""COMPUTED_VALUE"""),"#VALUE!")</f>
        <v>#VALUE!</v>
      </c>
      <c r="F261" s="10" t="str">
        <f>IFERROR(__xludf.DUMMYFUNCTION("""COMPUTED_VALUE"""),"")</f>
        <v/>
      </c>
      <c r="G261" s="10" t="str">
        <f>IFERROR(__xludf.DUMMYFUNCTION("""COMPUTED_VALUE"""),"#VALUE!")</f>
        <v>#VALUE!</v>
      </c>
      <c r="H261" s="10" t="str">
        <f>IFERROR(__xludf.DUMMYFUNCTION("""COMPUTED_VALUE"""),"")</f>
        <v/>
      </c>
    </row>
    <row r="262">
      <c r="E262" s="10" t="str">
        <f>IFERROR(__xludf.DUMMYFUNCTION("""COMPUTED_VALUE"""),"#VALUE!")</f>
        <v>#VALUE!</v>
      </c>
      <c r="F262" s="10" t="str">
        <f>IFERROR(__xludf.DUMMYFUNCTION("""COMPUTED_VALUE"""),"")</f>
        <v/>
      </c>
      <c r="G262" s="10" t="str">
        <f>IFERROR(__xludf.DUMMYFUNCTION("""COMPUTED_VALUE"""),"#VALUE!")</f>
        <v>#VALUE!</v>
      </c>
      <c r="H262" s="10" t="str">
        <f>IFERROR(__xludf.DUMMYFUNCTION("""COMPUTED_VALUE"""),"")</f>
        <v/>
      </c>
    </row>
    <row r="263">
      <c r="E263" s="10" t="str">
        <f>IFERROR(__xludf.DUMMYFUNCTION("""COMPUTED_VALUE"""),"#VALUE!")</f>
        <v>#VALUE!</v>
      </c>
      <c r="F263" s="10" t="str">
        <f>IFERROR(__xludf.DUMMYFUNCTION("""COMPUTED_VALUE"""),"")</f>
        <v/>
      </c>
      <c r="G263" s="10" t="str">
        <f>IFERROR(__xludf.DUMMYFUNCTION("""COMPUTED_VALUE"""),"#VALUE!")</f>
        <v>#VALUE!</v>
      </c>
      <c r="H263" s="10" t="str">
        <f>IFERROR(__xludf.DUMMYFUNCTION("""COMPUTED_VALUE"""),"")</f>
        <v/>
      </c>
    </row>
    <row r="264">
      <c r="E264" s="10" t="str">
        <f>IFERROR(__xludf.DUMMYFUNCTION("""COMPUTED_VALUE"""),"#VALUE!")</f>
        <v>#VALUE!</v>
      </c>
      <c r="F264" s="10" t="str">
        <f>IFERROR(__xludf.DUMMYFUNCTION("""COMPUTED_VALUE"""),"")</f>
        <v/>
      </c>
      <c r="G264" s="10" t="str">
        <f>IFERROR(__xludf.DUMMYFUNCTION("""COMPUTED_VALUE"""),"#VALUE!")</f>
        <v>#VALUE!</v>
      </c>
      <c r="H264" s="10" t="str">
        <f>IFERROR(__xludf.DUMMYFUNCTION("""COMPUTED_VALUE"""),"")</f>
        <v/>
      </c>
    </row>
    <row r="265">
      <c r="E265" s="10" t="str">
        <f>IFERROR(__xludf.DUMMYFUNCTION("""COMPUTED_VALUE"""),"#VALUE!")</f>
        <v>#VALUE!</v>
      </c>
      <c r="F265" s="10" t="str">
        <f>IFERROR(__xludf.DUMMYFUNCTION("""COMPUTED_VALUE"""),"")</f>
        <v/>
      </c>
      <c r="G265" s="10" t="str">
        <f>IFERROR(__xludf.DUMMYFUNCTION("""COMPUTED_VALUE"""),"#VALUE!")</f>
        <v>#VALUE!</v>
      </c>
      <c r="H265" s="10" t="str">
        <f>IFERROR(__xludf.DUMMYFUNCTION("""COMPUTED_VALUE"""),"")</f>
        <v/>
      </c>
    </row>
    <row r="266">
      <c r="E266" s="10" t="str">
        <f>IFERROR(__xludf.DUMMYFUNCTION("""COMPUTED_VALUE"""),"#VALUE!")</f>
        <v>#VALUE!</v>
      </c>
      <c r="F266" s="10" t="str">
        <f>IFERROR(__xludf.DUMMYFUNCTION("""COMPUTED_VALUE"""),"")</f>
        <v/>
      </c>
      <c r="G266" s="10" t="str">
        <f>IFERROR(__xludf.DUMMYFUNCTION("""COMPUTED_VALUE"""),"#VALUE!")</f>
        <v>#VALUE!</v>
      </c>
      <c r="H266" s="10" t="str">
        <f>IFERROR(__xludf.DUMMYFUNCTION("""COMPUTED_VALUE"""),"")</f>
        <v/>
      </c>
    </row>
    <row r="267">
      <c r="E267" s="10" t="str">
        <f>IFERROR(__xludf.DUMMYFUNCTION("""COMPUTED_VALUE"""),"#VALUE!")</f>
        <v>#VALUE!</v>
      </c>
      <c r="F267" s="10" t="str">
        <f>IFERROR(__xludf.DUMMYFUNCTION("""COMPUTED_VALUE"""),"")</f>
        <v/>
      </c>
      <c r="G267" s="10" t="str">
        <f>IFERROR(__xludf.DUMMYFUNCTION("""COMPUTED_VALUE"""),"#VALUE!")</f>
        <v>#VALUE!</v>
      </c>
      <c r="H267" s="10" t="str">
        <f>IFERROR(__xludf.DUMMYFUNCTION("""COMPUTED_VALUE"""),"")</f>
        <v/>
      </c>
    </row>
    <row r="268">
      <c r="E268" s="10" t="str">
        <f>IFERROR(__xludf.DUMMYFUNCTION("""COMPUTED_VALUE"""),"#VALUE!")</f>
        <v>#VALUE!</v>
      </c>
      <c r="F268" s="10" t="str">
        <f>IFERROR(__xludf.DUMMYFUNCTION("""COMPUTED_VALUE"""),"")</f>
        <v/>
      </c>
      <c r="G268" s="10" t="str">
        <f>IFERROR(__xludf.DUMMYFUNCTION("""COMPUTED_VALUE"""),"#VALUE!")</f>
        <v>#VALUE!</v>
      </c>
      <c r="H268" s="10" t="str">
        <f>IFERROR(__xludf.DUMMYFUNCTION("""COMPUTED_VALUE"""),"")</f>
        <v/>
      </c>
    </row>
    <row r="269">
      <c r="E269" s="10" t="str">
        <f>IFERROR(__xludf.DUMMYFUNCTION("""COMPUTED_VALUE"""),"#VALUE!")</f>
        <v>#VALUE!</v>
      </c>
      <c r="F269" s="10" t="str">
        <f>IFERROR(__xludf.DUMMYFUNCTION("""COMPUTED_VALUE"""),"")</f>
        <v/>
      </c>
      <c r="G269" s="10" t="str">
        <f>IFERROR(__xludf.DUMMYFUNCTION("""COMPUTED_VALUE"""),"#VALUE!")</f>
        <v>#VALUE!</v>
      </c>
      <c r="H269" s="10" t="str">
        <f>IFERROR(__xludf.DUMMYFUNCTION("""COMPUTED_VALUE"""),"")</f>
        <v/>
      </c>
    </row>
    <row r="270">
      <c r="E270" s="10" t="str">
        <f>IFERROR(__xludf.DUMMYFUNCTION("""COMPUTED_VALUE"""),"#VALUE!")</f>
        <v>#VALUE!</v>
      </c>
      <c r="F270" s="10" t="str">
        <f>IFERROR(__xludf.DUMMYFUNCTION("""COMPUTED_VALUE"""),"")</f>
        <v/>
      </c>
      <c r="G270" s="10" t="str">
        <f>IFERROR(__xludf.DUMMYFUNCTION("""COMPUTED_VALUE"""),"#VALUE!")</f>
        <v>#VALUE!</v>
      </c>
      <c r="H270" s="10" t="str">
        <f>IFERROR(__xludf.DUMMYFUNCTION("""COMPUTED_VALUE"""),"")</f>
        <v/>
      </c>
    </row>
    <row r="271">
      <c r="E271" s="10" t="str">
        <f>IFERROR(__xludf.DUMMYFUNCTION("""COMPUTED_VALUE"""),"#VALUE!")</f>
        <v>#VALUE!</v>
      </c>
      <c r="F271" s="10" t="str">
        <f>IFERROR(__xludf.DUMMYFUNCTION("""COMPUTED_VALUE"""),"")</f>
        <v/>
      </c>
      <c r="G271" s="10" t="str">
        <f>IFERROR(__xludf.DUMMYFUNCTION("""COMPUTED_VALUE"""),"#VALUE!")</f>
        <v>#VALUE!</v>
      </c>
      <c r="H271" s="10" t="str">
        <f>IFERROR(__xludf.DUMMYFUNCTION("""COMPUTED_VALUE"""),"")</f>
        <v/>
      </c>
    </row>
    <row r="272">
      <c r="E272" s="10" t="str">
        <f>IFERROR(__xludf.DUMMYFUNCTION("""COMPUTED_VALUE"""),"#VALUE!")</f>
        <v>#VALUE!</v>
      </c>
      <c r="F272" s="10" t="str">
        <f>IFERROR(__xludf.DUMMYFUNCTION("""COMPUTED_VALUE"""),"")</f>
        <v/>
      </c>
      <c r="G272" s="10" t="str">
        <f>IFERROR(__xludf.DUMMYFUNCTION("""COMPUTED_VALUE"""),"#VALUE!")</f>
        <v>#VALUE!</v>
      </c>
      <c r="H272" s="10" t="str">
        <f>IFERROR(__xludf.DUMMYFUNCTION("""COMPUTED_VALUE"""),"")</f>
        <v/>
      </c>
    </row>
    <row r="273">
      <c r="E273" s="10" t="str">
        <f>IFERROR(__xludf.DUMMYFUNCTION("""COMPUTED_VALUE"""),"#VALUE!")</f>
        <v>#VALUE!</v>
      </c>
      <c r="F273" s="10" t="str">
        <f>IFERROR(__xludf.DUMMYFUNCTION("""COMPUTED_VALUE"""),"")</f>
        <v/>
      </c>
      <c r="G273" s="10" t="str">
        <f>IFERROR(__xludf.DUMMYFUNCTION("""COMPUTED_VALUE"""),"#VALUE!")</f>
        <v>#VALUE!</v>
      </c>
      <c r="H273" s="10" t="str">
        <f>IFERROR(__xludf.DUMMYFUNCTION("""COMPUTED_VALUE"""),"")</f>
        <v/>
      </c>
    </row>
    <row r="274">
      <c r="E274" s="10" t="str">
        <f>IFERROR(__xludf.DUMMYFUNCTION("""COMPUTED_VALUE"""),"#VALUE!")</f>
        <v>#VALUE!</v>
      </c>
      <c r="F274" s="10" t="str">
        <f>IFERROR(__xludf.DUMMYFUNCTION("""COMPUTED_VALUE"""),"")</f>
        <v/>
      </c>
      <c r="G274" s="10" t="str">
        <f>IFERROR(__xludf.DUMMYFUNCTION("""COMPUTED_VALUE"""),"#VALUE!")</f>
        <v>#VALUE!</v>
      </c>
      <c r="H274" s="10" t="str">
        <f>IFERROR(__xludf.DUMMYFUNCTION("""COMPUTED_VALUE"""),"")</f>
        <v/>
      </c>
    </row>
    <row r="275">
      <c r="E275" s="10" t="str">
        <f>IFERROR(__xludf.DUMMYFUNCTION("""COMPUTED_VALUE"""),"#VALUE!")</f>
        <v>#VALUE!</v>
      </c>
      <c r="F275" s="10" t="str">
        <f>IFERROR(__xludf.DUMMYFUNCTION("""COMPUTED_VALUE"""),"")</f>
        <v/>
      </c>
      <c r="G275" s="10" t="str">
        <f>IFERROR(__xludf.DUMMYFUNCTION("""COMPUTED_VALUE"""),"#VALUE!")</f>
        <v>#VALUE!</v>
      </c>
      <c r="H275" s="10" t="str">
        <f>IFERROR(__xludf.DUMMYFUNCTION("""COMPUTED_VALUE"""),"")</f>
        <v/>
      </c>
    </row>
    <row r="276">
      <c r="E276" s="10" t="str">
        <f>IFERROR(__xludf.DUMMYFUNCTION("""COMPUTED_VALUE"""),"#VALUE!")</f>
        <v>#VALUE!</v>
      </c>
      <c r="F276" s="10" t="str">
        <f>IFERROR(__xludf.DUMMYFUNCTION("""COMPUTED_VALUE"""),"")</f>
        <v/>
      </c>
      <c r="G276" s="10" t="str">
        <f>IFERROR(__xludf.DUMMYFUNCTION("""COMPUTED_VALUE"""),"#VALUE!")</f>
        <v>#VALUE!</v>
      </c>
      <c r="H276" s="10" t="str">
        <f>IFERROR(__xludf.DUMMYFUNCTION("""COMPUTED_VALUE"""),"")</f>
        <v/>
      </c>
    </row>
    <row r="277">
      <c r="E277" s="10" t="str">
        <f>IFERROR(__xludf.DUMMYFUNCTION("""COMPUTED_VALUE"""),"#VALUE!")</f>
        <v>#VALUE!</v>
      </c>
      <c r="F277" s="10" t="str">
        <f>IFERROR(__xludf.DUMMYFUNCTION("""COMPUTED_VALUE"""),"")</f>
        <v/>
      </c>
      <c r="G277" s="10" t="str">
        <f>IFERROR(__xludf.DUMMYFUNCTION("""COMPUTED_VALUE"""),"#VALUE!")</f>
        <v>#VALUE!</v>
      </c>
      <c r="H277" s="10" t="str">
        <f>IFERROR(__xludf.DUMMYFUNCTION("""COMPUTED_VALUE"""),"")</f>
        <v/>
      </c>
    </row>
    <row r="278">
      <c r="E278" s="10" t="str">
        <f>IFERROR(__xludf.DUMMYFUNCTION("""COMPUTED_VALUE"""),"#VALUE!")</f>
        <v>#VALUE!</v>
      </c>
      <c r="F278" s="10" t="str">
        <f>IFERROR(__xludf.DUMMYFUNCTION("""COMPUTED_VALUE"""),"")</f>
        <v/>
      </c>
      <c r="G278" s="10" t="str">
        <f>IFERROR(__xludf.DUMMYFUNCTION("""COMPUTED_VALUE"""),"#VALUE!")</f>
        <v>#VALUE!</v>
      </c>
      <c r="H278" s="10" t="str">
        <f>IFERROR(__xludf.DUMMYFUNCTION("""COMPUTED_VALUE"""),"")</f>
        <v/>
      </c>
    </row>
    <row r="279">
      <c r="E279" s="10" t="str">
        <f>IFERROR(__xludf.DUMMYFUNCTION("""COMPUTED_VALUE"""),"#VALUE!")</f>
        <v>#VALUE!</v>
      </c>
      <c r="F279" s="10" t="str">
        <f>IFERROR(__xludf.DUMMYFUNCTION("""COMPUTED_VALUE"""),"")</f>
        <v/>
      </c>
      <c r="G279" s="10" t="str">
        <f>IFERROR(__xludf.DUMMYFUNCTION("""COMPUTED_VALUE"""),"#VALUE!")</f>
        <v>#VALUE!</v>
      </c>
      <c r="H279" s="10" t="str">
        <f>IFERROR(__xludf.DUMMYFUNCTION("""COMPUTED_VALUE"""),"")</f>
        <v/>
      </c>
    </row>
    <row r="280">
      <c r="E280" s="10" t="str">
        <f>IFERROR(__xludf.DUMMYFUNCTION("""COMPUTED_VALUE"""),"#VALUE!")</f>
        <v>#VALUE!</v>
      </c>
      <c r="F280" s="10" t="str">
        <f>IFERROR(__xludf.DUMMYFUNCTION("""COMPUTED_VALUE"""),"")</f>
        <v/>
      </c>
      <c r="G280" s="10" t="str">
        <f>IFERROR(__xludf.DUMMYFUNCTION("""COMPUTED_VALUE"""),"#VALUE!")</f>
        <v>#VALUE!</v>
      </c>
      <c r="H280" s="10" t="str">
        <f>IFERROR(__xludf.DUMMYFUNCTION("""COMPUTED_VALUE"""),"")</f>
        <v/>
      </c>
    </row>
    <row r="281">
      <c r="E281" s="10" t="str">
        <f>IFERROR(__xludf.DUMMYFUNCTION("""COMPUTED_VALUE"""),"#VALUE!")</f>
        <v>#VALUE!</v>
      </c>
      <c r="F281" s="10" t="str">
        <f>IFERROR(__xludf.DUMMYFUNCTION("""COMPUTED_VALUE"""),"")</f>
        <v/>
      </c>
      <c r="G281" s="10" t="str">
        <f>IFERROR(__xludf.DUMMYFUNCTION("""COMPUTED_VALUE"""),"#VALUE!")</f>
        <v>#VALUE!</v>
      </c>
      <c r="H281" s="10" t="str">
        <f>IFERROR(__xludf.DUMMYFUNCTION("""COMPUTED_VALUE"""),"")</f>
        <v/>
      </c>
    </row>
    <row r="282">
      <c r="E282" s="10" t="str">
        <f>IFERROR(__xludf.DUMMYFUNCTION("""COMPUTED_VALUE"""),"#VALUE!")</f>
        <v>#VALUE!</v>
      </c>
      <c r="F282" s="10" t="str">
        <f>IFERROR(__xludf.DUMMYFUNCTION("""COMPUTED_VALUE"""),"")</f>
        <v/>
      </c>
      <c r="G282" s="10" t="str">
        <f>IFERROR(__xludf.DUMMYFUNCTION("""COMPUTED_VALUE"""),"#VALUE!")</f>
        <v>#VALUE!</v>
      </c>
      <c r="H282" s="10" t="str">
        <f>IFERROR(__xludf.DUMMYFUNCTION("""COMPUTED_VALUE"""),"")</f>
        <v/>
      </c>
    </row>
    <row r="283">
      <c r="E283" s="10" t="str">
        <f>IFERROR(__xludf.DUMMYFUNCTION("""COMPUTED_VALUE"""),"#VALUE!")</f>
        <v>#VALUE!</v>
      </c>
      <c r="F283" s="10" t="str">
        <f>IFERROR(__xludf.DUMMYFUNCTION("""COMPUTED_VALUE"""),"")</f>
        <v/>
      </c>
      <c r="G283" s="10" t="str">
        <f>IFERROR(__xludf.DUMMYFUNCTION("""COMPUTED_VALUE"""),"#VALUE!")</f>
        <v>#VALUE!</v>
      </c>
      <c r="H283" s="10" t="str">
        <f>IFERROR(__xludf.DUMMYFUNCTION("""COMPUTED_VALUE"""),"")</f>
        <v/>
      </c>
    </row>
    <row r="284">
      <c r="E284" s="10" t="str">
        <f>IFERROR(__xludf.DUMMYFUNCTION("""COMPUTED_VALUE"""),"#VALUE!")</f>
        <v>#VALUE!</v>
      </c>
      <c r="F284" s="10" t="str">
        <f>IFERROR(__xludf.DUMMYFUNCTION("""COMPUTED_VALUE"""),"")</f>
        <v/>
      </c>
      <c r="G284" s="10" t="str">
        <f>IFERROR(__xludf.DUMMYFUNCTION("""COMPUTED_VALUE"""),"#VALUE!")</f>
        <v>#VALUE!</v>
      </c>
      <c r="H284" s="10" t="str">
        <f>IFERROR(__xludf.DUMMYFUNCTION("""COMPUTED_VALUE"""),"")</f>
        <v/>
      </c>
    </row>
    <row r="285">
      <c r="E285" s="10" t="str">
        <f>IFERROR(__xludf.DUMMYFUNCTION("""COMPUTED_VALUE"""),"#VALUE!")</f>
        <v>#VALUE!</v>
      </c>
      <c r="F285" s="10" t="str">
        <f>IFERROR(__xludf.DUMMYFUNCTION("""COMPUTED_VALUE"""),"")</f>
        <v/>
      </c>
      <c r="G285" s="10" t="str">
        <f>IFERROR(__xludf.DUMMYFUNCTION("""COMPUTED_VALUE"""),"#VALUE!")</f>
        <v>#VALUE!</v>
      </c>
      <c r="H285" s="10" t="str">
        <f>IFERROR(__xludf.DUMMYFUNCTION("""COMPUTED_VALUE"""),"")</f>
        <v/>
      </c>
    </row>
    <row r="286">
      <c r="E286" s="10" t="str">
        <f>IFERROR(__xludf.DUMMYFUNCTION("""COMPUTED_VALUE"""),"#VALUE!")</f>
        <v>#VALUE!</v>
      </c>
      <c r="F286" s="10" t="str">
        <f>IFERROR(__xludf.DUMMYFUNCTION("""COMPUTED_VALUE"""),"")</f>
        <v/>
      </c>
      <c r="G286" s="10" t="str">
        <f>IFERROR(__xludf.DUMMYFUNCTION("""COMPUTED_VALUE"""),"#VALUE!")</f>
        <v>#VALUE!</v>
      </c>
      <c r="H286" s="10" t="str">
        <f>IFERROR(__xludf.DUMMYFUNCTION("""COMPUTED_VALUE"""),"")</f>
        <v/>
      </c>
    </row>
    <row r="287">
      <c r="E287" s="10" t="str">
        <f>IFERROR(__xludf.DUMMYFUNCTION("""COMPUTED_VALUE"""),"#VALUE!")</f>
        <v>#VALUE!</v>
      </c>
      <c r="F287" s="10" t="str">
        <f>IFERROR(__xludf.DUMMYFUNCTION("""COMPUTED_VALUE"""),"")</f>
        <v/>
      </c>
      <c r="G287" s="10" t="str">
        <f>IFERROR(__xludf.DUMMYFUNCTION("""COMPUTED_VALUE"""),"#VALUE!")</f>
        <v>#VALUE!</v>
      </c>
      <c r="H287" s="10" t="str">
        <f>IFERROR(__xludf.DUMMYFUNCTION("""COMPUTED_VALUE"""),"")</f>
        <v/>
      </c>
    </row>
    <row r="288">
      <c r="E288" s="10" t="str">
        <f>IFERROR(__xludf.DUMMYFUNCTION("""COMPUTED_VALUE"""),"#VALUE!")</f>
        <v>#VALUE!</v>
      </c>
      <c r="F288" s="10" t="str">
        <f>IFERROR(__xludf.DUMMYFUNCTION("""COMPUTED_VALUE"""),"")</f>
        <v/>
      </c>
      <c r="G288" s="10" t="str">
        <f>IFERROR(__xludf.DUMMYFUNCTION("""COMPUTED_VALUE"""),"#VALUE!")</f>
        <v>#VALUE!</v>
      </c>
      <c r="H288" s="10" t="str">
        <f>IFERROR(__xludf.DUMMYFUNCTION("""COMPUTED_VALUE"""),"")</f>
        <v/>
      </c>
    </row>
    <row r="289">
      <c r="E289" s="10" t="str">
        <f>IFERROR(__xludf.DUMMYFUNCTION("""COMPUTED_VALUE"""),"#VALUE!")</f>
        <v>#VALUE!</v>
      </c>
      <c r="F289" s="10" t="str">
        <f>IFERROR(__xludf.DUMMYFUNCTION("""COMPUTED_VALUE"""),"")</f>
        <v/>
      </c>
      <c r="G289" s="10" t="str">
        <f>IFERROR(__xludf.DUMMYFUNCTION("""COMPUTED_VALUE"""),"#VALUE!")</f>
        <v>#VALUE!</v>
      </c>
      <c r="H289" s="10" t="str">
        <f>IFERROR(__xludf.DUMMYFUNCTION("""COMPUTED_VALUE"""),"")</f>
        <v/>
      </c>
    </row>
    <row r="290">
      <c r="E290" s="10" t="str">
        <f>IFERROR(__xludf.DUMMYFUNCTION("""COMPUTED_VALUE"""),"#VALUE!")</f>
        <v>#VALUE!</v>
      </c>
      <c r="F290" s="10" t="str">
        <f>IFERROR(__xludf.DUMMYFUNCTION("""COMPUTED_VALUE"""),"")</f>
        <v/>
      </c>
      <c r="G290" s="10" t="str">
        <f>IFERROR(__xludf.DUMMYFUNCTION("""COMPUTED_VALUE"""),"#VALUE!")</f>
        <v>#VALUE!</v>
      </c>
      <c r="H290" s="10" t="str">
        <f>IFERROR(__xludf.DUMMYFUNCTION("""COMPUTED_VALUE"""),"")</f>
        <v/>
      </c>
    </row>
    <row r="291">
      <c r="E291" s="10" t="str">
        <f>IFERROR(__xludf.DUMMYFUNCTION("""COMPUTED_VALUE"""),"#VALUE!")</f>
        <v>#VALUE!</v>
      </c>
      <c r="F291" s="10" t="str">
        <f>IFERROR(__xludf.DUMMYFUNCTION("""COMPUTED_VALUE"""),"")</f>
        <v/>
      </c>
      <c r="G291" s="10" t="str">
        <f>IFERROR(__xludf.DUMMYFUNCTION("""COMPUTED_VALUE"""),"#VALUE!")</f>
        <v>#VALUE!</v>
      </c>
      <c r="H291" s="10" t="str">
        <f>IFERROR(__xludf.DUMMYFUNCTION("""COMPUTED_VALUE"""),"")</f>
        <v/>
      </c>
    </row>
    <row r="292">
      <c r="E292" s="10" t="str">
        <f>IFERROR(__xludf.DUMMYFUNCTION("""COMPUTED_VALUE"""),"#VALUE!")</f>
        <v>#VALUE!</v>
      </c>
      <c r="F292" s="10" t="str">
        <f>IFERROR(__xludf.DUMMYFUNCTION("""COMPUTED_VALUE"""),"")</f>
        <v/>
      </c>
      <c r="G292" s="10" t="str">
        <f>IFERROR(__xludf.DUMMYFUNCTION("""COMPUTED_VALUE"""),"#VALUE!")</f>
        <v>#VALUE!</v>
      </c>
      <c r="H292" s="10" t="str">
        <f>IFERROR(__xludf.DUMMYFUNCTION("""COMPUTED_VALUE"""),"")</f>
        <v/>
      </c>
    </row>
    <row r="293">
      <c r="E293" s="10" t="str">
        <f>IFERROR(__xludf.DUMMYFUNCTION("""COMPUTED_VALUE"""),"#VALUE!")</f>
        <v>#VALUE!</v>
      </c>
      <c r="F293" s="10" t="str">
        <f>IFERROR(__xludf.DUMMYFUNCTION("""COMPUTED_VALUE"""),"")</f>
        <v/>
      </c>
      <c r="G293" s="10" t="str">
        <f>IFERROR(__xludf.DUMMYFUNCTION("""COMPUTED_VALUE"""),"#VALUE!")</f>
        <v>#VALUE!</v>
      </c>
      <c r="H293" s="10" t="str">
        <f>IFERROR(__xludf.DUMMYFUNCTION("""COMPUTED_VALUE"""),"")</f>
        <v/>
      </c>
    </row>
    <row r="294">
      <c r="E294" s="10" t="str">
        <f>IFERROR(__xludf.DUMMYFUNCTION("""COMPUTED_VALUE"""),"#VALUE!")</f>
        <v>#VALUE!</v>
      </c>
      <c r="F294" s="10" t="str">
        <f>IFERROR(__xludf.DUMMYFUNCTION("""COMPUTED_VALUE"""),"")</f>
        <v/>
      </c>
      <c r="G294" s="10" t="str">
        <f>IFERROR(__xludf.DUMMYFUNCTION("""COMPUTED_VALUE"""),"#VALUE!")</f>
        <v>#VALUE!</v>
      </c>
      <c r="H294" s="10" t="str">
        <f>IFERROR(__xludf.DUMMYFUNCTION("""COMPUTED_VALUE"""),"")</f>
        <v/>
      </c>
    </row>
    <row r="295">
      <c r="E295" s="10" t="str">
        <f>IFERROR(__xludf.DUMMYFUNCTION("""COMPUTED_VALUE"""),"#VALUE!")</f>
        <v>#VALUE!</v>
      </c>
      <c r="F295" s="10" t="str">
        <f>IFERROR(__xludf.DUMMYFUNCTION("""COMPUTED_VALUE"""),"")</f>
        <v/>
      </c>
      <c r="G295" s="10" t="str">
        <f>IFERROR(__xludf.DUMMYFUNCTION("""COMPUTED_VALUE"""),"#VALUE!")</f>
        <v>#VALUE!</v>
      </c>
      <c r="H295" s="10" t="str">
        <f>IFERROR(__xludf.DUMMYFUNCTION("""COMPUTED_VALUE"""),"")</f>
        <v/>
      </c>
    </row>
    <row r="296">
      <c r="E296" s="10" t="str">
        <f>IFERROR(__xludf.DUMMYFUNCTION("""COMPUTED_VALUE"""),"#VALUE!")</f>
        <v>#VALUE!</v>
      </c>
      <c r="F296" s="10" t="str">
        <f>IFERROR(__xludf.DUMMYFUNCTION("""COMPUTED_VALUE"""),"")</f>
        <v/>
      </c>
      <c r="G296" s="10" t="str">
        <f>IFERROR(__xludf.DUMMYFUNCTION("""COMPUTED_VALUE"""),"#VALUE!")</f>
        <v>#VALUE!</v>
      </c>
      <c r="H296" s="10" t="str">
        <f>IFERROR(__xludf.DUMMYFUNCTION("""COMPUTED_VALUE"""),"")</f>
        <v/>
      </c>
    </row>
    <row r="297">
      <c r="E297" s="10" t="str">
        <f>IFERROR(__xludf.DUMMYFUNCTION("""COMPUTED_VALUE"""),"#VALUE!")</f>
        <v>#VALUE!</v>
      </c>
      <c r="F297" s="10" t="str">
        <f>IFERROR(__xludf.DUMMYFUNCTION("""COMPUTED_VALUE"""),"")</f>
        <v/>
      </c>
      <c r="G297" s="10" t="str">
        <f>IFERROR(__xludf.DUMMYFUNCTION("""COMPUTED_VALUE"""),"#VALUE!")</f>
        <v>#VALUE!</v>
      </c>
      <c r="H297" s="10" t="str">
        <f>IFERROR(__xludf.DUMMYFUNCTION("""COMPUTED_VALUE"""),"")</f>
        <v/>
      </c>
    </row>
    <row r="298">
      <c r="E298" s="10" t="str">
        <f>IFERROR(__xludf.DUMMYFUNCTION("""COMPUTED_VALUE"""),"#VALUE!")</f>
        <v>#VALUE!</v>
      </c>
      <c r="F298" s="10" t="str">
        <f>IFERROR(__xludf.DUMMYFUNCTION("""COMPUTED_VALUE"""),"")</f>
        <v/>
      </c>
      <c r="G298" s="10" t="str">
        <f>IFERROR(__xludf.DUMMYFUNCTION("""COMPUTED_VALUE"""),"#VALUE!")</f>
        <v>#VALUE!</v>
      </c>
      <c r="H298" s="10" t="str">
        <f>IFERROR(__xludf.DUMMYFUNCTION("""COMPUTED_VALUE"""),"")</f>
        <v/>
      </c>
    </row>
    <row r="299">
      <c r="E299" s="10" t="str">
        <f>IFERROR(__xludf.DUMMYFUNCTION("""COMPUTED_VALUE"""),"#VALUE!")</f>
        <v>#VALUE!</v>
      </c>
      <c r="F299" s="10" t="str">
        <f>IFERROR(__xludf.DUMMYFUNCTION("""COMPUTED_VALUE"""),"")</f>
        <v/>
      </c>
      <c r="G299" s="10" t="str">
        <f>IFERROR(__xludf.DUMMYFUNCTION("""COMPUTED_VALUE"""),"#VALUE!")</f>
        <v>#VALUE!</v>
      </c>
      <c r="H299" s="10" t="str">
        <f>IFERROR(__xludf.DUMMYFUNCTION("""COMPUTED_VALUE"""),"")</f>
        <v/>
      </c>
    </row>
    <row r="300">
      <c r="E300" s="10" t="str">
        <f>IFERROR(__xludf.DUMMYFUNCTION("""COMPUTED_VALUE"""),"#VALUE!")</f>
        <v>#VALUE!</v>
      </c>
      <c r="F300" s="10" t="str">
        <f>IFERROR(__xludf.DUMMYFUNCTION("""COMPUTED_VALUE"""),"")</f>
        <v/>
      </c>
      <c r="G300" s="10" t="str">
        <f>IFERROR(__xludf.DUMMYFUNCTION("""COMPUTED_VALUE"""),"#VALUE!")</f>
        <v>#VALUE!</v>
      </c>
      <c r="H300" s="10" t="str">
        <f>IFERROR(__xludf.DUMMYFUNCTION("""COMPUTED_VALUE"""),"")</f>
        <v/>
      </c>
    </row>
    <row r="301">
      <c r="E301" s="10" t="str">
        <f>IFERROR(__xludf.DUMMYFUNCTION("""COMPUTED_VALUE"""),"#VALUE!")</f>
        <v>#VALUE!</v>
      </c>
      <c r="F301" s="10" t="str">
        <f>IFERROR(__xludf.DUMMYFUNCTION("""COMPUTED_VALUE"""),"")</f>
        <v/>
      </c>
      <c r="G301" s="10" t="str">
        <f>IFERROR(__xludf.DUMMYFUNCTION("""COMPUTED_VALUE"""),"#VALUE!")</f>
        <v>#VALUE!</v>
      </c>
      <c r="H301" s="10" t="str">
        <f>IFERROR(__xludf.DUMMYFUNCTION("""COMPUTED_VALUE"""),"")</f>
        <v/>
      </c>
    </row>
    <row r="302">
      <c r="E302" s="10" t="str">
        <f>IFERROR(__xludf.DUMMYFUNCTION("""COMPUTED_VALUE"""),"#VALUE!")</f>
        <v>#VALUE!</v>
      </c>
      <c r="F302" s="10" t="str">
        <f>IFERROR(__xludf.DUMMYFUNCTION("""COMPUTED_VALUE"""),"")</f>
        <v/>
      </c>
      <c r="G302" s="10" t="str">
        <f>IFERROR(__xludf.DUMMYFUNCTION("""COMPUTED_VALUE"""),"#VALUE!")</f>
        <v>#VALUE!</v>
      </c>
      <c r="H302" s="10" t="str">
        <f>IFERROR(__xludf.DUMMYFUNCTION("""COMPUTED_VALUE"""),"")</f>
        <v/>
      </c>
    </row>
    <row r="303">
      <c r="E303" s="10" t="str">
        <f>IFERROR(__xludf.DUMMYFUNCTION("""COMPUTED_VALUE"""),"#VALUE!")</f>
        <v>#VALUE!</v>
      </c>
      <c r="F303" s="10" t="str">
        <f>IFERROR(__xludf.DUMMYFUNCTION("""COMPUTED_VALUE"""),"")</f>
        <v/>
      </c>
      <c r="G303" s="10" t="str">
        <f>IFERROR(__xludf.DUMMYFUNCTION("""COMPUTED_VALUE"""),"#VALUE!")</f>
        <v>#VALUE!</v>
      </c>
      <c r="H303" s="10" t="str">
        <f>IFERROR(__xludf.DUMMYFUNCTION("""COMPUTED_VALUE"""),"")</f>
        <v/>
      </c>
    </row>
    <row r="304">
      <c r="E304" s="10" t="str">
        <f>IFERROR(__xludf.DUMMYFUNCTION("""COMPUTED_VALUE"""),"#VALUE!")</f>
        <v>#VALUE!</v>
      </c>
      <c r="F304" s="10" t="str">
        <f>IFERROR(__xludf.DUMMYFUNCTION("""COMPUTED_VALUE"""),"")</f>
        <v/>
      </c>
      <c r="G304" s="10" t="str">
        <f>IFERROR(__xludf.DUMMYFUNCTION("""COMPUTED_VALUE"""),"#VALUE!")</f>
        <v>#VALUE!</v>
      </c>
      <c r="H304" s="10" t="str">
        <f>IFERROR(__xludf.DUMMYFUNCTION("""COMPUTED_VALUE"""),"")</f>
        <v/>
      </c>
    </row>
    <row r="305">
      <c r="E305" s="10" t="str">
        <f>IFERROR(__xludf.DUMMYFUNCTION("""COMPUTED_VALUE"""),"#VALUE!")</f>
        <v>#VALUE!</v>
      </c>
      <c r="F305" s="10" t="str">
        <f>IFERROR(__xludf.DUMMYFUNCTION("""COMPUTED_VALUE"""),"")</f>
        <v/>
      </c>
      <c r="G305" s="10" t="str">
        <f>IFERROR(__xludf.DUMMYFUNCTION("""COMPUTED_VALUE"""),"#VALUE!")</f>
        <v>#VALUE!</v>
      </c>
      <c r="H305" s="10" t="str">
        <f>IFERROR(__xludf.DUMMYFUNCTION("""COMPUTED_VALUE"""),"")</f>
        <v/>
      </c>
    </row>
    <row r="306">
      <c r="E306" s="10" t="str">
        <f>IFERROR(__xludf.DUMMYFUNCTION("""COMPUTED_VALUE"""),"#VALUE!")</f>
        <v>#VALUE!</v>
      </c>
      <c r="F306" s="10" t="str">
        <f>IFERROR(__xludf.DUMMYFUNCTION("""COMPUTED_VALUE"""),"")</f>
        <v/>
      </c>
      <c r="G306" s="10" t="str">
        <f>IFERROR(__xludf.DUMMYFUNCTION("""COMPUTED_VALUE"""),"#VALUE!")</f>
        <v>#VALUE!</v>
      </c>
      <c r="H306" s="10" t="str">
        <f>IFERROR(__xludf.DUMMYFUNCTION("""COMPUTED_VALUE"""),"")</f>
        <v/>
      </c>
    </row>
    <row r="307">
      <c r="E307" s="10" t="str">
        <f>IFERROR(__xludf.DUMMYFUNCTION("""COMPUTED_VALUE"""),"#VALUE!")</f>
        <v>#VALUE!</v>
      </c>
      <c r="F307" s="10" t="str">
        <f>IFERROR(__xludf.DUMMYFUNCTION("""COMPUTED_VALUE"""),"")</f>
        <v/>
      </c>
      <c r="G307" s="10" t="str">
        <f>IFERROR(__xludf.DUMMYFUNCTION("""COMPUTED_VALUE"""),"#VALUE!")</f>
        <v>#VALUE!</v>
      </c>
      <c r="H307" s="10" t="str">
        <f>IFERROR(__xludf.DUMMYFUNCTION("""COMPUTED_VALUE"""),"")</f>
        <v/>
      </c>
    </row>
    <row r="308">
      <c r="E308" s="10" t="str">
        <f>IFERROR(__xludf.DUMMYFUNCTION("""COMPUTED_VALUE"""),"#VALUE!")</f>
        <v>#VALUE!</v>
      </c>
      <c r="F308" s="10" t="str">
        <f>IFERROR(__xludf.DUMMYFUNCTION("""COMPUTED_VALUE"""),"")</f>
        <v/>
      </c>
      <c r="G308" s="10" t="str">
        <f>IFERROR(__xludf.DUMMYFUNCTION("""COMPUTED_VALUE"""),"#VALUE!")</f>
        <v>#VALUE!</v>
      </c>
      <c r="H308" s="10" t="str">
        <f>IFERROR(__xludf.DUMMYFUNCTION("""COMPUTED_VALUE"""),"")</f>
        <v/>
      </c>
    </row>
    <row r="309">
      <c r="E309" s="10" t="str">
        <f>IFERROR(__xludf.DUMMYFUNCTION("""COMPUTED_VALUE"""),"#VALUE!")</f>
        <v>#VALUE!</v>
      </c>
      <c r="F309" s="10" t="str">
        <f>IFERROR(__xludf.DUMMYFUNCTION("""COMPUTED_VALUE"""),"")</f>
        <v/>
      </c>
      <c r="G309" s="10" t="str">
        <f>IFERROR(__xludf.DUMMYFUNCTION("""COMPUTED_VALUE"""),"#VALUE!")</f>
        <v>#VALUE!</v>
      </c>
      <c r="H309" s="10" t="str">
        <f>IFERROR(__xludf.DUMMYFUNCTION("""COMPUTED_VALUE"""),"")</f>
        <v/>
      </c>
    </row>
    <row r="310">
      <c r="E310" s="10" t="str">
        <f>IFERROR(__xludf.DUMMYFUNCTION("""COMPUTED_VALUE"""),"#VALUE!")</f>
        <v>#VALUE!</v>
      </c>
      <c r="F310" s="10" t="str">
        <f>IFERROR(__xludf.DUMMYFUNCTION("""COMPUTED_VALUE"""),"")</f>
        <v/>
      </c>
      <c r="G310" s="10" t="str">
        <f>IFERROR(__xludf.DUMMYFUNCTION("""COMPUTED_VALUE"""),"#VALUE!")</f>
        <v>#VALUE!</v>
      </c>
      <c r="H310" s="10" t="str">
        <f>IFERROR(__xludf.DUMMYFUNCTION("""COMPUTED_VALUE"""),"")</f>
        <v/>
      </c>
    </row>
    <row r="311">
      <c r="E311" s="10" t="str">
        <f>IFERROR(__xludf.DUMMYFUNCTION("""COMPUTED_VALUE"""),"#VALUE!")</f>
        <v>#VALUE!</v>
      </c>
      <c r="F311" s="10" t="str">
        <f>IFERROR(__xludf.DUMMYFUNCTION("""COMPUTED_VALUE"""),"")</f>
        <v/>
      </c>
      <c r="G311" s="10" t="str">
        <f>IFERROR(__xludf.DUMMYFUNCTION("""COMPUTED_VALUE"""),"#VALUE!")</f>
        <v>#VALUE!</v>
      </c>
      <c r="H311" s="10" t="str">
        <f>IFERROR(__xludf.DUMMYFUNCTION("""COMPUTED_VALUE"""),"")</f>
        <v/>
      </c>
    </row>
    <row r="312">
      <c r="E312" s="10" t="str">
        <f>IFERROR(__xludf.DUMMYFUNCTION("""COMPUTED_VALUE"""),"#VALUE!")</f>
        <v>#VALUE!</v>
      </c>
      <c r="F312" s="10" t="str">
        <f>IFERROR(__xludf.DUMMYFUNCTION("""COMPUTED_VALUE"""),"")</f>
        <v/>
      </c>
      <c r="G312" s="10" t="str">
        <f>IFERROR(__xludf.DUMMYFUNCTION("""COMPUTED_VALUE"""),"#VALUE!")</f>
        <v>#VALUE!</v>
      </c>
      <c r="H312" s="10" t="str">
        <f>IFERROR(__xludf.DUMMYFUNCTION("""COMPUTED_VALUE"""),"")</f>
        <v/>
      </c>
    </row>
    <row r="313">
      <c r="E313" s="10" t="str">
        <f>IFERROR(__xludf.DUMMYFUNCTION("""COMPUTED_VALUE"""),"#VALUE!")</f>
        <v>#VALUE!</v>
      </c>
      <c r="F313" s="10" t="str">
        <f>IFERROR(__xludf.DUMMYFUNCTION("""COMPUTED_VALUE"""),"")</f>
        <v/>
      </c>
      <c r="G313" s="10" t="str">
        <f>IFERROR(__xludf.DUMMYFUNCTION("""COMPUTED_VALUE"""),"#VALUE!")</f>
        <v>#VALUE!</v>
      </c>
      <c r="H313" s="10" t="str">
        <f>IFERROR(__xludf.DUMMYFUNCTION("""COMPUTED_VALUE"""),"")</f>
        <v/>
      </c>
    </row>
    <row r="314">
      <c r="E314" s="10" t="str">
        <f>IFERROR(__xludf.DUMMYFUNCTION("""COMPUTED_VALUE"""),"#VALUE!")</f>
        <v>#VALUE!</v>
      </c>
      <c r="F314" s="10" t="str">
        <f>IFERROR(__xludf.DUMMYFUNCTION("""COMPUTED_VALUE"""),"")</f>
        <v/>
      </c>
      <c r="G314" s="10" t="str">
        <f>IFERROR(__xludf.DUMMYFUNCTION("""COMPUTED_VALUE"""),"#VALUE!")</f>
        <v>#VALUE!</v>
      </c>
      <c r="H314" s="10" t="str">
        <f>IFERROR(__xludf.DUMMYFUNCTION("""COMPUTED_VALUE"""),"")</f>
        <v/>
      </c>
    </row>
    <row r="315">
      <c r="E315" s="10" t="str">
        <f>IFERROR(__xludf.DUMMYFUNCTION("""COMPUTED_VALUE"""),"#VALUE!")</f>
        <v>#VALUE!</v>
      </c>
      <c r="F315" s="10" t="str">
        <f>IFERROR(__xludf.DUMMYFUNCTION("""COMPUTED_VALUE"""),"")</f>
        <v/>
      </c>
      <c r="G315" s="10" t="str">
        <f>IFERROR(__xludf.DUMMYFUNCTION("""COMPUTED_VALUE"""),"#VALUE!")</f>
        <v>#VALUE!</v>
      </c>
      <c r="H315" s="10" t="str">
        <f>IFERROR(__xludf.DUMMYFUNCTION("""COMPUTED_VALUE"""),"")</f>
        <v/>
      </c>
    </row>
    <row r="316">
      <c r="E316" s="10" t="str">
        <f>IFERROR(__xludf.DUMMYFUNCTION("""COMPUTED_VALUE"""),"#VALUE!")</f>
        <v>#VALUE!</v>
      </c>
      <c r="F316" s="10" t="str">
        <f>IFERROR(__xludf.DUMMYFUNCTION("""COMPUTED_VALUE"""),"")</f>
        <v/>
      </c>
      <c r="G316" s="10" t="str">
        <f>IFERROR(__xludf.DUMMYFUNCTION("""COMPUTED_VALUE"""),"#VALUE!")</f>
        <v>#VALUE!</v>
      </c>
      <c r="H316" s="10" t="str">
        <f>IFERROR(__xludf.DUMMYFUNCTION("""COMPUTED_VALUE"""),"")</f>
        <v/>
      </c>
    </row>
    <row r="317">
      <c r="E317" s="10" t="str">
        <f>IFERROR(__xludf.DUMMYFUNCTION("""COMPUTED_VALUE"""),"#VALUE!")</f>
        <v>#VALUE!</v>
      </c>
      <c r="F317" s="10" t="str">
        <f>IFERROR(__xludf.DUMMYFUNCTION("""COMPUTED_VALUE"""),"")</f>
        <v/>
      </c>
      <c r="G317" s="10" t="str">
        <f>IFERROR(__xludf.DUMMYFUNCTION("""COMPUTED_VALUE"""),"#VALUE!")</f>
        <v>#VALUE!</v>
      </c>
      <c r="H317" s="10" t="str">
        <f>IFERROR(__xludf.DUMMYFUNCTION("""COMPUTED_VALUE"""),"")</f>
        <v/>
      </c>
    </row>
    <row r="318">
      <c r="E318" s="10" t="str">
        <f>IFERROR(__xludf.DUMMYFUNCTION("""COMPUTED_VALUE"""),"#VALUE!")</f>
        <v>#VALUE!</v>
      </c>
      <c r="F318" s="10" t="str">
        <f>IFERROR(__xludf.DUMMYFUNCTION("""COMPUTED_VALUE"""),"")</f>
        <v/>
      </c>
      <c r="G318" s="10" t="str">
        <f>IFERROR(__xludf.DUMMYFUNCTION("""COMPUTED_VALUE"""),"#VALUE!")</f>
        <v>#VALUE!</v>
      </c>
      <c r="H318" s="10" t="str">
        <f>IFERROR(__xludf.DUMMYFUNCTION("""COMPUTED_VALUE"""),"")</f>
        <v/>
      </c>
    </row>
    <row r="319">
      <c r="E319" s="10" t="str">
        <f>IFERROR(__xludf.DUMMYFUNCTION("""COMPUTED_VALUE"""),"#VALUE!")</f>
        <v>#VALUE!</v>
      </c>
      <c r="F319" s="10" t="str">
        <f>IFERROR(__xludf.DUMMYFUNCTION("""COMPUTED_VALUE"""),"")</f>
        <v/>
      </c>
      <c r="G319" s="10" t="str">
        <f>IFERROR(__xludf.DUMMYFUNCTION("""COMPUTED_VALUE"""),"#VALUE!")</f>
        <v>#VALUE!</v>
      </c>
      <c r="H319" s="10" t="str">
        <f>IFERROR(__xludf.DUMMYFUNCTION("""COMPUTED_VALUE"""),"")</f>
        <v/>
      </c>
    </row>
    <row r="320">
      <c r="E320" s="10" t="str">
        <f>IFERROR(__xludf.DUMMYFUNCTION("""COMPUTED_VALUE"""),"#VALUE!")</f>
        <v>#VALUE!</v>
      </c>
      <c r="F320" s="10" t="str">
        <f>IFERROR(__xludf.DUMMYFUNCTION("""COMPUTED_VALUE"""),"")</f>
        <v/>
      </c>
      <c r="G320" s="10" t="str">
        <f>IFERROR(__xludf.DUMMYFUNCTION("""COMPUTED_VALUE"""),"#VALUE!")</f>
        <v>#VALUE!</v>
      </c>
      <c r="H320" s="10" t="str">
        <f>IFERROR(__xludf.DUMMYFUNCTION("""COMPUTED_VALUE"""),"")</f>
        <v/>
      </c>
    </row>
    <row r="321">
      <c r="E321" s="10" t="str">
        <f>IFERROR(__xludf.DUMMYFUNCTION("""COMPUTED_VALUE"""),"#VALUE!")</f>
        <v>#VALUE!</v>
      </c>
      <c r="F321" s="10" t="str">
        <f>IFERROR(__xludf.DUMMYFUNCTION("""COMPUTED_VALUE"""),"")</f>
        <v/>
      </c>
      <c r="G321" s="10" t="str">
        <f>IFERROR(__xludf.DUMMYFUNCTION("""COMPUTED_VALUE"""),"#VALUE!")</f>
        <v>#VALUE!</v>
      </c>
      <c r="H321" s="10" t="str">
        <f>IFERROR(__xludf.DUMMYFUNCTION("""COMPUTED_VALUE"""),"")</f>
        <v/>
      </c>
    </row>
    <row r="322">
      <c r="E322" s="10" t="str">
        <f>IFERROR(__xludf.DUMMYFUNCTION("""COMPUTED_VALUE"""),"#VALUE!")</f>
        <v>#VALUE!</v>
      </c>
      <c r="F322" s="10" t="str">
        <f>IFERROR(__xludf.DUMMYFUNCTION("""COMPUTED_VALUE"""),"")</f>
        <v/>
      </c>
      <c r="G322" s="10" t="str">
        <f>IFERROR(__xludf.DUMMYFUNCTION("""COMPUTED_VALUE"""),"#VALUE!")</f>
        <v>#VALUE!</v>
      </c>
      <c r="H322" s="10" t="str">
        <f>IFERROR(__xludf.DUMMYFUNCTION("""COMPUTED_VALUE"""),"")</f>
        <v/>
      </c>
    </row>
    <row r="323">
      <c r="E323" s="10" t="str">
        <f>IFERROR(__xludf.DUMMYFUNCTION("""COMPUTED_VALUE"""),"#VALUE!")</f>
        <v>#VALUE!</v>
      </c>
      <c r="F323" s="10" t="str">
        <f>IFERROR(__xludf.DUMMYFUNCTION("""COMPUTED_VALUE"""),"")</f>
        <v/>
      </c>
      <c r="G323" s="10" t="str">
        <f>IFERROR(__xludf.DUMMYFUNCTION("""COMPUTED_VALUE"""),"#VALUE!")</f>
        <v>#VALUE!</v>
      </c>
      <c r="H323" s="10" t="str">
        <f>IFERROR(__xludf.DUMMYFUNCTION("""COMPUTED_VALUE"""),"")</f>
        <v/>
      </c>
    </row>
    <row r="324">
      <c r="E324" s="10" t="str">
        <f>IFERROR(__xludf.DUMMYFUNCTION("""COMPUTED_VALUE"""),"#VALUE!")</f>
        <v>#VALUE!</v>
      </c>
      <c r="F324" s="10" t="str">
        <f>IFERROR(__xludf.DUMMYFUNCTION("""COMPUTED_VALUE"""),"")</f>
        <v/>
      </c>
      <c r="G324" s="10" t="str">
        <f>IFERROR(__xludf.DUMMYFUNCTION("""COMPUTED_VALUE"""),"#VALUE!")</f>
        <v>#VALUE!</v>
      </c>
      <c r="H324" s="10" t="str">
        <f>IFERROR(__xludf.DUMMYFUNCTION("""COMPUTED_VALUE"""),"")</f>
        <v/>
      </c>
    </row>
    <row r="325">
      <c r="E325" s="10" t="str">
        <f>IFERROR(__xludf.DUMMYFUNCTION("""COMPUTED_VALUE"""),"#VALUE!")</f>
        <v>#VALUE!</v>
      </c>
      <c r="F325" s="10" t="str">
        <f>IFERROR(__xludf.DUMMYFUNCTION("""COMPUTED_VALUE"""),"")</f>
        <v/>
      </c>
      <c r="G325" s="10" t="str">
        <f>IFERROR(__xludf.DUMMYFUNCTION("""COMPUTED_VALUE"""),"#VALUE!")</f>
        <v>#VALUE!</v>
      </c>
      <c r="H325" s="10" t="str">
        <f>IFERROR(__xludf.DUMMYFUNCTION("""COMPUTED_VALUE"""),"")</f>
        <v/>
      </c>
    </row>
    <row r="326">
      <c r="E326" s="10" t="str">
        <f>IFERROR(__xludf.DUMMYFUNCTION("""COMPUTED_VALUE"""),"#VALUE!")</f>
        <v>#VALUE!</v>
      </c>
      <c r="F326" s="10" t="str">
        <f>IFERROR(__xludf.DUMMYFUNCTION("""COMPUTED_VALUE"""),"")</f>
        <v/>
      </c>
      <c r="G326" s="10" t="str">
        <f>IFERROR(__xludf.DUMMYFUNCTION("""COMPUTED_VALUE"""),"#VALUE!")</f>
        <v>#VALUE!</v>
      </c>
      <c r="H326" s="10" t="str">
        <f>IFERROR(__xludf.DUMMYFUNCTION("""COMPUTED_VALUE"""),"")</f>
        <v/>
      </c>
    </row>
    <row r="327">
      <c r="E327" s="10" t="str">
        <f>IFERROR(__xludf.DUMMYFUNCTION("""COMPUTED_VALUE"""),"#VALUE!")</f>
        <v>#VALUE!</v>
      </c>
      <c r="F327" s="10" t="str">
        <f>IFERROR(__xludf.DUMMYFUNCTION("""COMPUTED_VALUE"""),"")</f>
        <v/>
      </c>
      <c r="G327" s="10" t="str">
        <f>IFERROR(__xludf.DUMMYFUNCTION("""COMPUTED_VALUE"""),"#VALUE!")</f>
        <v>#VALUE!</v>
      </c>
      <c r="H327" s="10" t="str">
        <f>IFERROR(__xludf.DUMMYFUNCTION("""COMPUTED_VALUE"""),"")</f>
        <v/>
      </c>
    </row>
    <row r="328">
      <c r="E328" s="10" t="str">
        <f>IFERROR(__xludf.DUMMYFUNCTION("""COMPUTED_VALUE"""),"#VALUE!")</f>
        <v>#VALUE!</v>
      </c>
      <c r="F328" s="10" t="str">
        <f>IFERROR(__xludf.DUMMYFUNCTION("""COMPUTED_VALUE"""),"")</f>
        <v/>
      </c>
      <c r="G328" s="10" t="str">
        <f>IFERROR(__xludf.DUMMYFUNCTION("""COMPUTED_VALUE"""),"#VALUE!")</f>
        <v>#VALUE!</v>
      </c>
      <c r="H328" s="10" t="str">
        <f>IFERROR(__xludf.DUMMYFUNCTION("""COMPUTED_VALUE"""),"")</f>
        <v/>
      </c>
    </row>
    <row r="329">
      <c r="E329" s="10" t="str">
        <f>IFERROR(__xludf.DUMMYFUNCTION("""COMPUTED_VALUE"""),"#VALUE!")</f>
        <v>#VALUE!</v>
      </c>
      <c r="F329" s="10" t="str">
        <f>IFERROR(__xludf.DUMMYFUNCTION("""COMPUTED_VALUE"""),"")</f>
        <v/>
      </c>
      <c r="G329" s="10" t="str">
        <f>IFERROR(__xludf.DUMMYFUNCTION("""COMPUTED_VALUE"""),"#VALUE!")</f>
        <v>#VALUE!</v>
      </c>
      <c r="H329" s="10" t="str">
        <f>IFERROR(__xludf.DUMMYFUNCTION("""COMPUTED_VALUE"""),"")</f>
        <v/>
      </c>
    </row>
    <row r="330">
      <c r="E330" s="10" t="str">
        <f>IFERROR(__xludf.DUMMYFUNCTION("""COMPUTED_VALUE"""),"#VALUE!")</f>
        <v>#VALUE!</v>
      </c>
      <c r="F330" s="10" t="str">
        <f>IFERROR(__xludf.DUMMYFUNCTION("""COMPUTED_VALUE"""),"")</f>
        <v/>
      </c>
      <c r="G330" s="10" t="str">
        <f>IFERROR(__xludf.DUMMYFUNCTION("""COMPUTED_VALUE"""),"#VALUE!")</f>
        <v>#VALUE!</v>
      </c>
      <c r="H330" s="10" t="str">
        <f>IFERROR(__xludf.DUMMYFUNCTION("""COMPUTED_VALUE"""),"")</f>
        <v/>
      </c>
    </row>
    <row r="331">
      <c r="E331" s="10" t="str">
        <f>IFERROR(__xludf.DUMMYFUNCTION("""COMPUTED_VALUE"""),"#VALUE!")</f>
        <v>#VALUE!</v>
      </c>
      <c r="F331" s="10" t="str">
        <f>IFERROR(__xludf.DUMMYFUNCTION("""COMPUTED_VALUE"""),"")</f>
        <v/>
      </c>
      <c r="G331" s="10" t="str">
        <f>IFERROR(__xludf.DUMMYFUNCTION("""COMPUTED_VALUE"""),"#VALUE!")</f>
        <v>#VALUE!</v>
      </c>
      <c r="H331" s="10" t="str">
        <f>IFERROR(__xludf.DUMMYFUNCTION("""COMPUTED_VALUE"""),"")</f>
        <v/>
      </c>
    </row>
    <row r="332">
      <c r="E332" s="10" t="str">
        <f>IFERROR(__xludf.DUMMYFUNCTION("""COMPUTED_VALUE"""),"#VALUE!")</f>
        <v>#VALUE!</v>
      </c>
      <c r="F332" s="10" t="str">
        <f>IFERROR(__xludf.DUMMYFUNCTION("""COMPUTED_VALUE"""),"")</f>
        <v/>
      </c>
      <c r="G332" s="10" t="str">
        <f>IFERROR(__xludf.DUMMYFUNCTION("""COMPUTED_VALUE"""),"#VALUE!")</f>
        <v>#VALUE!</v>
      </c>
      <c r="H332" s="10" t="str">
        <f>IFERROR(__xludf.DUMMYFUNCTION("""COMPUTED_VALUE"""),"")</f>
        <v/>
      </c>
    </row>
    <row r="333">
      <c r="E333" s="10" t="str">
        <f>IFERROR(__xludf.DUMMYFUNCTION("""COMPUTED_VALUE"""),"#VALUE!")</f>
        <v>#VALUE!</v>
      </c>
      <c r="F333" s="10" t="str">
        <f>IFERROR(__xludf.DUMMYFUNCTION("""COMPUTED_VALUE"""),"")</f>
        <v/>
      </c>
      <c r="G333" s="10" t="str">
        <f>IFERROR(__xludf.DUMMYFUNCTION("""COMPUTED_VALUE"""),"#VALUE!")</f>
        <v>#VALUE!</v>
      </c>
      <c r="H333" s="10" t="str">
        <f>IFERROR(__xludf.DUMMYFUNCTION("""COMPUTED_VALUE"""),"")</f>
        <v/>
      </c>
    </row>
    <row r="334">
      <c r="E334" s="10" t="str">
        <f>IFERROR(__xludf.DUMMYFUNCTION("""COMPUTED_VALUE"""),"#VALUE!")</f>
        <v>#VALUE!</v>
      </c>
      <c r="F334" s="10" t="str">
        <f>IFERROR(__xludf.DUMMYFUNCTION("""COMPUTED_VALUE"""),"")</f>
        <v/>
      </c>
      <c r="G334" s="10" t="str">
        <f>IFERROR(__xludf.DUMMYFUNCTION("""COMPUTED_VALUE"""),"#VALUE!")</f>
        <v>#VALUE!</v>
      </c>
      <c r="H334" s="10" t="str">
        <f>IFERROR(__xludf.DUMMYFUNCTION("""COMPUTED_VALUE"""),"")</f>
        <v/>
      </c>
    </row>
    <row r="335">
      <c r="E335" s="10" t="str">
        <f>IFERROR(__xludf.DUMMYFUNCTION("""COMPUTED_VALUE"""),"#VALUE!")</f>
        <v>#VALUE!</v>
      </c>
      <c r="F335" s="10" t="str">
        <f>IFERROR(__xludf.DUMMYFUNCTION("""COMPUTED_VALUE"""),"")</f>
        <v/>
      </c>
      <c r="G335" s="10" t="str">
        <f>IFERROR(__xludf.DUMMYFUNCTION("""COMPUTED_VALUE"""),"#VALUE!")</f>
        <v>#VALUE!</v>
      </c>
      <c r="H335" s="10" t="str">
        <f>IFERROR(__xludf.DUMMYFUNCTION("""COMPUTED_VALUE"""),"")</f>
        <v/>
      </c>
    </row>
    <row r="336">
      <c r="E336" s="10" t="str">
        <f>IFERROR(__xludf.DUMMYFUNCTION("""COMPUTED_VALUE"""),"#VALUE!")</f>
        <v>#VALUE!</v>
      </c>
      <c r="F336" s="10" t="str">
        <f>IFERROR(__xludf.DUMMYFUNCTION("""COMPUTED_VALUE"""),"")</f>
        <v/>
      </c>
      <c r="G336" s="10" t="str">
        <f>IFERROR(__xludf.DUMMYFUNCTION("""COMPUTED_VALUE"""),"#VALUE!")</f>
        <v>#VALUE!</v>
      </c>
      <c r="H336" s="10" t="str">
        <f>IFERROR(__xludf.DUMMYFUNCTION("""COMPUTED_VALUE"""),"")</f>
        <v/>
      </c>
    </row>
    <row r="337">
      <c r="E337" s="10" t="str">
        <f>IFERROR(__xludf.DUMMYFUNCTION("""COMPUTED_VALUE"""),"#VALUE!")</f>
        <v>#VALUE!</v>
      </c>
      <c r="F337" s="10" t="str">
        <f>IFERROR(__xludf.DUMMYFUNCTION("""COMPUTED_VALUE"""),"")</f>
        <v/>
      </c>
      <c r="G337" s="10" t="str">
        <f>IFERROR(__xludf.DUMMYFUNCTION("""COMPUTED_VALUE"""),"#VALUE!")</f>
        <v>#VALUE!</v>
      </c>
      <c r="H337" s="10" t="str">
        <f>IFERROR(__xludf.DUMMYFUNCTION("""COMPUTED_VALUE"""),"")</f>
        <v/>
      </c>
    </row>
    <row r="338">
      <c r="E338" s="10" t="str">
        <f>IFERROR(__xludf.DUMMYFUNCTION("""COMPUTED_VALUE"""),"#VALUE!")</f>
        <v>#VALUE!</v>
      </c>
      <c r="F338" s="10" t="str">
        <f>IFERROR(__xludf.DUMMYFUNCTION("""COMPUTED_VALUE"""),"")</f>
        <v/>
      </c>
      <c r="G338" s="10" t="str">
        <f>IFERROR(__xludf.DUMMYFUNCTION("""COMPUTED_VALUE"""),"#VALUE!")</f>
        <v>#VALUE!</v>
      </c>
      <c r="H338" s="10" t="str">
        <f>IFERROR(__xludf.DUMMYFUNCTION("""COMPUTED_VALUE"""),"")</f>
        <v/>
      </c>
    </row>
    <row r="339">
      <c r="E339" s="10" t="str">
        <f>IFERROR(__xludf.DUMMYFUNCTION("""COMPUTED_VALUE"""),"#VALUE!")</f>
        <v>#VALUE!</v>
      </c>
      <c r="F339" s="10" t="str">
        <f>IFERROR(__xludf.DUMMYFUNCTION("""COMPUTED_VALUE"""),"")</f>
        <v/>
      </c>
      <c r="G339" s="10" t="str">
        <f>IFERROR(__xludf.DUMMYFUNCTION("""COMPUTED_VALUE"""),"#VALUE!")</f>
        <v>#VALUE!</v>
      </c>
      <c r="H339" s="10" t="str">
        <f>IFERROR(__xludf.DUMMYFUNCTION("""COMPUTED_VALUE"""),"")</f>
        <v/>
      </c>
    </row>
    <row r="340">
      <c r="E340" s="10" t="str">
        <f>IFERROR(__xludf.DUMMYFUNCTION("""COMPUTED_VALUE"""),"#VALUE!")</f>
        <v>#VALUE!</v>
      </c>
      <c r="F340" s="10" t="str">
        <f>IFERROR(__xludf.DUMMYFUNCTION("""COMPUTED_VALUE"""),"")</f>
        <v/>
      </c>
      <c r="G340" s="10" t="str">
        <f>IFERROR(__xludf.DUMMYFUNCTION("""COMPUTED_VALUE"""),"#VALUE!")</f>
        <v>#VALUE!</v>
      </c>
      <c r="H340" s="10" t="str">
        <f>IFERROR(__xludf.DUMMYFUNCTION("""COMPUTED_VALUE"""),"")</f>
        <v/>
      </c>
    </row>
    <row r="341">
      <c r="E341" s="10" t="str">
        <f>IFERROR(__xludf.DUMMYFUNCTION("""COMPUTED_VALUE"""),"#VALUE!")</f>
        <v>#VALUE!</v>
      </c>
      <c r="F341" s="10" t="str">
        <f>IFERROR(__xludf.DUMMYFUNCTION("""COMPUTED_VALUE"""),"")</f>
        <v/>
      </c>
      <c r="G341" s="10" t="str">
        <f>IFERROR(__xludf.DUMMYFUNCTION("""COMPUTED_VALUE"""),"#VALUE!")</f>
        <v>#VALUE!</v>
      </c>
      <c r="H341" s="10" t="str">
        <f>IFERROR(__xludf.DUMMYFUNCTION("""COMPUTED_VALUE"""),"")</f>
        <v/>
      </c>
    </row>
    <row r="342">
      <c r="E342" s="10" t="str">
        <f>IFERROR(__xludf.DUMMYFUNCTION("""COMPUTED_VALUE"""),"#VALUE!")</f>
        <v>#VALUE!</v>
      </c>
      <c r="F342" s="10" t="str">
        <f>IFERROR(__xludf.DUMMYFUNCTION("""COMPUTED_VALUE"""),"")</f>
        <v/>
      </c>
      <c r="G342" s="10" t="str">
        <f>IFERROR(__xludf.DUMMYFUNCTION("""COMPUTED_VALUE"""),"#VALUE!")</f>
        <v>#VALUE!</v>
      </c>
      <c r="H342" s="10" t="str">
        <f>IFERROR(__xludf.DUMMYFUNCTION("""COMPUTED_VALUE"""),"")</f>
        <v/>
      </c>
    </row>
    <row r="343">
      <c r="E343" s="10" t="str">
        <f>IFERROR(__xludf.DUMMYFUNCTION("""COMPUTED_VALUE"""),"#VALUE!")</f>
        <v>#VALUE!</v>
      </c>
      <c r="F343" s="10" t="str">
        <f>IFERROR(__xludf.DUMMYFUNCTION("""COMPUTED_VALUE"""),"")</f>
        <v/>
      </c>
      <c r="G343" s="10" t="str">
        <f>IFERROR(__xludf.DUMMYFUNCTION("""COMPUTED_VALUE"""),"#VALUE!")</f>
        <v>#VALUE!</v>
      </c>
      <c r="H343" s="10" t="str">
        <f>IFERROR(__xludf.DUMMYFUNCTION("""COMPUTED_VALUE"""),"")</f>
        <v/>
      </c>
    </row>
    <row r="344">
      <c r="E344" s="10" t="str">
        <f>IFERROR(__xludf.DUMMYFUNCTION("""COMPUTED_VALUE"""),"#VALUE!")</f>
        <v>#VALUE!</v>
      </c>
      <c r="F344" s="10" t="str">
        <f>IFERROR(__xludf.DUMMYFUNCTION("""COMPUTED_VALUE"""),"")</f>
        <v/>
      </c>
      <c r="G344" s="10" t="str">
        <f>IFERROR(__xludf.DUMMYFUNCTION("""COMPUTED_VALUE"""),"#VALUE!")</f>
        <v>#VALUE!</v>
      </c>
      <c r="H344" s="10" t="str">
        <f>IFERROR(__xludf.DUMMYFUNCTION("""COMPUTED_VALUE"""),"")</f>
        <v/>
      </c>
    </row>
    <row r="345">
      <c r="E345" s="10" t="str">
        <f>IFERROR(__xludf.DUMMYFUNCTION("""COMPUTED_VALUE"""),"#VALUE!")</f>
        <v>#VALUE!</v>
      </c>
      <c r="F345" s="10" t="str">
        <f>IFERROR(__xludf.DUMMYFUNCTION("""COMPUTED_VALUE"""),"")</f>
        <v/>
      </c>
      <c r="G345" s="10" t="str">
        <f>IFERROR(__xludf.DUMMYFUNCTION("""COMPUTED_VALUE"""),"#VALUE!")</f>
        <v>#VALUE!</v>
      </c>
      <c r="H345" s="10" t="str">
        <f>IFERROR(__xludf.DUMMYFUNCTION("""COMPUTED_VALUE"""),"")</f>
        <v/>
      </c>
    </row>
    <row r="346">
      <c r="E346" s="10" t="str">
        <f>IFERROR(__xludf.DUMMYFUNCTION("""COMPUTED_VALUE"""),"#VALUE!")</f>
        <v>#VALUE!</v>
      </c>
      <c r="F346" s="10" t="str">
        <f>IFERROR(__xludf.DUMMYFUNCTION("""COMPUTED_VALUE"""),"")</f>
        <v/>
      </c>
      <c r="G346" s="10" t="str">
        <f>IFERROR(__xludf.DUMMYFUNCTION("""COMPUTED_VALUE"""),"#VALUE!")</f>
        <v>#VALUE!</v>
      </c>
      <c r="H346" s="10" t="str">
        <f>IFERROR(__xludf.DUMMYFUNCTION("""COMPUTED_VALUE"""),"")</f>
        <v/>
      </c>
    </row>
    <row r="347">
      <c r="E347" s="10" t="str">
        <f>IFERROR(__xludf.DUMMYFUNCTION("""COMPUTED_VALUE"""),"#VALUE!")</f>
        <v>#VALUE!</v>
      </c>
      <c r="F347" s="10" t="str">
        <f>IFERROR(__xludf.DUMMYFUNCTION("""COMPUTED_VALUE"""),"")</f>
        <v/>
      </c>
      <c r="G347" s="10" t="str">
        <f>IFERROR(__xludf.DUMMYFUNCTION("""COMPUTED_VALUE"""),"#VALUE!")</f>
        <v>#VALUE!</v>
      </c>
      <c r="H347" s="10" t="str">
        <f>IFERROR(__xludf.DUMMYFUNCTION("""COMPUTED_VALUE"""),"")</f>
        <v/>
      </c>
    </row>
    <row r="348">
      <c r="E348" s="10" t="str">
        <f>IFERROR(__xludf.DUMMYFUNCTION("""COMPUTED_VALUE"""),"#VALUE!")</f>
        <v>#VALUE!</v>
      </c>
      <c r="F348" s="10" t="str">
        <f>IFERROR(__xludf.DUMMYFUNCTION("""COMPUTED_VALUE"""),"")</f>
        <v/>
      </c>
      <c r="G348" s="10" t="str">
        <f>IFERROR(__xludf.DUMMYFUNCTION("""COMPUTED_VALUE"""),"#VALUE!")</f>
        <v>#VALUE!</v>
      </c>
      <c r="H348" s="10" t="str">
        <f>IFERROR(__xludf.DUMMYFUNCTION("""COMPUTED_VALUE"""),"")</f>
        <v/>
      </c>
    </row>
    <row r="349">
      <c r="E349" s="10" t="str">
        <f>IFERROR(__xludf.DUMMYFUNCTION("""COMPUTED_VALUE"""),"#VALUE!")</f>
        <v>#VALUE!</v>
      </c>
      <c r="F349" s="10" t="str">
        <f>IFERROR(__xludf.DUMMYFUNCTION("""COMPUTED_VALUE"""),"")</f>
        <v/>
      </c>
      <c r="G349" s="10" t="str">
        <f>IFERROR(__xludf.DUMMYFUNCTION("""COMPUTED_VALUE"""),"#VALUE!")</f>
        <v>#VALUE!</v>
      </c>
      <c r="H349" s="10" t="str">
        <f>IFERROR(__xludf.DUMMYFUNCTION("""COMPUTED_VALUE"""),"")</f>
        <v/>
      </c>
    </row>
    <row r="350">
      <c r="E350" s="10" t="str">
        <f>IFERROR(__xludf.DUMMYFUNCTION("""COMPUTED_VALUE"""),"#VALUE!")</f>
        <v>#VALUE!</v>
      </c>
      <c r="F350" s="10" t="str">
        <f>IFERROR(__xludf.DUMMYFUNCTION("""COMPUTED_VALUE"""),"")</f>
        <v/>
      </c>
      <c r="G350" s="10" t="str">
        <f>IFERROR(__xludf.DUMMYFUNCTION("""COMPUTED_VALUE"""),"#VALUE!")</f>
        <v>#VALUE!</v>
      </c>
      <c r="H350" s="10" t="str">
        <f>IFERROR(__xludf.DUMMYFUNCTION("""COMPUTED_VALUE"""),"")</f>
        <v/>
      </c>
    </row>
    <row r="351">
      <c r="E351" s="10" t="str">
        <f>IFERROR(__xludf.DUMMYFUNCTION("""COMPUTED_VALUE"""),"#VALUE!")</f>
        <v>#VALUE!</v>
      </c>
      <c r="F351" s="10" t="str">
        <f>IFERROR(__xludf.DUMMYFUNCTION("""COMPUTED_VALUE"""),"")</f>
        <v/>
      </c>
      <c r="G351" s="10" t="str">
        <f>IFERROR(__xludf.DUMMYFUNCTION("""COMPUTED_VALUE"""),"#VALUE!")</f>
        <v>#VALUE!</v>
      </c>
      <c r="H351" s="10" t="str">
        <f>IFERROR(__xludf.DUMMYFUNCTION("""COMPUTED_VALUE"""),"")</f>
        <v/>
      </c>
    </row>
    <row r="352">
      <c r="E352" s="10" t="str">
        <f>IFERROR(__xludf.DUMMYFUNCTION("""COMPUTED_VALUE"""),"#VALUE!")</f>
        <v>#VALUE!</v>
      </c>
      <c r="F352" s="10" t="str">
        <f>IFERROR(__xludf.DUMMYFUNCTION("""COMPUTED_VALUE"""),"")</f>
        <v/>
      </c>
      <c r="G352" s="10" t="str">
        <f>IFERROR(__xludf.DUMMYFUNCTION("""COMPUTED_VALUE"""),"#VALUE!")</f>
        <v>#VALUE!</v>
      </c>
      <c r="H352" s="10" t="str">
        <f>IFERROR(__xludf.DUMMYFUNCTION("""COMPUTED_VALUE"""),"")</f>
        <v/>
      </c>
    </row>
    <row r="353">
      <c r="E353" s="10" t="str">
        <f>IFERROR(__xludf.DUMMYFUNCTION("""COMPUTED_VALUE"""),"#VALUE!")</f>
        <v>#VALUE!</v>
      </c>
      <c r="F353" s="10" t="str">
        <f>IFERROR(__xludf.DUMMYFUNCTION("""COMPUTED_VALUE"""),"")</f>
        <v/>
      </c>
      <c r="G353" s="10" t="str">
        <f>IFERROR(__xludf.DUMMYFUNCTION("""COMPUTED_VALUE"""),"#VALUE!")</f>
        <v>#VALUE!</v>
      </c>
      <c r="H353" s="10" t="str">
        <f>IFERROR(__xludf.DUMMYFUNCTION("""COMPUTED_VALUE"""),"")</f>
        <v/>
      </c>
    </row>
    <row r="354">
      <c r="E354" s="10" t="str">
        <f>IFERROR(__xludf.DUMMYFUNCTION("""COMPUTED_VALUE"""),"#VALUE!")</f>
        <v>#VALUE!</v>
      </c>
      <c r="F354" s="10" t="str">
        <f>IFERROR(__xludf.DUMMYFUNCTION("""COMPUTED_VALUE"""),"")</f>
        <v/>
      </c>
      <c r="G354" s="10" t="str">
        <f>IFERROR(__xludf.DUMMYFUNCTION("""COMPUTED_VALUE"""),"#VALUE!")</f>
        <v>#VALUE!</v>
      </c>
      <c r="H354" s="10" t="str">
        <f>IFERROR(__xludf.DUMMYFUNCTION("""COMPUTED_VALUE"""),"")</f>
        <v/>
      </c>
    </row>
    <row r="355">
      <c r="E355" s="10" t="str">
        <f>IFERROR(__xludf.DUMMYFUNCTION("""COMPUTED_VALUE"""),"#VALUE!")</f>
        <v>#VALUE!</v>
      </c>
      <c r="F355" s="10" t="str">
        <f>IFERROR(__xludf.DUMMYFUNCTION("""COMPUTED_VALUE"""),"")</f>
        <v/>
      </c>
      <c r="G355" s="10" t="str">
        <f>IFERROR(__xludf.DUMMYFUNCTION("""COMPUTED_VALUE"""),"#VALUE!")</f>
        <v>#VALUE!</v>
      </c>
      <c r="H355" s="10" t="str">
        <f>IFERROR(__xludf.DUMMYFUNCTION("""COMPUTED_VALUE"""),"")</f>
        <v/>
      </c>
    </row>
    <row r="356">
      <c r="E356" s="10" t="str">
        <f>IFERROR(__xludf.DUMMYFUNCTION("""COMPUTED_VALUE"""),"#VALUE!")</f>
        <v>#VALUE!</v>
      </c>
      <c r="F356" s="10" t="str">
        <f>IFERROR(__xludf.DUMMYFUNCTION("""COMPUTED_VALUE"""),"")</f>
        <v/>
      </c>
      <c r="G356" s="10" t="str">
        <f>IFERROR(__xludf.DUMMYFUNCTION("""COMPUTED_VALUE"""),"#VALUE!")</f>
        <v>#VALUE!</v>
      </c>
      <c r="H356" s="10" t="str">
        <f>IFERROR(__xludf.DUMMYFUNCTION("""COMPUTED_VALUE"""),"")</f>
        <v/>
      </c>
    </row>
    <row r="357">
      <c r="E357" s="10" t="str">
        <f>IFERROR(__xludf.DUMMYFUNCTION("""COMPUTED_VALUE"""),"#VALUE!")</f>
        <v>#VALUE!</v>
      </c>
      <c r="F357" s="10" t="str">
        <f>IFERROR(__xludf.DUMMYFUNCTION("""COMPUTED_VALUE"""),"")</f>
        <v/>
      </c>
      <c r="G357" s="10" t="str">
        <f>IFERROR(__xludf.DUMMYFUNCTION("""COMPUTED_VALUE"""),"#VALUE!")</f>
        <v>#VALUE!</v>
      </c>
      <c r="H357" s="10" t="str">
        <f>IFERROR(__xludf.DUMMYFUNCTION("""COMPUTED_VALUE"""),"")</f>
        <v/>
      </c>
    </row>
    <row r="358">
      <c r="E358" s="10" t="str">
        <f>IFERROR(__xludf.DUMMYFUNCTION("""COMPUTED_VALUE"""),"#VALUE!")</f>
        <v>#VALUE!</v>
      </c>
      <c r="F358" s="10" t="str">
        <f>IFERROR(__xludf.DUMMYFUNCTION("""COMPUTED_VALUE"""),"")</f>
        <v/>
      </c>
      <c r="G358" s="10" t="str">
        <f>IFERROR(__xludf.DUMMYFUNCTION("""COMPUTED_VALUE"""),"#VALUE!")</f>
        <v>#VALUE!</v>
      </c>
      <c r="H358" s="10" t="str">
        <f>IFERROR(__xludf.DUMMYFUNCTION("""COMPUTED_VALUE"""),"")</f>
        <v/>
      </c>
    </row>
    <row r="359">
      <c r="E359" s="10" t="str">
        <f>IFERROR(__xludf.DUMMYFUNCTION("""COMPUTED_VALUE"""),"#VALUE!")</f>
        <v>#VALUE!</v>
      </c>
      <c r="F359" s="10" t="str">
        <f>IFERROR(__xludf.DUMMYFUNCTION("""COMPUTED_VALUE"""),"")</f>
        <v/>
      </c>
      <c r="G359" s="10" t="str">
        <f>IFERROR(__xludf.DUMMYFUNCTION("""COMPUTED_VALUE"""),"#VALUE!")</f>
        <v>#VALUE!</v>
      </c>
      <c r="H359" s="10" t="str">
        <f>IFERROR(__xludf.DUMMYFUNCTION("""COMPUTED_VALUE"""),"")</f>
        <v/>
      </c>
    </row>
    <row r="360">
      <c r="E360" s="10" t="str">
        <f>IFERROR(__xludf.DUMMYFUNCTION("""COMPUTED_VALUE"""),"#VALUE!")</f>
        <v>#VALUE!</v>
      </c>
      <c r="F360" s="10" t="str">
        <f>IFERROR(__xludf.DUMMYFUNCTION("""COMPUTED_VALUE"""),"")</f>
        <v/>
      </c>
      <c r="G360" s="10" t="str">
        <f>IFERROR(__xludf.DUMMYFUNCTION("""COMPUTED_VALUE"""),"#VALUE!")</f>
        <v>#VALUE!</v>
      </c>
      <c r="H360" s="10" t="str">
        <f>IFERROR(__xludf.DUMMYFUNCTION("""COMPUTED_VALUE"""),"")</f>
        <v/>
      </c>
    </row>
    <row r="361">
      <c r="E361" s="10" t="str">
        <f>IFERROR(__xludf.DUMMYFUNCTION("""COMPUTED_VALUE"""),"#VALUE!")</f>
        <v>#VALUE!</v>
      </c>
      <c r="F361" s="10" t="str">
        <f>IFERROR(__xludf.DUMMYFUNCTION("""COMPUTED_VALUE"""),"")</f>
        <v/>
      </c>
      <c r="G361" s="10" t="str">
        <f>IFERROR(__xludf.DUMMYFUNCTION("""COMPUTED_VALUE"""),"#VALUE!")</f>
        <v>#VALUE!</v>
      </c>
      <c r="H361" s="10" t="str">
        <f>IFERROR(__xludf.DUMMYFUNCTION("""COMPUTED_VALUE"""),"")</f>
        <v/>
      </c>
    </row>
    <row r="362">
      <c r="E362" s="10" t="str">
        <f>IFERROR(__xludf.DUMMYFUNCTION("""COMPUTED_VALUE"""),"#VALUE!")</f>
        <v>#VALUE!</v>
      </c>
      <c r="F362" s="10" t="str">
        <f>IFERROR(__xludf.DUMMYFUNCTION("""COMPUTED_VALUE"""),"")</f>
        <v/>
      </c>
      <c r="G362" s="10" t="str">
        <f>IFERROR(__xludf.DUMMYFUNCTION("""COMPUTED_VALUE"""),"#VALUE!")</f>
        <v>#VALUE!</v>
      </c>
      <c r="H362" s="10" t="str">
        <f>IFERROR(__xludf.DUMMYFUNCTION("""COMPUTED_VALUE"""),"")</f>
        <v/>
      </c>
    </row>
    <row r="363">
      <c r="E363" s="10" t="str">
        <f>IFERROR(__xludf.DUMMYFUNCTION("""COMPUTED_VALUE"""),"#VALUE!")</f>
        <v>#VALUE!</v>
      </c>
      <c r="F363" s="10" t="str">
        <f>IFERROR(__xludf.DUMMYFUNCTION("""COMPUTED_VALUE"""),"")</f>
        <v/>
      </c>
      <c r="G363" s="10" t="str">
        <f>IFERROR(__xludf.DUMMYFUNCTION("""COMPUTED_VALUE"""),"#VALUE!")</f>
        <v>#VALUE!</v>
      </c>
      <c r="H363" s="10" t="str">
        <f>IFERROR(__xludf.DUMMYFUNCTION("""COMPUTED_VALUE"""),"")</f>
        <v/>
      </c>
    </row>
    <row r="364">
      <c r="E364" s="10" t="str">
        <f>IFERROR(__xludf.DUMMYFUNCTION("""COMPUTED_VALUE"""),"#VALUE!")</f>
        <v>#VALUE!</v>
      </c>
      <c r="F364" s="10" t="str">
        <f>IFERROR(__xludf.DUMMYFUNCTION("""COMPUTED_VALUE"""),"")</f>
        <v/>
      </c>
      <c r="G364" s="10" t="str">
        <f>IFERROR(__xludf.DUMMYFUNCTION("""COMPUTED_VALUE"""),"#VALUE!")</f>
        <v>#VALUE!</v>
      </c>
      <c r="H364" s="10" t="str">
        <f>IFERROR(__xludf.DUMMYFUNCTION("""COMPUTED_VALUE"""),"")</f>
        <v/>
      </c>
    </row>
    <row r="365">
      <c r="E365" s="10" t="str">
        <f>IFERROR(__xludf.DUMMYFUNCTION("""COMPUTED_VALUE"""),"#VALUE!")</f>
        <v>#VALUE!</v>
      </c>
      <c r="F365" s="10" t="str">
        <f>IFERROR(__xludf.DUMMYFUNCTION("""COMPUTED_VALUE"""),"")</f>
        <v/>
      </c>
      <c r="G365" s="10" t="str">
        <f>IFERROR(__xludf.DUMMYFUNCTION("""COMPUTED_VALUE"""),"#VALUE!")</f>
        <v>#VALUE!</v>
      </c>
      <c r="H365" s="10" t="str">
        <f>IFERROR(__xludf.DUMMYFUNCTION("""COMPUTED_VALUE"""),"")</f>
        <v/>
      </c>
    </row>
    <row r="366">
      <c r="E366" s="10" t="str">
        <f>IFERROR(__xludf.DUMMYFUNCTION("""COMPUTED_VALUE"""),"#VALUE!")</f>
        <v>#VALUE!</v>
      </c>
      <c r="F366" s="10" t="str">
        <f>IFERROR(__xludf.DUMMYFUNCTION("""COMPUTED_VALUE"""),"")</f>
        <v/>
      </c>
      <c r="G366" s="10" t="str">
        <f>IFERROR(__xludf.DUMMYFUNCTION("""COMPUTED_VALUE"""),"#VALUE!")</f>
        <v>#VALUE!</v>
      </c>
      <c r="H366" s="10" t="str">
        <f>IFERROR(__xludf.DUMMYFUNCTION("""COMPUTED_VALUE"""),"")</f>
        <v/>
      </c>
    </row>
    <row r="367">
      <c r="E367" s="10" t="str">
        <f>IFERROR(__xludf.DUMMYFUNCTION("""COMPUTED_VALUE"""),"#VALUE!")</f>
        <v>#VALUE!</v>
      </c>
      <c r="F367" s="10" t="str">
        <f>IFERROR(__xludf.DUMMYFUNCTION("""COMPUTED_VALUE"""),"")</f>
        <v/>
      </c>
      <c r="G367" s="10" t="str">
        <f>IFERROR(__xludf.DUMMYFUNCTION("""COMPUTED_VALUE"""),"#VALUE!")</f>
        <v>#VALUE!</v>
      </c>
      <c r="H367" s="10" t="str">
        <f>IFERROR(__xludf.DUMMYFUNCTION("""COMPUTED_VALUE"""),"")</f>
        <v/>
      </c>
    </row>
    <row r="368">
      <c r="E368" s="10" t="str">
        <f>IFERROR(__xludf.DUMMYFUNCTION("""COMPUTED_VALUE"""),"#VALUE!")</f>
        <v>#VALUE!</v>
      </c>
      <c r="F368" s="10" t="str">
        <f>IFERROR(__xludf.DUMMYFUNCTION("""COMPUTED_VALUE"""),"")</f>
        <v/>
      </c>
      <c r="G368" s="10" t="str">
        <f>IFERROR(__xludf.DUMMYFUNCTION("""COMPUTED_VALUE"""),"#VALUE!")</f>
        <v>#VALUE!</v>
      </c>
      <c r="H368" s="10" t="str">
        <f>IFERROR(__xludf.DUMMYFUNCTION("""COMPUTED_VALUE"""),"")</f>
        <v/>
      </c>
    </row>
    <row r="369">
      <c r="E369" s="10" t="str">
        <f>IFERROR(__xludf.DUMMYFUNCTION("""COMPUTED_VALUE"""),"#VALUE!")</f>
        <v>#VALUE!</v>
      </c>
      <c r="F369" s="10" t="str">
        <f>IFERROR(__xludf.DUMMYFUNCTION("""COMPUTED_VALUE"""),"")</f>
        <v/>
      </c>
      <c r="G369" s="10" t="str">
        <f>IFERROR(__xludf.DUMMYFUNCTION("""COMPUTED_VALUE"""),"#VALUE!")</f>
        <v>#VALUE!</v>
      </c>
      <c r="H369" s="10" t="str">
        <f>IFERROR(__xludf.DUMMYFUNCTION("""COMPUTED_VALUE"""),"")</f>
        <v/>
      </c>
    </row>
    <row r="370">
      <c r="E370" s="10" t="str">
        <f>IFERROR(__xludf.DUMMYFUNCTION("""COMPUTED_VALUE"""),"#VALUE!")</f>
        <v>#VALUE!</v>
      </c>
      <c r="F370" s="10" t="str">
        <f>IFERROR(__xludf.DUMMYFUNCTION("""COMPUTED_VALUE"""),"")</f>
        <v/>
      </c>
      <c r="G370" s="10" t="str">
        <f>IFERROR(__xludf.DUMMYFUNCTION("""COMPUTED_VALUE"""),"#VALUE!")</f>
        <v>#VALUE!</v>
      </c>
      <c r="H370" s="10" t="str">
        <f>IFERROR(__xludf.DUMMYFUNCTION("""COMPUTED_VALUE"""),"")</f>
        <v/>
      </c>
    </row>
    <row r="371">
      <c r="E371" s="10" t="str">
        <f>IFERROR(__xludf.DUMMYFUNCTION("""COMPUTED_VALUE"""),"#VALUE!")</f>
        <v>#VALUE!</v>
      </c>
      <c r="F371" s="10" t="str">
        <f>IFERROR(__xludf.DUMMYFUNCTION("""COMPUTED_VALUE"""),"")</f>
        <v/>
      </c>
      <c r="G371" s="10" t="str">
        <f>IFERROR(__xludf.DUMMYFUNCTION("""COMPUTED_VALUE"""),"#VALUE!")</f>
        <v>#VALUE!</v>
      </c>
      <c r="H371" s="10" t="str">
        <f>IFERROR(__xludf.DUMMYFUNCTION("""COMPUTED_VALUE"""),"")</f>
        <v/>
      </c>
    </row>
    <row r="372">
      <c r="E372" s="10" t="str">
        <f>IFERROR(__xludf.DUMMYFUNCTION("""COMPUTED_VALUE"""),"#VALUE!")</f>
        <v>#VALUE!</v>
      </c>
      <c r="F372" s="10" t="str">
        <f>IFERROR(__xludf.DUMMYFUNCTION("""COMPUTED_VALUE"""),"")</f>
        <v/>
      </c>
      <c r="G372" s="10" t="str">
        <f>IFERROR(__xludf.DUMMYFUNCTION("""COMPUTED_VALUE"""),"#VALUE!")</f>
        <v>#VALUE!</v>
      </c>
      <c r="H372" s="10" t="str">
        <f>IFERROR(__xludf.DUMMYFUNCTION("""COMPUTED_VALUE"""),"")</f>
        <v/>
      </c>
    </row>
    <row r="373">
      <c r="E373" s="10" t="str">
        <f>IFERROR(__xludf.DUMMYFUNCTION("""COMPUTED_VALUE"""),"#VALUE!")</f>
        <v>#VALUE!</v>
      </c>
      <c r="F373" s="10" t="str">
        <f>IFERROR(__xludf.DUMMYFUNCTION("""COMPUTED_VALUE"""),"")</f>
        <v/>
      </c>
      <c r="G373" s="10" t="str">
        <f>IFERROR(__xludf.DUMMYFUNCTION("""COMPUTED_VALUE"""),"#VALUE!")</f>
        <v>#VALUE!</v>
      </c>
      <c r="H373" s="10" t="str">
        <f>IFERROR(__xludf.DUMMYFUNCTION("""COMPUTED_VALUE"""),"")</f>
        <v/>
      </c>
    </row>
    <row r="374">
      <c r="E374" s="10" t="str">
        <f>IFERROR(__xludf.DUMMYFUNCTION("""COMPUTED_VALUE"""),"#VALUE!")</f>
        <v>#VALUE!</v>
      </c>
      <c r="F374" s="10" t="str">
        <f>IFERROR(__xludf.DUMMYFUNCTION("""COMPUTED_VALUE"""),"")</f>
        <v/>
      </c>
      <c r="G374" s="10" t="str">
        <f>IFERROR(__xludf.DUMMYFUNCTION("""COMPUTED_VALUE"""),"#VALUE!")</f>
        <v>#VALUE!</v>
      </c>
      <c r="H374" s="10" t="str">
        <f>IFERROR(__xludf.DUMMYFUNCTION("""COMPUTED_VALUE"""),"")</f>
        <v/>
      </c>
    </row>
    <row r="375">
      <c r="E375" s="10" t="str">
        <f>IFERROR(__xludf.DUMMYFUNCTION("""COMPUTED_VALUE"""),"#VALUE!")</f>
        <v>#VALUE!</v>
      </c>
      <c r="F375" s="10" t="str">
        <f>IFERROR(__xludf.DUMMYFUNCTION("""COMPUTED_VALUE"""),"")</f>
        <v/>
      </c>
      <c r="G375" s="10" t="str">
        <f>IFERROR(__xludf.DUMMYFUNCTION("""COMPUTED_VALUE"""),"#VALUE!")</f>
        <v>#VALUE!</v>
      </c>
      <c r="H375" s="10" t="str">
        <f>IFERROR(__xludf.DUMMYFUNCTION("""COMPUTED_VALUE"""),"")</f>
        <v/>
      </c>
    </row>
    <row r="376">
      <c r="E376" s="10" t="str">
        <f>IFERROR(__xludf.DUMMYFUNCTION("""COMPUTED_VALUE"""),"#VALUE!")</f>
        <v>#VALUE!</v>
      </c>
      <c r="F376" s="10" t="str">
        <f>IFERROR(__xludf.DUMMYFUNCTION("""COMPUTED_VALUE"""),"")</f>
        <v/>
      </c>
      <c r="G376" s="10" t="str">
        <f>IFERROR(__xludf.DUMMYFUNCTION("""COMPUTED_VALUE"""),"#VALUE!")</f>
        <v>#VALUE!</v>
      </c>
      <c r="H376" s="10" t="str">
        <f>IFERROR(__xludf.DUMMYFUNCTION("""COMPUTED_VALUE"""),"")</f>
        <v/>
      </c>
    </row>
    <row r="377">
      <c r="E377" s="10" t="str">
        <f>IFERROR(__xludf.DUMMYFUNCTION("""COMPUTED_VALUE"""),"#VALUE!")</f>
        <v>#VALUE!</v>
      </c>
      <c r="F377" s="10" t="str">
        <f>IFERROR(__xludf.DUMMYFUNCTION("""COMPUTED_VALUE"""),"")</f>
        <v/>
      </c>
      <c r="G377" s="10" t="str">
        <f>IFERROR(__xludf.DUMMYFUNCTION("""COMPUTED_VALUE"""),"#VALUE!")</f>
        <v>#VALUE!</v>
      </c>
      <c r="H377" s="10" t="str">
        <f>IFERROR(__xludf.DUMMYFUNCTION("""COMPUTED_VALUE"""),"")</f>
        <v/>
      </c>
    </row>
    <row r="378">
      <c r="E378" s="10" t="str">
        <f>IFERROR(__xludf.DUMMYFUNCTION("""COMPUTED_VALUE"""),"#VALUE!")</f>
        <v>#VALUE!</v>
      </c>
      <c r="F378" s="10" t="str">
        <f>IFERROR(__xludf.DUMMYFUNCTION("""COMPUTED_VALUE"""),"")</f>
        <v/>
      </c>
      <c r="G378" s="10" t="str">
        <f>IFERROR(__xludf.DUMMYFUNCTION("""COMPUTED_VALUE"""),"#VALUE!")</f>
        <v>#VALUE!</v>
      </c>
      <c r="H378" s="10" t="str">
        <f>IFERROR(__xludf.DUMMYFUNCTION("""COMPUTED_VALUE"""),"")</f>
        <v/>
      </c>
    </row>
    <row r="379">
      <c r="E379" s="10" t="str">
        <f>IFERROR(__xludf.DUMMYFUNCTION("""COMPUTED_VALUE"""),"#VALUE!")</f>
        <v>#VALUE!</v>
      </c>
      <c r="F379" s="10" t="str">
        <f>IFERROR(__xludf.DUMMYFUNCTION("""COMPUTED_VALUE"""),"")</f>
        <v/>
      </c>
      <c r="G379" s="10" t="str">
        <f>IFERROR(__xludf.DUMMYFUNCTION("""COMPUTED_VALUE"""),"#VALUE!")</f>
        <v>#VALUE!</v>
      </c>
      <c r="H379" s="10" t="str">
        <f>IFERROR(__xludf.DUMMYFUNCTION("""COMPUTED_VALUE"""),"")</f>
        <v/>
      </c>
    </row>
    <row r="380">
      <c r="E380" s="10" t="str">
        <f>IFERROR(__xludf.DUMMYFUNCTION("""COMPUTED_VALUE"""),"#VALUE!")</f>
        <v>#VALUE!</v>
      </c>
      <c r="F380" s="10" t="str">
        <f>IFERROR(__xludf.DUMMYFUNCTION("""COMPUTED_VALUE"""),"")</f>
        <v/>
      </c>
      <c r="G380" s="10" t="str">
        <f>IFERROR(__xludf.DUMMYFUNCTION("""COMPUTED_VALUE"""),"#VALUE!")</f>
        <v>#VALUE!</v>
      </c>
      <c r="H380" s="10" t="str">
        <f>IFERROR(__xludf.DUMMYFUNCTION("""COMPUTED_VALUE"""),"")</f>
        <v/>
      </c>
    </row>
    <row r="381">
      <c r="E381" s="10" t="str">
        <f>IFERROR(__xludf.DUMMYFUNCTION("""COMPUTED_VALUE"""),"#VALUE!")</f>
        <v>#VALUE!</v>
      </c>
      <c r="F381" s="10" t="str">
        <f>IFERROR(__xludf.DUMMYFUNCTION("""COMPUTED_VALUE"""),"")</f>
        <v/>
      </c>
      <c r="G381" s="10" t="str">
        <f>IFERROR(__xludf.DUMMYFUNCTION("""COMPUTED_VALUE"""),"#VALUE!")</f>
        <v>#VALUE!</v>
      </c>
      <c r="H381" s="10" t="str">
        <f>IFERROR(__xludf.DUMMYFUNCTION("""COMPUTED_VALUE"""),"")</f>
        <v/>
      </c>
    </row>
    <row r="382">
      <c r="E382" s="10" t="str">
        <f>IFERROR(__xludf.DUMMYFUNCTION("""COMPUTED_VALUE"""),"#VALUE!")</f>
        <v>#VALUE!</v>
      </c>
      <c r="F382" s="10" t="str">
        <f>IFERROR(__xludf.DUMMYFUNCTION("""COMPUTED_VALUE"""),"")</f>
        <v/>
      </c>
      <c r="G382" s="10" t="str">
        <f>IFERROR(__xludf.DUMMYFUNCTION("""COMPUTED_VALUE"""),"#VALUE!")</f>
        <v>#VALUE!</v>
      </c>
      <c r="H382" s="10" t="str">
        <f>IFERROR(__xludf.DUMMYFUNCTION("""COMPUTED_VALUE"""),"")</f>
        <v/>
      </c>
    </row>
    <row r="383">
      <c r="E383" s="10" t="str">
        <f>IFERROR(__xludf.DUMMYFUNCTION("""COMPUTED_VALUE"""),"#VALUE!")</f>
        <v>#VALUE!</v>
      </c>
      <c r="F383" s="10" t="str">
        <f>IFERROR(__xludf.DUMMYFUNCTION("""COMPUTED_VALUE"""),"")</f>
        <v/>
      </c>
      <c r="G383" s="10" t="str">
        <f>IFERROR(__xludf.DUMMYFUNCTION("""COMPUTED_VALUE"""),"#VALUE!")</f>
        <v>#VALUE!</v>
      </c>
      <c r="H383" s="10" t="str">
        <f>IFERROR(__xludf.DUMMYFUNCTION("""COMPUTED_VALUE"""),"")</f>
        <v/>
      </c>
    </row>
    <row r="384">
      <c r="E384" s="10" t="str">
        <f>IFERROR(__xludf.DUMMYFUNCTION("""COMPUTED_VALUE"""),"#VALUE!")</f>
        <v>#VALUE!</v>
      </c>
      <c r="F384" s="10" t="str">
        <f>IFERROR(__xludf.DUMMYFUNCTION("""COMPUTED_VALUE"""),"")</f>
        <v/>
      </c>
      <c r="G384" s="10" t="str">
        <f>IFERROR(__xludf.DUMMYFUNCTION("""COMPUTED_VALUE"""),"#VALUE!")</f>
        <v>#VALUE!</v>
      </c>
      <c r="H384" s="10" t="str">
        <f>IFERROR(__xludf.DUMMYFUNCTION("""COMPUTED_VALUE"""),"")</f>
        <v/>
      </c>
    </row>
    <row r="385">
      <c r="E385" s="10" t="str">
        <f>IFERROR(__xludf.DUMMYFUNCTION("""COMPUTED_VALUE"""),"#VALUE!")</f>
        <v>#VALUE!</v>
      </c>
      <c r="F385" s="10" t="str">
        <f>IFERROR(__xludf.DUMMYFUNCTION("""COMPUTED_VALUE"""),"")</f>
        <v/>
      </c>
      <c r="G385" s="10" t="str">
        <f>IFERROR(__xludf.DUMMYFUNCTION("""COMPUTED_VALUE"""),"#VALUE!")</f>
        <v>#VALUE!</v>
      </c>
      <c r="H385" s="10" t="str">
        <f>IFERROR(__xludf.DUMMYFUNCTION("""COMPUTED_VALUE"""),"")</f>
        <v/>
      </c>
    </row>
    <row r="386">
      <c r="E386" s="10" t="str">
        <f>IFERROR(__xludf.DUMMYFUNCTION("""COMPUTED_VALUE"""),"#VALUE!")</f>
        <v>#VALUE!</v>
      </c>
      <c r="F386" s="10" t="str">
        <f>IFERROR(__xludf.DUMMYFUNCTION("""COMPUTED_VALUE"""),"")</f>
        <v/>
      </c>
      <c r="G386" s="10" t="str">
        <f>IFERROR(__xludf.DUMMYFUNCTION("""COMPUTED_VALUE"""),"#VALUE!")</f>
        <v>#VALUE!</v>
      </c>
      <c r="H386" s="10" t="str">
        <f>IFERROR(__xludf.DUMMYFUNCTION("""COMPUTED_VALUE"""),"")</f>
        <v/>
      </c>
    </row>
    <row r="387">
      <c r="E387" s="10" t="str">
        <f>IFERROR(__xludf.DUMMYFUNCTION("""COMPUTED_VALUE"""),"#VALUE!")</f>
        <v>#VALUE!</v>
      </c>
      <c r="F387" s="10" t="str">
        <f>IFERROR(__xludf.DUMMYFUNCTION("""COMPUTED_VALUE"""),"")</f>
        <v/>
      </c>
      <c r="G387" s="10" t="str">
        <f>IFERROR(__xludf.DUMMYFUNCTION("""COMPUTED_VALUE"""),"#VALUE!")</f>
        <v>#VALUE!</v>
      </c>
      <c r="H387" s="10" t="str">
        <f>IFERROR(__xludf.DUMMYFUNCTION("""COMPUTED_VALUE"""),"")</f>
        <v/>
      </c>
    </row>
    <row r="388">
      <c r="E388" s="10" t="str">
        <f>IFERROR(__xludf.DUMMYFUNCTION("""COMPUTED_VALUE"""),"#VALUE!")</f>
        <v>#VALUE!</v>
      </c>
      <c r="F388" s="10" t="str">
        <f>IFERROR(__xludf.DUMMYFUNCTION("""COMPUTED_VALUE"""),"")</f>
        <v/>
      </c>
      <c r="G388" s="10" t="str">
        <f>IFERROR(__xludf.DUMMYFUNCTION("""COMPUTED_VALUE"""),"#VALUE!")</f>
        <v>#VALUE!</v>
      </c>
      <c r="H388" s="10" t="str">
        <f>IFERROR(__xludf.DUMMYFUNCTION("""COMPUTED_VALUE"""),"")</f>
        <v/>
      </c>
    </row>
    <row r="389">
      <c r="E389" s="10" t="str">
        <f>IFERROR(__xludf.DUMMYFUNCTION("""COMPUTED_VALUE"""),"#VALUE!")</f>
        <v>#VALUE!</v>
      </c>
      <c r="F389" s="10" t="str">
        <f>IFERROR(__xludf.DUMMYFUNCTION("""COMPUTED_VALUE"""),"")</f>
        <v/>
      </c>
      <c r="G389" s="10" t="str">
        <f>IFERROR(__xludf.DUMMYFUNCTION("""COMPUTED_VALUE"""),"#VALUE!")</f>
        <v>#VALUE!</v>
      </c>
      <c r="H389" s="10" t="str">
        <f>IFERROR(__xludf.DUMMYFUNCTION("""COMPUTED_VALUE"""),"")</f>
        <v/>
      </c>
    </row>
    <row r="390">
      <c r="E390" s="10" t="str">
        <f>IFERROR(__xludf.DUMMYFUNCTION("""COMPUTED_VALUE"""),"#VALUE!")</f>
        <v>#VALUE!</v>
      </c>
      <c r="F390" s="10" t="str">
        <f>IFERROR(__xludf.DUMMYFUNCTION("""COMPUTED_VALUE"""),"")</f>
        <v/>
      </c>
      <c r="G390" s="10" t="str">
        <f>IFERROR(__xludf.DUMMYFUNCTION("""COMPUTED_VALUE"""),"#VALUE!")</f>
        <v>#VALUE!</v>
      </c>
      <c r="H390" s="10" t="str">
        <f>IFERROR(__xludf.DUMMYFUNCTION("""COMPUTED_VALUE"""),"")</f>
        <v/>
      </c>
    </row>
    <row r="391">
      <c r="E391" s="10" t="str">
        <f>IFERROR(__xludf.DUMMYFUNCTION("""COMPUTED_VALUE"""),"#VALUE!")</f>
        <v>#VALUE!</v>
      </c>
      <c r="F391" s="10" t="str">
        <f>IFERROR(__xludf.DUMMYFUNCTION("""COMPUTED_VALUE"""),"")</f>
        <v/>
      </c>
      <c r="G391" s="10" t="str">
        <f>IFERROR(__xludf.DUMMYFUNCTION("""COMPUTED_VALUE"""),"#VALUE!")</f>
        <v>#VALUE!</v>
      </c>
      <c r="H391" s="10" t="str">
        <f>IFERROR(__xludf.DUMMYFUNCTION("""COMPUTED_VALUE"""),"")</f>
        <v/>
      </c>
    </row>
    <row r="392">
      <c r="E392" s="10" t="str">
        <f>IFERROR(__xludf.DUMMYFUNCTION("""COMPUTED_VALUE"""),"#VALUE!")</f>
        <v>#VALUE!</v>
      </c>
      <c r="F392" s="10" t="str">
        <f>IFERROR(__xludf.DUMMYFUNCTION("""COMPUTED_VALUE"""),"")</f>
        <v/>
      </c>
      <c r="G392" s="10" t="str">
        <f>IFERROR(__xludf.DUMMYFUNCTION("""COMPUTED_VALUE"""),"#VALUE!")</f>
        <v>#VALUE!</v>
      </c>
      <c r="H392" s="10" t="str">
        <f>IFERROR(__xludf.DUMMYFUNCTION("""COMPUTED_VALUE"""),"")</f>
        <v/>
      </c>
    </row>
    <row r="393">
      <c r="E393" s="10" t="str">
        <f>IFERROR(__xludf.DUMMYFUNCTION("""COMPUTED_VALUE"""),"#VALUE!")</f>
        <v>#VALUE!</v>
      </c>
      <c r="F393" s="10" t="str">
        <f>IFERROR(__xludf.DUMMYFUNCTION("""COMPUTED_VALUE"""),"")</f>
        <v/>
      </c>
      <c r="G393" s="10" t="str">
        <f>IFERROR(__xludf.DUMMYFUNCTION("""COMPUTED_VALUE"""),"#VALUE!")</f>
        <v>#VALUE!</v>
      </c>
      <c r="H393" s="10" t="str">
        <f>IFERROR(__xludf.DUMMYFUNCTION("""COMPUTED_VALUE"""),"")</f>
        <v/>
      </c>
    </row>
    <row r="394">
      <c r="E394" s="10" t="str">
        <f>IFERROR(__xludf.DUMMYFUNCTION("""COMPUTED_VALUE"""),"#VALUE!")</f>
        <v>#VALUE!</v>
      </c>
      <c r="F394" s="10" t="str">
        <f>IFERROR(__xludf.DUMMYFUNCTION("""COMPUTED_VALUE"""),"")</f>
        <v/>
      </c>
      <c r="G394" s="10" t="str">
        <f>IFERROR(__xludf.DUMMYFUNCTION("""COMPUTED_VALUE"""),"#VALUE!")</f>
        <v>#VALUE!</v>
      </c>
      <c r="H394" s="10" t="str">
        <f>IFERROR(__xludf.DUMMYFUNCTION("""COMPUTED_VALUE"""),"")</f>
        <v/>
      </c>
    </row>
    <row r="395">
      <c r="E395" s="10" t="str">
        <f>IFERROR(__xludf.DUMMYFUNCTION("""COMPUTED_VALUE"""),"#VALUE!")</f>
        <v>#VALUE!</v>
      </c>
      <c r="F395" s="10" t="str">
        <f>IFERROR(__xludf.DUMMYFUNCTION("""COMPUTED_VALUE"""),"")</f>
        <v/>
      </c>
      <c r="G395" s="10" t="str">
        <f>IFERROR(__xludf.DUMMYFUNCTION("""COMPUTED_VALUE"""),"#VALUE!")</f>
        <v>#VALUE!</v>
      </c>
      <c r="H395" s="10" t="str">
        <f>IFERROR(__xludf.DUMMYFUNCTION("""COMPUTED_VALUE"""),"")</f>
        <v/>
      </c>
    </row>
    <row r="396">
      <c r="E396" s="10" t="str">
        <f>IFERROR(__xludf.DUMMYFUNCTION("""COMPUTED_VALUE"""),"#VALUE!")</f>
        <v>#VALUE!</v>
      </c>
      <c r="F396" s="10" t="str">
        <f>IFERROR(__xludf.DUMMYFUNCTION("""COMPUTED_VALUE"""),"")</f>
        <v/>
      </c>
      <c r="G396" s="10" t="str">
        <f>IFERROR(__xludf.DUMMYFUNCTION("""COMPUTED_VALUE"""),"#VALUE!")</f>
        <v>#VALUE!</v>
      </c>
      <c r="H396" s="10" t="str">
        <f>IFERROR(__xludf.DUMMYFUNCTION("""COMPUTED_VALUE"""),"")</f>
        <v/>
      </c>
    </row>
    <row r="397">
      <c r="E397" s="10" t="str">
        <f>IFERROR(__xludf.DUMMYFUNCTION("""COMPUTED_VALUE"""),"#VALUE!")</f>
        <v>#VALUE!</v>
      </c>
      <c r="F397" s="10" t="str">
        <f>IFERROR(__xludf.DUMMYFUNCTION("""COMPUTED_VALUE"""),"")</f>
        <v/>
      </c>
      <c r="G397" s="10" t="str">
        <f>IFERROR(__xludf.DUMMYFUNCTION("""COMPUTED_VALUE"""),"#VALUE!")</f>
        <v>#VALUE!</v>
      </c>
      <c r="H397" s="10" t="str">
        <f>IFERROR(__xludf.DUMMYFUNCTION("""COMPUTED_VALUE"""),"")</f>
        <v/>
      </c>
    </row>
    <row r="398">
      <c r="E398" s="10" t="str">
        <f>IFERROR(__xludf.DUMMYFUNCTION("""COMPUTED_VALUE"""),"#VALUE!")</f>
        <v>#VALUE!</v>
      </c>
      <c r="F398" s="10" t="str">
        <f>IFERROR(__xludf.DUMMYFUNCTION("""COMPUTED_VALUE"""),"")</f>
        <v/>
      </c>
      <c r="G398" s="10" t="str">
        <f>IFERROR(__xludf.DUMMYFUNCTION("""COMPUTED_VALUE"""),"#VALUE!")</f>
        <v>#VALUE!</v>
      </c>
      <c r="H398" s="10" t="str">
        <f>IFERROR(__xludf.DUMMYFUNCTION("""COMPUTED_VALUE"""),"")</f>
        <v/>
      </c>
    </row>
    <row r="399">
      <c r="E399" s="10" t="str">
        <f>IFERROR(__xludf.DUMMYFUNCTION("""COMPUTED_VALUE"""),"#VALUE!")</f>
        <v>#VALUE!</v>
      </c>
      <c r="F399" s="10" t="str">
        <f>IFERROR(__xludf.DUMMYFUNCTION("""COMPUTED_VALUE"""),"")</f>
        <v/>
      </c>
      <c r="G399" s="10" t="str">
        <f>IFERROR(__xludf.DUMMYFUNCTION("""COMPUTED_VALUE"""),"#VALUE!")</f>
        <v>#VALUE!</v>
      </c>
      <c r="H399" s="10" t="str">
        <f>IFERROR(__xludf.DUMMYFUNCTION("""COMPUTED_VALUE"""),"")</f>
        <v/>
      </c>
    </row>
    <row r="400">
      <c r="E400" s="10" t="str">
        <f>IFERROR(__xludf.DUMMYFUNCTION("""COMPUTED_VALUE"""),"#VALUE!")</f>
        <v>#VALUE!</v>
      </c>
      <c r="F400" s="10" t="str">
        <f>IFERROR(__xludf.DUMMYFUNCTION("""COMPUTED_VALUE"""),"")</f>
        <v/>
      </c>
      <c r="G400" s="10" t="str">
        <f>IFERROR(__xludf.DUMMYFUNCTION("""COMPUTED_VALUE"""),"#VALUE!")</f>
        <v>#VALUE!</v>
      </c>
      <c r="H400" s="10" t="str">
        <f>IFERROR(__xludf.DUMMYFUNCTION("""COMPUTED_VALUE"""),"")</f>
        <v/>
      </c>
    </row>
    <row r="401">
      <c r="E401" s="10" t="str">
        <f>IFERROR(__xludf.DUMMYFUNCTION("""COMPUTED_VALUE"""),"#VALUE!")</f>
        <v>#VALUE!</v>
      </c>
      <c r="F401" s="10" t="str">
        <f>IFERROR(__xludf.DUMMYFUNCTION("""COMPUTED_VALUE"""),"")</f>
        <v/>
      </c>
      <c r="G401" s="10" t="str">
        <f>IFERROR(__xludf.DUMMYFUNCTION("""COMPUTED_VALUE"""),"#VALUE!")</f>
        <v>#VALUE!</v>
      </c>
      <c r="H401" s="10" t="str">
        <f>IFERROR(__xludf.DUMMYFUNCTION("""COMPUTED_VALUE"""),"")</f>
        <v/>
      </c>
    </row>
    <row r="402">
      <c r="E402" s="10" t="str">
        <f>IFERROR(__xludf.DUMMYFUNCTION("""COMPUTED_VALUE"""),"#VALUE!")</f>
        <v>#VALUE!</v>
      </c>
      <c r="F402" s="10" t="str">
        <f>IFERROR(__xludf.DUMMYFUNCTION("""COMPUTED_VALUE"""),"")</f>
        <v/>
      </c>
      <c r="G402" s="10" t="str">
        <f>IFERROR(__xludf.DUMMYFUNCTION("""COMPUTED_VALUE"""),"#VALUE!")</f>
        <v>#VALUE!</v>
      </c>
      <c r="H402" s="10" t="str">
        <f>IFERROR(__xludf.DUMMYFUNCTION("""COMPUTED_VALUE"""),"")</f>
        <v/>
      </c>
    </row>
    <row r="403">
      <c r="E403" s="10" t="str">
        <f>IFERROR(__xludf.DUMMYFUNCTION("""COMPUTED_VALUE"""),"#VALUE!")</f>
        <v>#VALUE!</v>
      </c>
      <c r="F403" s="10" t="str">
        <f>IFERROR(__xludf.DUMMYFUNCTION("""COMPUTED_VALUE"""),"")</f>
        <v/>
      </c>
      <c r="G403" s="10" t="str">
        <f>IFERROR(__xludf.DUMMYFUNCTION("""COMPUTED_VALUE"""),"#VALUE!")</f>
        <v>#VALUE!</v>
      </c>
      <c r="H403" s="10" t="str">
        <f>IFERROR(__xludf.DUMMYFUNCTION("""COMPUTED_VALUE"""),"")</f>
        <v/>
      </c>
    </row>
    <row r="404">
      <c r="E404" s="10" t="str">
        <f>IFERROR(__xludf.DUMMYFUNCTION("""COMPUTED_VALUE"""),"#VALUE!")</f>
        <v>#VALUE!</v>
      </c>
      <c r="F404" s="10" t="str">
        <f>IFERROR(__xludf.DUMMYFUNCTION("""COMPUTED_VALUE"""),"")</f>
        <v/>
      </c>
      <c r="G404" s="10" t="str">
        <f>IFERROR(__xludf.DUMMYFUNCTION("""COMPUTED_VALUE"""),"#VALUE!")</f>
        <v>#VALUE!</v>
      </c>
      <c r="H404" s="10" t="str">
        <f>IFERROR(__xludf.DUMMYFUNCTION("""COMPUTED_VALUE"""),"")</f>
        <v/>
      </c>
    </row>
    <row r="405">
      <c r="E405" s="10" t="str">
        <f>IFERROR(__xludf.DUMMYFUNCTION("""COMPUTED_VALUE"""),"#VALUE!")</f>
        <v>#VALUE!</v>
      </c>
      <c r="F405" s="10" t="str">
        <f>IFERROR(__xludf.DUMMYFUNCTION("""COMPUTED_VALUE"""),"")</f>
        <v/>
      </c>
      <c r="G405" s="10" t="str">
        <f>IFERROR(__xludf.DUMMYFUNCTION("""COMPUTED_VALUE"""),"#VALUE!")</f>
        <v>#VALUE!</v>
      </c>
      <c r="H405" s="10" t="str">
        <f>IFERROR(__xludf.DUMMYFUNCTION("""COMPUTED_VALUE"""),"")</f>
        <v/>
      </c>
    </row>
    <row r="406">
      <c r="E406" s="10" t="str">
        <f>IFERROR(__xludf.DUMMYFUNCTION("""COMPUTED_VALUE"""),"#VALUE!")</f>
        <v>#VALUE!</v>
      </c>
      <c r="F406" s="10" t="str">
        <f>IFERROR(__xludf.DUMMYFUNCTION("""COMPUTED_VALUE"""),"")</f>
        <v/>
      </c>
      <c r="G406" s="10" t="str">
        <f>IFERROR(__xludf.DUMMYFUNCTION("""COMPUTED_VALUE"""),"#VALUE!")</f>
        <v>#VALUE!</v>
      </c>
      <c r="H406" s="10" t="str">
        <f>IFERROR(__xludf.DUMMYFUNCTION("""COMPUTED_VALUE"""),"")</f>
        <v/>
      </c>
    </row>
    <row r="407">
      <c r="E407" s="10" t="str">
        <f>IFERROR(__xludf.DUMMYFUNCTION("""COMPUTED_VALUE"""),"#VALUE!")</f>
        <v>#VALUE!</v>
      </c>
      <c r="F407" s="10" t="str">
        <f>IFERROR(__xludf.DUMMYFUNCTION("""COMPUTED_VALUE"""),"")</f>
        <v/>
      </c>
      <c r="G407" s="10" t="str">
        <f>IFERROR(__xludf.DUMMYFUNCTION("""COMPUTED_VALUE"""),"#VALUE!")</f>
        <v>#VALUE!</v>
      </c>
      <c r="H407" s="10" t="str">
        <f>IFERROR(__xludf.DUMMYFUNCTION("""COMPUTED_VALUE"""),"")</f>
        <v/>
      </c>
    </row>
    <row r="408">
      <c r="E408" s="10" t="str">
        <f>IFERROR(__xludf.DUMMYFUNCTION("""COMPUTED_VALUE"""),"#VALUE!")</f>
        <v>#VALUE!</v>
      </c>
      <c r="F408" s="10" t="str">
        <f>IFERROR(__xludf.DUMMYFUNCTION("""COMPUTED_VALUE"""),"")</f>
        <v/>
      </c>
      <c r="G408" s="10" t="str">
        <f>IFERROR(__xludf.DUMMYFUNCTION("""COMPUTED_VALUE"""),"#VALUE!")</f>
        <v>#VALUE!</v>
      </c>
      <c r="H408" s="10" t="str">
        <f>IFERROR(__xludf.DUMMYFUNCTION("""COMPUTED_VALUE"""),"")</f>
        <v/>
      </c>
    </row>
    <row r="409">
      <c r="E409" s="10" t="str">
        <f>IFERROR(__xludf.DUMMYFUNCTION("""COMPUTED_VALUE"""),"#VALUE!")</f>
        <v>#VALUE!</v>
      </c>
      <c r="F409" s="10" t="str">
        <f>IFERROR(__xludf.DUMMYFUNCTION("""COMPUTED_VALUE"""),"")</f>
        <v/>
      </c>
      <c r="G409" s="10" t="str">
        <f>IFERROR(__xludf.DUMMYFUNCTION("""COMPUTED_VALUE"""),"#VALUE!")</f>
        <v>#VALUE!</v>
      </c>
      <c r="H409" s="10" t="str">
        <f>IFERROR(__xludf.DUMMYFUNCTION("""COMPUTED_VALUE"""),"")</f>
        <v/>
      </c>
    </row>
    <row r="410">
      <c r="E410" s="10" t="str">
        <f>IFERROR(__xludf.DUMMYFUNCTION("""COMPUTED_VALUE"""),"#VALUE!")</f>
        <v>#VALUE!</v>
      </c>
      <c r="F410" s="10" t="str">
        <f>IFERROR(__xludf.DUMMYFUNCTION("""COMPUTED_VALUE"""),"")</f>
        <v/>
      </c>
      <c r="G410" s="10" t="str">
        <f>IFERROR(__xludf.DUMMYFUNCTION("""COMPUTED_VALUE"""),"#VALUE!")</f>
        <v>#VALUE!</v>
      </c>
      <c r="H410" s="10" t="str">
        <f>IFERROR(__xludf.DUMMYFUNCTION("""COMPUTED_VALUE"""),"")</f>
        <v/>
      </c>
    </row>
    <row r="411">
      <c r="E411" s="10" t="str">
        <f>IFERROR(__xludf.DUMMYFUNCTION("""COMPUTED_VALUE"""),"#VALUE!")</f>
        <v>#VALUE!</v>
      </c>
      <c r="F411" s="10" t="str">
        <f>IFERROR(__xludf.DUMMYFUNCTION("""COMPUTED_VALUE"""),"")</f>
        <v/>
      </c>
      <c r="G411" s="10" t="str">
        <f>IFERROR(__xludf.DUMMYFUNCTION("""COMPUTED_VALUE"""),"#VALUE!")</f>
        <v>#VALUE!</v>
      </c>
      <c r="H411" s="10" t="str">
        <f>IFERROR(__xludf.DUMMYFUNCTION("""COMPUTED_VALUE"""),"")</f>
        <v/>
      </c>
    </row>
    <row r="412">
      <c r="E412" s="10" t="str">
        <f>IFERROR(__xludf.DUMMYFUNCTION("""COMPUTED_VALUE"""),"#VALUE!")</f>
        <v>#VALUE!</v>
      </c>
      <c r="F412" s="10" t="str">
        <f>IFERROR(__xludf.DUMMYFUNCTION("""COMPUTED_VALUE"""),"")</f>
        <v/>
      </c>
      <c r="G412" s="10" t="str">
        <f>IFERROR(__xludf.DUMMYFUNCTION("""COMPUTED_VALUE"""),"#VALUE!")</f>
        <v>#VALUE!</v>
      </c>
      <c r="H412" s="10" t="str">
        <f>IFERROR(__xludf.DUMMYFUNCTION("""COMPUTED_VALUE"""),"")</f>
        <v/>
      </c>
    </row>
    <row r="413">
      <c r="E413" s="10" t="str">
        <f>IFERROR(__xludf.DUMMYFUNCTION("""COMPUTED_VALUE"""),"#VALUE!")</f>
        <v>#VALUE!</v>
      </c>
      <c r="F413" s="10" t="str">
        <f>IFERROR(__xludf.DUMMYFUNCTION("""COMPUTED_VALUE"""),"")</f>
        <v/>
      </c>
      <c r="G413" s="10" t="str">
        <f>IFERROR(__xludf.DUMMYFUNCTION("""COMPUTED_VALUE"""),"#VALUE!")</f>
        <v>#VALUE!</v>
      </c>
      <c r="H413" s="10" t="str">
        <f>IFERROR(__xludf.DUMMYFUNCTION("""COMPUTED_VALUE"""),"")</f>
        <v/>
      </c>
    </row>
    <row r="414">
      <c r="E414" s="10" t="str">
        <f>IFERROR(__xludf.DUMMYFUNCTION("""COMPUTED_VALUE"""),"#VALUE!")</f>
        <v>#VALUE!</v>
      </c>
      <c r="F414" s="10" t="str">
        <f>IFERROR(__xludf.DUMMYFUNCTION("""COMPUTED_VALUE"""),"")</f>
        <v/>
      </c>
      <c r="G414" s="10" t="str">
        <f>IFERROR(__xludf.DUMMYFUNCTION("""COMPUTED_VALUE"""),"#VALUE!")</f>
        <v>#VALUE!</v>
      </c>
      <c r="H414" s="10" t="str">
        <f>IFERROR(__xludf.DUMMYFUNCTION("""COMPUTED_VALUE"""),"")</f>
        <v/>
      </c>
    </row>
    <row r="415">
      <c r="E415" s="10" t="str">
        <f>IFERROR(__xludf.DUMMYFUNCTION("""COMPUTED_VALUE"""),"#VALUE!")</f>
        <v>#VALUE!</v>
      </c>
      <c r="F415" s="10" t="str">
        <f>IFERROR(__xludf.DUMMYFUNCTION("""COMPUTED_VALUE"""),"")</f>
        <v/>
      </c>
      <c r="G415" s="10" t="str">
        <f>IFERROR(__xludf.DUMMYFUNCTION("""COMPUTED_VALUE"""),"#VALUE!")</f>
        <v>#VALUE!</v>
      </c>
      <c r="H415" s="10" t="str">
        <f>IFERROR(__xludf.DUMMYFUNCTION("""COMPUTED_VALUE"""),"")</f>
        <v/>
      </c>
    </row>
    <row r="416">
      <c r="E416" s="10" t="str">
        <f>IFERROR(__xludf.DUMMYFUNCTION("""COMPUTED_VALUE"""),"#VALUE!")</f>
        <v>#VALUE!</v>
      </c>
      <c r="F416" s="10" t="str">
        <f>IFERROR(__xludf.DUMMYFUNCTION("""COMPUTED_VALUE"""),"")</f>
        <v/>
      </c>
      <c r="G416" s="10" t="str">
        <f>IFERROR(__xludf.DUMMYFUNCTION("""COMPUTED_VALUE"""),"#VALUE!")</f>
        <v>#VALUE!</v>
      </c>
      <c r="H416" s="10" t="str">
        <f>IFERROR(__xludf.DUMMYFUNCTION("""COMPUTED_VALUE"""),"")</f>
        <v/>
      </c>
    </row>
    <row r="417">
      <c r="E417" s="10" t="str">
        <f>IFERROR(__xludf.DUMMYFUNCTION("""COMPUTED_VALUE"""),"#VALUE!")</f>
        <v>#VALUE!</v>
      </c>
      <c r="F417" s="10" t="str">
        <f>IFERROR(__xludf.DUMMYFUNCTION("""COMPUTED_VALUE"""),"")</f>
        <v/>
      </c>
      <c r="G417" s="10" t="str">
        <f>IFERROR(__xludf.DUMMYFUNCTION("""COMPUTED_VALUE"""),"#VALUE!")</f>
        <v>#VALUE!</v>
      </c>
      <c r="H417" s="10" t="str">
        <f>IFERROR(__xludf.DUMMYFUNCTION("""COMPUTED_VALUE"""),"")</f>
        <v/>
      </c>
    </row>
    <row r="418">
      <c r="E418" s="10" t="str">
        <f>IFERROR(__xludf.DUMMYFUNCTION("""COMPUTED_VALUE"""),"#VALUE!")</f>
        <v>#VALUE!</v>
      </c>
      <c r="F418" s="10" t="str">
        <f>IFERROR(__xludf.DUMMYFUNCTION("""COMPUTED_VALUE"""),"")</f>
        <v/>
      </c>
      <c r="G418" s="10" t="str">
        <f>IFERROR(__xludf.DUMMYFUNCTION("""COMPUTED_VALUE"""),"#VALUE!")</f>
        <v>#VALUE!</v>
      </c>
      <c r="H418" s="10" t="str">
        <f>IFERROR(__xludf.DUMMYFUNCTION("""COMPUTED_VALUE"""),"")</f>
        <v/>
      </c>
    </row>
    <row r="419">
      <c r="E419" s="10" t="str">
        <f>IFERROR(__xludf.DUMMYFUNCTION("""COMPUTED_VALUE"""),"#VALUE!")</f>
        <v>#VALUE!</v>
      </c>
      <c r="F419" s="10" t="str">
        <f>IFERROR(__xludf.DUMMYFUNCTION("""COMPUTED_VALUE"""),"")</f>
        <v/>
      </c>
      <c r="G419" s="10" t="str">
        <f>IFERROR(__xludf.DUMMYFUNCTION("""COMPUTED_VALUE"""),"#VALUE!")</f>
        <v>#VALUE!</v>
      </c>
      <c r="H419" s="10" t="str">
        <f>IFERROR(__xludf.DUMMYFUNCTION("""COMPUTED_VALUE"""),"")</f>
        <v/>
      </c>
    </row>
    <row r="420">
      <c r="E420" s="10" t="str">
        <f>IFERROR(__xludf.DUMMYFUNCTION("""COMPUTED_VALUE"""),"#VALUE!")</f>
        <v>#VALUE!</v>
      </c>
      <c r="F420" s="10" t="str">
        <f>IFERROR(__xludf.DUMMYFUNCTION("""COMPUTED_VALUE"""),"")</f>
        <v/>
      </c>
      <c r="G420" s="10" t="str">
        <f>IFERROR(__xludf.DUMMYFUNCTION("""COMPUTED_VALUE"""),"#VALUE!")</f>
        <v>#VALUE!</v>
      </c>
      <c r="H420" s="10" t="str">
        <f>IFERROR(__xludf.DUMMYFUNCTION("""COMPUTED_VALUE"""),"")</f>
        <v/>
      </c>
    </row>
    <row r="421">
      <c r="E421" s="10" t="str">
        <f>IFERROR(__xludf.DUMMYFUNCTION("""COMPUTED_VALUE"""),"#VALUE!")</f>
        <v>#VALUE!</v>
      </c>
      <c r="F421" s="10" t="str">
        <f>IFERROR(__xludf.DUMMYFUNCTION("""COMPUTED_VALUE"""),"")</f>
        <v/>
      </c>
      <c r="G421" s="10" t="str">
        <f>IFERROR(__xludf.DUMMYFUNCTION("""COMPUTED_VALUE"""),"#VALUE!")</f>
        <v>#VALUE!</v>
      </c>
      <c r="H421" s="10" t="str">
        <f>IFERROR(__xludf.DUMMYFUNCTION("""COMPUTED_VALUE"""),"")</f>
        <v/>
      </c>
    </row>
    <row r="422">
      <c r="E422" s="10" t="str">
        <f>IFERROR(__xludf.DUMMYFUNCTION("""COMPUTED_VALUE"""),"#VALUE!")</f>
        <v>#VALUE!</v>
      </c>
      <c r="F422" s="10" t="str">
        <f>IFERROR(__xludf.DUMMYFUNCTION("""COMPUTED_VALUE"""),"")</f>
        <v/>
      </c>
      <c r="G422" s="10" t="str">
        <f>IFERROR(__xludf.DUMMYFUNCTION("""COMPUTED_VALUE"""),"#VALUE!")</f>
        <v>#VALUE!</v>
      </c>
      <c r="H422" s="10" t="str">
        <f>IFERROR(__xludf.DUMMYFUNCTION("""COMPUTED_VALUE"""),"")</f>
        <v/>
      </c>
    </row>
    <row r="423">
      <c r="E423" s="10" t="str">
        <f>IFERROR(__xludf.DUMMYFUNCTION("""COMPUTED_VALUE"""),"#VALUE!")</f>
        <v>#VALUE!</v>
      </c>
      <c r="F423" s="10" t="str">
        <f>IFERROR(__xludf.DUMMYFUNCTION("""COMPUTED_VALUE"""),"")</f>
        <v/>
      </c>
      <c r="G423" s="10" t="str">
        <f>IFERROR(__xludf.DUMMYFUNCTION("""COMPUTED_VALUE"""),"#VALUE!")</f>
        <v>#VALUE!</v>
      </c>
      <c r="H423" s="10" t="str">
        <f>IFERROR(__xludf.DUMMYFUNCTION("""COMPUTED_VALUE"""),"")</f>
        <v/>
      </c>
    </row>
    <row r="424">
      <c r="E424" s="10" t="str">
        <f>IFERROR(__xludf.DUMMYFUNCTION("""COMPUTED_VALUE"""),"#VALUE!")</f>
        <v>#VALUE!</v>
      </c>
      <c r="F424" s="10" t="str">
        <f>IFERROR(__xludf.DUMMYFUNCTION("""COMPUTED_VALUE"""),"")</f>
        <v/>
      </c>
      <c r="G424" s="10" t="str">
        <f>IFERROR(__xludf.DUMMYFUNCTION("""COMPUTED_VALUE"""),"#VALUE!")</f>
        <v>#VALUE!</v>
      </c>
      <c r="H424" s="10" t="str">
        <f>IFERROR(__xludf.DUMMYFUNCTION("""COMPUTED_VALUE"""),"")</f>
        <v/>
      </c>
    </row>
    <row r="425">
      <c r="E425" s="10" t="str">
        <f>IFERROR(__xludf.DUMMYFUNCTION("""COMPUTED_VALUE"""),"#VALUE!")</f>
        <v>#VALUE!</v>
      </c>
      <c r="F425" s="10" t="str">
        <f>IFERROR(__xludf.DUMMYFUNCTION("""COMPUTED_VALUE"""),"")</f>
        <v/>
      </c>
      <c r="G425" s="10" t="str">
        <f>IFERROR(__xludf.DUMMYFUNCTION("""COMPUTED_VALUE"""),"#VALUE!")</f>
        <v>#VALUE!</v>
      </c>
      <c r="H425" s="10" t="str">
        <f>IFERROR(__xludf.DUMMYFUNCTION("""COMPUTED_VALUE"""),"")</f>
        <v/>
      </c>
    </row>
    <row r="426">
      <c r="E426" s="10" t="str">
        <f>IFERROR(__xludf.DUMMYFUNCTION("""COMPUTED_VALUE"""),"#VALUE!")</f>
        <v>#VALUE!</v>
      </c>
      <c r="F426" s="10" t="str">
        <f>IFERROR(__xludf.DUMMYFUNCTION("""COMPUTED_VALUE"""),"")</f>
        <v/>
      </c>
      <c r="G426" s="10" t="str">
        <f>IFERROR(__xludf.DUMMYFUNCTION("""COMPUTED_VALUE"""),"#VALUE!")</f>
        <v>#VALUE!</v>
      </c>
      <c r="H426" s="10" t="str">
        <f>IFERROR(__xludf.DUMMYFUNCTION("""COMPUTED_VALUE"""),"")</f>
        <v/>
      </c>
    </row>
    <row r="427">
      <c r="E427" s="10" t="str">
        <f>IFERROR(__xludf.DUMMYFUNCTION("""COMPUTED_VALUE"""),"#VALUE!")</f>
        <v>#VALUE!</v>
      </c>
      <c r="F427" s="10" t="str">
        <f>IFERROR(__xludf.DUMMYFUNCTION("""COMPUTED_VALUE"""),"")</f>
        <v/>
      </c>
      <c r="G427" s="10" t="str">
        <f>IFERROR(__xludf.DUMMYFUNCTION("""COMPUTED_VALUE"""),"#VALUE!")</f>
        <v>#VALUE!</v>
      </c>
      <c r="H427" s="10" t="str">
        <f>IFERROR(__xludf.DUMMYFUNCTION("""COMPUTED_VALUE"""),"")</f>
        <v/>
      </c>
    </row>
    <row r="428">
      <c r="E428" s="10" t="str">
        <f>IFERROR(__xludf.DUMMYFUNCTION("""COMPUTED_VALUE"""),"#VALUE!")</f>
        <v>#VALUE!</v>
      </c>
      <c r="F428" s="10" t="str">
        <f>IFERROR(__xludf.DUMMYFUNCTION("""COMPUTED_VALUE"""),"")</f>
        <v/>
      </c>
      <c r="G428" s="10" t="str">
        <f>IFERROR(__xludf.DUMMYFUNCTION("""COMPUTED_VALUE"""),"#VALUE!")</f>
        <v>#VALUE!</v>
      </c>
      <c r="H428" s="10" t="str">
        <f>IFERROR(__xludf.DUMMYFUNCTION("""COMPUTED_VALUE"""),"")</f>
        <v/>
      </c>
    </row>
    <row r="429">
      <c r="E429" s="10" t="str">
        <f>IFERROR(__xludf.DUMMYFUNCTION("""COMPUTED_VALUE"""),"#VALUE!")</f>
        <v>#VALUE!</v>
      </c>
      <c r="F429" s="10" t="str">
        <f>IFERROR(__xludf.DUMMYFUNCTION("""COMPUTED_VALUE"""),"")</f>
        <v/>
      </c>
      <c r="G429" s="10" t="str">
        <f>IFERROR(__xludf.DUMMYFUNCTION("""COMPUTED_VALUE"""),"#VALUE!")</f>
        <v>#VALUE!</v>
      </c>
      <c r="H429" s="10" t="str">
        <f>IFERROR(__xludf.DUMMYFUNCTION("""COMPUTED_VALUE"""),"")</f>
        <v/>
      </c>
    </row>
    <row r="430">
      <c r="E430" s="10" t="str">
        <f>IFERROR(__xludf.DUMMYFUNCTION("""COMPUTED_VALUE"""),"#VALUE!")</f>
        <v>#VALUE!</v>
      </c>
      <c r="F430" s="10" t="str">
        <f>IFERROR(__xludf.DUMMYFUNCTION("""COMPUTED_VALUE"""),"")</f>
        <v/>
      </c>
      <c r="G430" s="10" t="str">
        <f>IFERROR(__xludf.DUMMYFUNCTION("""COMPUTED_VALUE"""),"#VALUE!")</f>
        <v>#VALUE!</v>
      </c>
      <c r="H430" s="10" t="str">
        <f>IFERROR(__xludf.DUMMYFUNCTION("""COMPUTED_VALUE"""),"")</f>
        <v/>
      </c>
    </row>
    <row r="431">
      <c r="E431" s="10" t="str">
        <f>IFERROR(__xludf.DUMMYFUNCTION("""COMPUTED_VALUE"""),"#VALUE!")</f>
        <v>#VALUE!</v>
      </c>
      <c r="F431" s="10" t="str">
        <f>IFERROR(__xludf.DUMMYFUNCTION("""COMPUTED_VALUE"""),"")</f>
        <v/>
      </c>
      <c r="G431" s="10" t="str">
        <f>IFERROR(__xludf.DUMMYFUNCTION("""COMPUTED_VALUE"""),"#VALUE!")</f>
        <v>#VALUE!</v>
      </c>
      <c r="H431" s="10" t="str">
        <f>IFERROR(__xludf.DUMMYFUNCTION("""COMPUTED_VALUE"""),"")</f>
        <v/>
      </c>
    </row>
    <row r="432">
      <c r="E432" s="10" t="str">
        <f>IFERROR(__xludf.DUMMYFUNCTION("""COMPUTED_VALUE"""),"#VALUE!")</f>
        <v>#VALUE!</v>
      </c>
      <c r="F432" s="10" t="str">
        <f>IFERROR(__xludf.DUMMYFUNCTION("""COMPUTED_VALUE"""),"")</f>
        <v/>
      </c>
      <c r="G432" s="10" t="str">
        <f>IFERROR(__xludf.DUMMYFUNCTION("""COMPUTED_VALUE"""),"#VALUE!")</f>
        <v>#VALUE!</v>
      </c>
      <c r="H432" s="10" t="str">
        <f>IFERROR(__xludf.DUMMYFUNCTION("""COMPUTED_VALUE"""),"")</f>
        <v/>
      </c>
    </row>
    <row r="433">
      <c r="E433" s="10" t="str">
        <f>IFERROR(__xludf.DUMMYFUNCTION("""COMPUTED_VALUE"""),"#VALUE!")</f>
        <v>#VALUE!</v>
      </c>
      <c r="F433" s="10" t="str">
        <f>IFERROR(__xludf.DUMMYFUNCTION("""COMPUTED_VALUE"""),"")</f>
        <v/>
      </c>
      <c r="G433" s="10" t="str">
        <f>IFERROR(__xludf.DUMMYFUNCTION("""COMPUTED_VALUE"""),"#VALUE!")</f>
        <v>#VALUE!</v>
      </c>
      <c r="H433" s="10" t="str">
        <f>IFERROR(__xludf.DUMMYFUNCTION("""COMPUTED_VALUE"""),"")</f>
        <v/>
      </c>
    </row>
    <row r="434">
      <c r="E434" s="10" t="str">
        <f>IFERROR(__xludf.DUMMYFUNCTION("""COMPUTED_VALUE"""),"#VALUE!")</f>
        <v>#VALUE!</v>
      </c>
      <c r="F434" s="10" t="str">
        <f>IFERROR(__xludf.DUMMYFUNCTION("""COMPUTED_VALUE"""),"")</f>
        <v/>
      </c>
      <c r="G434" s="10" t="str">
        <f>IFERROR(__xludf.DUMMYFUNCTION("""COMPUTED_VALUE"""),"#VALUE!")</f>
        <v>#VALUE!</v>
      </c>
      <c r="H434" s="10" t="str">
        <f>IFERROR(__xludf.DUMMYFUNCTION("""COMPUTED_VALUE"""),"")</f>
        <v/>
      </c>
    </row>
    <row r="435">
      <c r="E435" s="10" t="str">
        <f>IFERROR(__xludf.DUMMYFUNCTION("""COMPUTED_VALUE"""),"#VALUE!")</f>
        <v>#VALUE!</v>
      </c>
      <c r="F435" s="10" t="str">
        <f>IFERROR(__xludf.DUMMYFUNCTION("""COMPUTED_VALUE"""),"")</f>
        <v/>
      </c>
      <c r="G435" s="10" t="str">
        <f>IFERROR(__xludf.DUMMYFUNCTION("""COMPUTED_VALUE"""),"#VALUE!")</f>
        <v>#VALUE!</v>
      </c>
      <c r="H435" s="10" t="str">
        <f>IFERROR(__xludf.DUMMYFUNCTION("""COMPUTED_VALUE"""),"")</f>
        <v/>
      </c>
    </row>
    <row r="436">
      <c r="E436" s="10" t="str">
        <f>IFERROR(__xludf.DUMMYFUNCTION("""COMPUTED_VALUE"""),"#VALUE!")</f>
        <v>#VALUE!</v>
      </c>
      <c r="F436" s="10" t="str">
        <f>IFERROR(__xludf.DUMMYFUNCTION("""COMPUTED_VALUE"""),"")</f>
        <v/>
      </c>
      <c r="G436" s="10" t="str">
        <f>IFERROR(__xludf.DUMMYFUNCTION("""COMPUTED_VALUE"""),"#VALUE!")</f>
        <v>#VALUE!</v>
      </c>
      <c r="H436" s="10" t="str">
        <f>IFERROR(__xludf.DUMMYFUNCTION("""COMPUTED_VALUE"""),"")</f>
        <v/>
      </c>
    </row>
    <row r="437">
      <c r="E437" s="10" t="str">
        <f>IFERROR(__xludf.DUMMYFUNCTION("""COMPUTED_VALUE"""),"#VALUE!")</f>
        <v>#VALUE!</v>
      </c>
      <c r="F437" s="10" t="str">
        <f>IFERROR(__xludf.DUMMYFUNCTION("""COMPUTED_VALUE"""),"")</f>
        <v/>
      </c>
      <c r="G437" s="10" t="str">
        <f>IFERROR(__xludf.DUMMYFUNCTION("""COMPUTED_VALUE"""),"#VALUE!")</f>
        <v>#VALUE!</v>
      </c>
      <c r="H437" s="10" t="str">
        <f>IFERROR(__xludf.DUMMYFUNCTION("""COMPUTED_VALUE"""),"")</f>
        <v/>
      </c>
    </row>
    <row r="438">
      <c r="E438" s="10" t="str">
        <f>IFERROR(__xludf.DUMMYFUNCTION("""COMPUTED_VALUE"""),"#VALUE!")</f>
        <v>#VALUE!</v>
      </c>
      <c r="F438" s="10" t="str">
        <f>IFERROR(__xludf.DUMMYFUNCTION("""COMPUTED_VALUE"""),"")</f>
        <v/>
      </c>
      <c r="G438" s="10" t="str">
        <f>IFERROR(__xludf.DUMMYFUNCTION("""COMPUTED_VALUE"""),"#VALUE!")</f>
        <v>#VALUE!</v>
      </c>
      <c r="H438" s="10" t="str">
        <f>IFERROR(__xludf.DUMMYFUNCTION("""COMPUTED_VALUE"""),"")</f>
        <v/>
      </c>
    </row>
    <row r="439">
      <c r="E439" s="10" t="str">
        <f>IFERROR(__xludf.DUMMYFUNCTION("""COMPUTED_VALUE"""),"#VALUE!")</f>
        <v>#VALUE!</v>
      </c>
      <c r="F439" s="10" t="str">
        <f>IFERROR(__xludf.DUMMYFUNCTION("""COMPUTED_VALUE"""),"")</f>
        <v/>
      </c>
      <c r="G439" s="10" t="str">
        <f>IFERROR(__xludf.DUMMYFUNCTION("""COMPUTED_VALUE"""),"#VALUE!")</f>
        <v>#VALUE!</v>
      </c>
      <c r="H439" s="10" t="str">
        <f>IFERROR(__xludf.DUMMYFUNCTION("""COMPUTED_VALUE"""),"")</f>
        <v/>
      </c>
    </row>
    <row r="440">
      <c r="E440" s="10" t="str">
        <f>IFERROR(__xludf.DUMMYFUNCTION("""COMPUTED_VALUE"""),"#VALUE!")</f>
        <v>#VALUE!</v>
      </c>
      <c r="F440" s="10" t="str">
        <f>IFERROR(__xludf.DUMMYFUNCTION("""COMPUTED_VALUE"""),"")</f>
        <v/>
      </c>
      <c r="G440" s="10" t="str">
        <f>IFERROR(__xludf.DUMMYFUNCTION("""COMPUTED_VALUE"""),"#VALUE!")</f>
        <v>#VALUE!</v>
      </c>
      <c r="H440" s="10" t="str">
        <f>IFERROR(__xludf.DUMMYFUNCTION("""COMPUTED_VALUE"""),"")</f>
        <v/>
      </c>
    </row>
    <row r="441">
      <c r="E441" s="10" t="str">
        <f>IFERROR(__xludf.DUMMYFUNCTION("""COMPUTED_VALUE"""),"#VALUE!")</f>
        <v>#VALUE!</v>
      </c>
      <c r="F441" s="10" t="str">
        <f>IFERROR(__xludf.DUMMYFUNCTION("""COMPUTED_VALUE"""),"")</f>
        <v/>
      </c>
      <c r="G441" s="10" t="str">
        <f>IFERROR(__xludf.DUMMYFUNCTION("""COMPUTED_VALUE"""),"#VALUE!")</f>
        <v>#VALUE!</v>
      </c>
      <c r="H441" s="10" t="str">
        <f>IFERROR(__xludf.DUMMYFUNCTION("""COMPUTED_VALUE"""),"")</f>
        <v/>
      </c>
    </row>
    <row r="442">
      <c r="E442" s="10" t="str">
        <f>IFERROR(__xludf.DUMMYFUNCTION("""COMPUTED_VALUE"""),"#VALUE!")</f>
        <v>#VALUE!</v>
      </c>
      <c r="F442" s="10" t="str">
        <f>IFERROR(__xludf.DUMMYFUNCTION("""COMPUTED_VALUE"""),"")</f>
        <v/>
      </c>
      <c r="G442" s="10" t="str">
        <f>IFERROR(__xludf.DUMMYFUNCTION("""COMPUTED_VALUE"""),"#VALUE!")</f>
        <v>#VALUE!</v>
      </c>
      <c r="H442" s="10" t="str">
        <f>IFERROR(__xludf.DUMMYFUNCTION("""COMPUTED_VALUE"""),"")</f>
        <v/>
      </c>
    </row>
    <row r="443">
      <c r="E443" s="10" t="str">
        <f>IFERROR(__xludf.DUMMYFUNCTION("""COMPUTED_VALUE"""),"#VALUE!")</f>
        <v>#VALUE!</v>
      </c>
      <c r="F443" s="10" t="str">
        <f>IFERROR(__xludf.DUMMYFUNCTION("""COMPUTED_VALUE"""),"")</f>
        <v/>
      </c>
      <c r="G443" s="10" t="str">
        <f>IFERROR(__xludf.DUMMYFUNCTION("""COMPUTED_VALUE"""),"#VALUE!")</f>
        <v>#VALUE!</v>
      </c>
      <c r="H443" s="10" t="str">
        <f>IFERROR(__xludf.DUMMYFUNCTION("""COMPUTED_VALUE"""),"")</f>
        <v/>
      </c>
    </row>
    <row r="444">
      <c r="E444" s="10" t="str">
        <f>IFERROR(__xludf.DUMMYFUNCTION("""COMPUTED_VALUE"""),"#VALUE!")</f>
        <v>#VALUE!</v>
      </c>
      <c r="F444" s="10" t="str">
        <f>IFERROR(__xludf.DUMMYFUNCTION("""COMPUTED_VALUE"""),"")</f>
        <v/>
      </c>
      <c r="G444" s="10" t="str">
        <f>IFERROR(__xludf.DUMMYFUNCTION("""COMPUTED_VALUE"""),"#VALUE!")</f>
        <v>#VALUE!</v>
      </c>
      <c r="H444" s="10" t="str">
        <f>IFERROR(__xludf.DUMMYFUNCTION("""COMPUTED_VALUE"""),"")</f>
        <v/>
      </c>
    </row>
    <row r="445">
      <c r="E445" s="10" t="str">
        <f>IFERROR(__xludf.DUMMYFUNCTION("""COMPUTED_VALUE"""),"#VALUE!")</f>
        <v>#VALUE!</v>
      </c>
      <c r="F445" s="10" t="str">
        <f>IFERROR(__xludf.DUMMYFUNCTION("""COMPUTED_VALUE"""),"")</f>
        <v/>
      </c>
      <c r="G445" s="10" t="str">
        <f>IFERROR(__xludf.DUMMYFUNCTION("""COMPUTED_VALUE"""),"#VALUE!")</f>
        <v>#VALUE!</v>
      </c>
      <c r="H445" s="10" t="str">
        <f>IFERROR(__xludf.DUMMYFUNCTION("""COMPUTED_VALUE"""),"")</f>
        <v/>
      </c>
    </row>
    <row r="446">
      <c r="E446" s="10" t="str">
        <f>IFERROR(__xludf.DUMMYFUNCTION("""COMPUTED_VALUE"""),"#VALUE!")</f>
        <v>#VALUE!</v>
      </c>
      <c r="F446" s="10" t="str">
        <f>IFERROR(__xludf.DUMMYFUNCTION("""COMPUTED_VALUE"""),"")</f>
        <v/>
      </c>
      <c r="G446" s="10" t="str">
        <f>IFERROR(__xludf.DUMMYFUNCTION("""COMPUTED_VALUE"""),"#VALUE!")</f>
        <v>#VALUE!</v>
      </c>
      <c r="H446" s="10" t="str">
        <f>IFERROR(__xludf.DUMMYFUNCTION("""COMPUTED_VALUE"""),"")</f>
        <v/>
      </c>
    </row>
    <row r="447">
      <c r="E447" s="10" t="str">
        <f>IFERROR(__xludf.DUMMYFUNCTION("""COMPUTED_VALUE"""),"#VALUE!")</f>
        <v>#VALUE!</v>
      </c>
      <c r="F447" s="10" t="str">
        <f>IFERROR(__xludf.DUMMYFUNCTION("""COMPUTED_VALUE"""),"")</f>
        <v/>
      </c>
      <c r="G447" s="10" t="str">
        <f>IFERROR(__xludf.DUMMYFUNCTION("""COMPUTED_VALUE"""),"#VALUE!")</f>
        <v>#VALUE!</v>
      </c>
      <c r="H447" s="10" t="str">
        <f>IFERROR(__xludf.DUMMYFUNCTION("""COMPUTED_VALUE"""),"")</f>
        <v/>
      </c>
    </row>
    <row r="448">
      <c r="E448" s="10" t="str">
        <f>IFERROR(__xludf.DUMMYFUNCTION("""COMPUTED_VALUE"""),"#VALUE!")</f>
        <v>#VALUE!</v>
      </c>
      <c r="F448" s="10" t="str">
        <f>IFERROR(__xludf.DUMMYFUNCTION("""COMPUTED_VALUE"""),"")</f>
        <v/>
      </c>
      <c r="G448" s="10" t="str">
        <f>IFERROR(__xludf.DUMMYFUNCTION("""COMPUTED_VALUE"""),"#VALUE!")</f>
        <v>#VALUE!</v>
      </c>
      <c r="H448" s="10" t="str">
        <f>IFERROR(__xludf.DUMMYFUNCTION("""COMPUTED_VALUE"""),"")</f>
        <v/>
      </c>
    </row>
    <row r="449">
      <c r="E449" s="10" t="str">
        <f>IFERROR(__xludf.DUMMYFUNCTION("""COMPUTED_VALUE"""),"#VALUE!")</f>
        <v>#VALUE!</v>
      </c>
      <c r="F449" s="10" t="str">
        <f>IFERROR(__xludf.DUMMYFUNCTION("""COMPUTED_VALUE"""),"")</f>
        <v/>
      </c>
      <c r="G449" s="10" t="str">
        <f>IFERROR(__xludf.DUMMYFUNCTION("""COMPUTED_VALUE"""),"#VALUE!")</f>
        <v>#VALUE!</v>
      </c>
      <c r="H449" s="10" t="str">
        <f>IFERROR(__xludf.DUMMYFUNCTION("""COMPUTED_VALUE"""),"")</f>
        <v/>
      </c>
    </row>
    <row r="450">
      <c r="E450" s="10" t="str">
        <f>IFERROR(__xludf.DUMMYFUNCTION("""COMPUTED_VALUE"""),"#VALUE!")</f>
        <v>#VALUE!</v>
      </c>
      <c r="F450" s="10" t="str">
        <f>IFERROR(__xludf.DUMMYFUNCTION("""COMPUTED_VALUE"""),"")</f>
        <v/>
      </c>
      <c r="G450" s="10" t="str">
        <f>IFERROR(__xludf.DUMMYFUNCTION("""COMPUTED_VALUE"""),"#VALUE!")</f>
        <v>#VALUE!</v>
      </c>
      <c r="H450" s="10" t="str">
        <f>IFERROR(__xludf.DUMMYFUNCTION("""COMPUTED_VALUE"""),"")</f>
        <v/>
      </c>
    </row>
    <row r="451">
      <c r="E451" s="10" t="str">
        <f>IFERROR(__xludf.DUMMYFUNCTION("""COMPUTED_VALUE"""),"#VALUE!")</f>
        <v>#VALUE!</v>
      </c>
      <c r="F451" s="10" t="str">
        <f>IFERROR(__xludf.DUMMYFUNCTION("""COMPUTED_VALUE"""),"")</f>
        <v/>
      </c>
      <c r="G451" s="10" t="str">
        <f>IFERROR(__xludf.DUMMYFUNCTION("""COMPUTED_VALUE"""),"#VALUE!")</f>
        <v>#VALUE!</v>
      </c>
      <c r="H451" s="10" t="str">
        <f>IFERROR(__xludf.DUMMYFUNCTION("""COMPUTED_VALUE"""),"")</f>
        <v/>
      </c>
    </row>
    <row r="452">
      <c r="E452" s="10" t="str">
        <f>IFERROR(__xludf.DUMMYFUNCTION("""COMPUTED_VALUE"""),"#VALUE!")</f>
        <v>#VALUE!</v>
      </c>
      <c r="F452" s="10" t="str">
        <f>IFERROR(__xludf.DUMMYFUNCTION("""COMPUTED_VALUE"""),"")</f>
        <v/>
      </c>
      <c r="G452" s="10" t="str">
        <f>IFERROR(__xludf.DUMMYFUNCTION("""COMPUTED_VALUE"""),"#VALUE!")</f>
        <v>#VALUE!</v>
      </c>
      <c r="H452" s="10" t="str">
        <f>IFERROR(__xludf.DUMMYFUNCTION("""COMPUTED_VALUE"""),"")</f>
        <v/>
      </c>
    </row>
    <row r="453">
      <c r="E453" s="10" t="str">
        <f>IFERROR(__xludf.DUMMYFUNCTION("""COMPUTED_VALUE"""),"#VALUE!")</f>
        <v>#VALUE!</v>
      </c>
      <c r="F453" s="10" t="str">
        <f>IFERROR(__xludf.DUMMYFUNCTION("""COMPUTED_VALUE"""),"")</f>
        <v/>
      </c>
      <c r="G453" s="10" t="str">
        <f>IFERROR(__xludf.DUMMYFUNCTION("""COMPUTED_VALUE"""),"#VALUE!")</f>
        <v>#VALUE!</v>
      </c>
      <c r="H453" s="10" t="str">
        <f>IFERROR(__xludf.DUMMYFUNCTION("""COMPUTED_VALUE"""),"")</f>
        <v/>
      </c>
    </row>
    <row r="454">
      <c r="E454" s="10" t="str">
        <f>IFERROR(__xludf.DUMMYFUNCTION("""COMPUTED_VALUE"""),"#VALUE!")</f>
        <v>#VALUE!</v>
      </c>
      <c r="F454" s="10" t="str">
        <f>IFERROR(__xludf.DUMMYFUNCTION("""COMPUTED_VALUE"""),"")</f>
        <v/>
      </c>
      <c r="G454" s="10" t="str">
        <f>IFERROR(__xludf.DUMMYFUNCTION("""COMPUTED_VALUE"""),"#VALUE!")</f>
        <v>#VALUE!</v>
      </c>
      <c r="H454" s="10" t="str">
        <f>IFERROR(__xludf.DUMMYFUNCTION("""COMPUTED_VALUE"""),"")</f>
        <v/>
      </c>
    </row>
    <row r="455">
      <c r="E455" s="10" t="str">
        <f>IFERROR(__xludf.DUMMYFUNCTION("""COMPUTED_VALUE"""),"#VALUE!")</f>
        <v>#VALUE!</v>
      </c>
      <c r="F455" s="10" t="str">
        <f>IFERROR(__xludf.DUMMYFUNCTION("""COMPUTED_VALUE"""),"")</f>
        <v/>
      </c>
      <c r="G455" s="10" t="str">
        <f>IFERROR(__xludf.DUMMYFUNCTION("""COMPUTED_VALUE"""),"#VALUE!")</f>
        <v>#VALUE!</v>
      </c>
      <c r="H455" s="10" t="str">
        <f>IFERROR(__xludf.DUMMYFUNCTION("""COMPUTED_VALUE"""),"")</f>
        <v/>
      </c>
    </row>
    <row r="456">
      <c r="E456" s="10" t="str">
        <f>IFERROR(__xludf.DUMMYFUNCTION("""COMPUTED_VALUE"""),"#VALUE!")</f>
        <v>#VALUE!</v>
      </c>
      <c r="F456" s="10" t="str">
        <f>IFERROR(__xludf.DUMMYFUNCTION("""COMPUTED_VALUE"""),"")</f>
        <v/>
      </c>
      <c r="G456" s="10" t="str">
        <f>IFERROR(__xludf.DUMMYFUNCTION("""COMPUTED_VALUE"""),"#VALUE!")</f>
        <v>#VALUE!</v>
      </c>
      <c r="H456" s="10" t="str">
        <f>IFERROR(__xludf.DUMMYFUNCTION("""COMPUTED_VALUE"""),"")</f>
        <v/>
      </c>
    </row>
    <row r="457">
      <c r="E457" s="10" t="str">
        <f>IFERROR(__xludf.DUMMYFUNCTION("""COMPUTED_VALUE"""),"#VALUE!")</f>
        <v>#VALUE!</v>
      </c>
      <c r="F457" s="10" t="str">
        <f>IFERROR(__xludf.DUMMYFUNCTION("""COMPUTED_VALUE"""),"")</f>
        <v/>
      </c>
      <c r="G457" s="10" t="str">
        <f>IFERROR(__xludf.DUMMYFUNCTION("""COMPUTED_VALUE"""),"#VALUE!")</f>
        <v>#VALUE!</v>
      </c>
      <c r="H457" s="10" t="str">
        <f>IFERROR(__xludf.DUMMYFUNCTION("""COMPUTED_VALUE"""),"")</f>
        <v/>
      </c>
    </row>
    <row r="458">
      <c r="E458" s="10" t="str">
        <f>IFERROR(__xludf.DUMMYFUNCTION("""COMPUTED_VALUE"""),"#VALUE!")</f>
        <v>#VALUE!</v>
      </c>
      <c r="F458" s="10" t="str">
        <f>IFERROR(__xludf.DUMMYFUNCTION("""COMPUTED_VALUE"""),"")</f>
        <v/>
      </c>
      <c r="G458" s="10" t="str">
        <f>IFERROR(__xludf.DUMMYFUNCTION("""COMPUTED_VALUE"""),"#VALUE!")</f>
        <v>#VALUE!</v>
      </c>
      <c r="H458" s="10" t="str">
        <f>IFERROR(__xludf.DUMMYFUNCTION("""COMPUTED_VALUE"""),"")</f>
        <v/>
      </c>
    </row>
    <row r="459">
      <c r="E459" s="10" t="str">
        <f>IFERROR(__xludf.DUMMYFUNCTION("""COMPUTED_VALUE"""),"#VALUE!")</f>
        <v>#VALUE!</v>
      </c>
      <c r="F459" s="10" t="str">
        <f>IFERROR(__xludf.DUMMYFUNCTION("""COMPUTED_VALUE"""),"")</f>
        <v/>
      </c>
      <c r="G459" s="10" t="str">
        <f>IFERROR(__xludf.DUMMYFUNCTION("""COMPUTED_VALUE"""),"#VALUE!")</f>
        <v>#VALUE!</v>
      </c>
      <c r="H459" s="10" t="str">
        <f>IFERROR(__xludf.DUMMYFUNCTION("""COMPUTED_VALUE"""),"")</f>
        <v/>
      </c>
    </row>
    <row r="460">
      <c r="E460" s="10" t="str">
        <f>IFERROR(__xludf.DUMMYFUNCTION("""COMPUTED_VALUE"""),"#VALUE!")</f>
        <v>#VALUE!</v>
      </c>
      <c r="F460" s="10" t="str">
        <f>IFERROR(__xludf.DUMMYFUNCTION("""COMPUTED_VALUE"""),"")</f>
        <v/>
      </c>
      <c r="G460" s="10" t="str">
        <f>IFERROR(__xludf.DUMMYFUNCTION("""COMPUTED_VALUE"""),"#VALUE!")</f>
        <v>#VALUE!</v>
      </c>
      <c r="H460" s="10" t="str">
        <f>IFERROR(__xludf.DUMMYFUNCTION("""COMPUTED_VALUE"""),"")</f>
        <v/>
      </c>
    </row>
    <row r="461">
      <c r="E461" s="10" t="str">
        <f>IFERROR(__xludf.DUMMYFUNCTION("""COMPUTED_VALUE"""),"#VALUE!")</f>
        <v>#VALUE!</v>
      </c>
      <c r="F461" s="10" t="str">
        <f>IFERROR(__xludf.DUMMYFUNCTION("""COMPUTED_VALUE"""),"")</f>
        <v/>
      </c>
      <c r="G461" s="10" t="str">
        <f>IFERROR(__xludf.DUMMYFUNCTION("""COMPUTED_VALUE"""),"#VALUE!")</f>
        <v>#VALUE!</v>
      </c>
      <c r="H461" s="10" t="str">
        <f>IFERROR(__xludf.DUMMYFUNCTION("""COMPUTED_VALUE"""),"")</f>
        <v/>
      </c>
    </row>
    <row r="462">
      <c r="E462" s="10" t="str">
        <f>IFERROR(__xludf.DUMMYFUNCTION("""COMPUTED_VALUE"""),"#VALUE!")</f>
        <v>#VALUE!</v>
      </c>
      <c r="F462" s="10" t="str">
        <f>IFERROR(__xludf.DUMMYFUNCTION("""COMPUTED_VALUE"""),"")</f>
        <v/>
      </c>
      <c r="G462" s="10" t="str">
        <f>IFERROR(__xludf.DUMMYFUNCTION("""COMPUTED_VALUE"""),"#VALUE!")</f>
        <v>#VALUE!</v>
      </c>
      <c r="H462" s="10" t="str">
        <f>IFERROR(__xludf.DUMMYFUNCTION("""COMPUTED_VALUE"""),"")</f>
        <v/>
      </c>
    </row>
    <row r="463">
      <c r="E463" s="10" t="str">
        <f>IFERROR(__xludf.DUMMYFUNCTION("""COMPUTED_VALUE"""),"#VALUE!")</f>
        <v>#VALUE!</v>
      </c>
      <c r="F463" s="10" t="str">
        <f>IFERROR(__xludf.DUMMYFUNCTION("""COMPUTED_VALUE"""),"")</f>
        <v/>
      </c>
      <c r="G463" s="10" t="str">
        <f>IFERROR(__xludf.DUMMYFUNCTION("""COMPUTED_VALUE"""),"#VALUE!")</f>
        <v>#VALUE!</v>
      </c>
      <c r="H463" s="10" t="str">
        <f>IFERROR(__xludf.DUMMYFUNCTION("""COMPUTED_VALUE"""),"")</f>
        <v/>
      </c>
    </row>
    <row r="464">
      <c r="E464" s="10" t="str">
        <f>IFERROR(__xludf.DUMMYFUNCTION("""COMPUTED_VALUE"""),"#VALUE!")</f>
        <v>#VALUE!</v>
      </c>
      <c r="F464" s="10" t="str">
        <f>IFERROR(__xludf.DUMMYFUNCTION("""COMPUTED_VALUE"""),"")</f>
        <v/>
      </c>
      <c r="G464" s="10" t="str">
        <f>IFERROR(__xludf.DUMMYFUNCTION("""COMPUTED_VALUE"""),"#VALUE!")</f>
        <v>#VALUE!</v>
      </c>
      <c r="H464" s="10" t="str">
        <f>IFERROR(__xludf.DUMMYFUNCTION("""COMPUTED_VALUE"""),"")</f>
        <v/>
      </c>
    </row>
    <row r="465">
      <c r="E465" s="10" t="str">
        <f>IFERROR(__xludf.DUMMYFUNCTION("""COMPUTED_VALUE"""),"#VALUE!")</f>
        <v>#VALUE!</v>
      </c>
      <c r="F465" s="10" t="str">
        <f>IFERROR(__xludf.DUMMYFUNCTION("""COMPUTED_VALUE"""),"")</f>
        <v/>
      </c>
      <c r="G465" s="10" t="str">
        <f>IFERROR(__xludf.DUMMYFUNCTION("""COMPUTED_VALUE"""),"#VALUE!")</f>
        <v>#VALUE!</v>
      </c>
      <c r="H465" s="10" t="str">
        <f>IFERROR(__xludf.DUMMYFUNCTION("""COMPUTED_VALUE"""),"")</f>
        <v/>
      </c>
    </row>
    <row r="466">
      <c r="E466" s="10" t="str">
        <f>IFERROR(__xludf.DUMMYFUNCTION("""COMPUTED_VALUE"""),"#VALUE!")</f>
        <v>#VALUE!</v>
      </c>
      <c r="F466" s="10" t="str">
        <f>IFERROR(__xludf.DUMMYFUNCTION("""COMPUTED_VALUE"""),"")</f>
        <v/>
      </c>
      <c r="G466" s="10" t="str">
        <f>IFERROR(__xludf.DUMMYFUNCTION("""COMPUTED_VALUE"""),"#VALUE!")</f>
        <v>#VALUE!</v>
      </c>
      <c r="H466" s="10" t="str">
        <f>IFERROR(__xludf.DUMMYFUNCTION("""COMPUTED_VALUE"""),"")</f>
        <v/>
      </c>
    </row>
    <row r="467">
      <c r="E467" s="10" t="str">
        <f>IFERROR(__xludf.DUMMYFUNCTION("""COMPUTED_VALUE"""),"#VALUE!")</f>
        <v>#VALUE!</v>
      </c>
      <c r="F467" s="10" t="str">
        <f>IFERROR(__xludf.DUMMYFUNCTION("""COMPUTED_VALUE"""),"")</f>
        <v/>
      </c>
      <c r="G467" s="10" t="str">
        <f>IFERROR(__xludf.DUMMYFUNCTION("""COMPUTED_VALUE"""),"#VALUE!")</f>
        <v>#VALUE!</v>
      </c>
      <c r="H467" s="10" t="str">
        <f>IFERROR(__xludf.DUMMYFUNCTION("""COMPUTED_VALUE"""),"")</f>
        <v/>
      </c>
    </row>
    <row r="468">
      <c r="E468" s="10" t="str">
        <f>IFERROR(__xludf.DUMMYFUNCTION("""COMPUTED_VALUE"""),"#VALUE!")</f>
        <v>#VALUE!</v>
      </c>
      <c r="F468" s="10" t="str">
        <f>IFERROR(__xludf.DUMMYFUNCTION("""COMPUTED_VALUE"""),"")</f>
        <v/>
      </c>
      <c r="G468" s="10" t="str">
        <f>IFERROR(__xludf.DUMMYFUNCTION("""COMPUTED_VALUE"""),"#VALUE!")</f>
        <v>#VALUE!</v>
      </c>
      <c r="H468" s="10" t="str">
        <f>IFERROR(__xludf.DUMMYFUNCTION("""COMPUTED_VALUE"""),"")</f>
        <v/>
      </c>
    </row>
    <row r="469">
      <c r="E469" s="10" t="str">
        <f>IFERROR(__xludf.DUMMYFUNCTION("""COMPUTED_VALUE"""),"#VALUE!")</f>
        <v>#VALUE!</v>
      </c>
      <c r="F469" s="10" t="str">
        <f>IFERROR(__xludf.DUMMYFUNCTION("""COMPUTED_VALUE"""),"")</f>
        <v/>
      </c>
      <c r="G469" s="10" t="str">
        <f>IFERROR(__xludf.DUMMYFUNCTION("""COMPUTED_VALUE"""),"#VALUE!")</f>
        <v>#VALUE!</v>
      </c>
      <c r="H469" s="10" t="str">
        <f>IFERROR(__xludf.DUMMYFUNCTION("""COMPUTED_VALUE"""),"")</f>
        <v/>
      </c>
    </row>
    <row r="470">
      <c r="E470" s="10" t="str">
        <f>IFERROR(__xludf.DUMMYFUNCTION("""COMPUTED_VALUE"""),"#VALUE!")</f>
        <v>#VALUE!</v>
      </c>
      <c r="F470" s="10" t="str">
        <f>IFERROR(__xludf.DUMMYFUNCTION("""COMPUTED_VALUE"""),"")</f>
        <v/>
      </c>
      <c r="G470" s="10" t="str">
        <f>IFERROR(__xludf.DUMMYFUNCTION("""COMPUTED_VALUE"""),"#VALUE!")</f>
        <v>#VALUE!</v>
      </c>
      <c r="H470" s="10" t="str">
        <f>IFERROR(__xludf.DUMMYFUNCTION("""COMPUTED_VALUE"""),"")</f>
        <v/>
      </c>
    </row>
    <row r="471">
      <c r="E471" s="10" t="str">
        <f>IFERROR(__xludf.DUMMYFUNCTION("""COMPUTED_VALUE"""),"#VALUE!")</f>
        <v>#VALUE!</v>
      </c>
      <c r="F471" s="10" t="str">
        <f>IFERROR(__xludf.DUMMYFUNCTION("""COMPUTED_VALUE"""),"")</f>
        <v/>
      </c>
      <c r="G471" s="10" t="str">
        <f>IFERROR(__xludf.DUMMYFUNCTION("""COMPUTED_VALUE"""),"#VALUE!")</f>
        <v>#VALUE!</v>
      </c>
      <c r="H471" s="10" t="str">
        <f>IFERROR(__xludf.DUMMYFUNCTION("""COMPUTED_VALUE"""),"")</f>
        <v/>
      </c>
    </row>
    <row r="472">
      <c r="E472" s="10" t="str">
        <f>IFERROR(__xludf.DUMMYFUNCTION("""COMPUTED_VALUE"""),"#VALUE!")</f>
        <v>#VALUE!</v>
      </c>
      <c r="F472" s="10" t="str">
        <f>IFERROR(__xludf.DUMMYFUNCTION("""COMPUTED_VALUE"""),"")</f>
        <v/>
      </c>
      <c r="G472" s="10" t="str">
        <f>IFERROR(__xludf.DUMMYFUNCTION("""COMPUTED_VALUE"""),"#VALUE!")</f>
        <v>#VALUE!</v>
      </c>
      <c r="H472" s="10" t="str">
        <f>IFERROR(__xludf.DUMMYFUNCTION("""COMPUTED_VALUE"""),"")</f>
        <v/>
      </c>
    </row>
    <row r="473">
      <c r="E473" s="10" t="str">
        <f>IFERROR(__xludf.DUMMYFUNCTION("""COMPUTED_VALUE"""),"#VALUE!")</f>
        <v>#VALUE!</v>
      </c>
      <c r="F473" s="10" t="str">
        <f>IFERROR(__xludf.DUMMYFUNCTION("""COMPUTED_VALUE"""),"")</f>
        <v/>
      </c>
      <c r="G473" s="10" t="str">
        <f>IFERROR(__xludf.DUMMYFUNCTION("""COMPUTED_VALUE"""),"#VALUE!")</f>
        <v>#VALUE!</v>
      </c>
      <c r="H473" s="10" t="str">
        <f>IFERROR(__xludf.DUMMYFUNCTION("""COMPUTED_VALUE"""),"")</f>
        <v/>
      </c>
    </row>
    <row r="474">
      <c r="E474" s="10" t="str">
        <f>IFERROR(__xludf.DUMMYFUNCTION("""COMPUTED_VALUE"""),"#VALUE!")</f>
        <v>#VALUE!</v>
      </c>
      <c r="F474" s="10" t="str">
        <f>IFERROR(__xludf.DUMMYFUNCTION("""COMPUTED_VALUE"""),"")</f>
        <v/>
      </c>
      <c r="G474" s="10" t="str">
        <f>IFERROR(__xludf.DUMMYFUNCTION("""COMPUTED_VALUE"""),"#VALUE!")</f>
        <v>#VALUE!</v>
      </c>
      <c r="H474" s="10" t="str">
        <f>IFERROR(__xludf.DUMMYFUNCTION("""COMPUTED_VALUE"""),"")</f>
        <v/>
      </c>
    </row>
    <row r="475">
      <c r="E475" s="10" t="str">
        <f>IFERROR(__xludf.DUMMYFUNCTION("""COMPUTED_VALUE"""),"#VALUE!")</f>
        <v>#VALUE!</v>
      </c>
      <c r="F475" s="10" t="str">
        <f>IFERROR(__xludf.DUMMYFUNCTION("""COMPUTED_VALUE"""),"")</f>
        <v/>
      </c>
      <c r="G475" s="10" t="str">
        <f>IFERROR(__xludf.DUMMYFUNCTION("""COMPUTED_VALUE"""),"#VALUE!")</f>
        <v>#VALUE!</v>
      </c>
      <c r="H475" s="10" t="str">
        <f>IFERROR(__xludf.DUMMYFUNCTION("""COMPUTED_VALUE"""),"")</f>
        <v/>
      </c>
    </row>
    <row r="476">
      <c r="E476" s="10" t="str">
        <f>IFERROR(__xludf.DUMMYFUNCTION("""COMPUTED_VALUE"""),"#VALUE!")</f>
        <v>#VALUE!</v>
      </c>
      <c r="F476" s="10" t="str">
        <f>IFERROR(__xludf.DUMMYFUNCTION("""COMPUTED_VALUE"""),"")</f>
        <v/>
      </c>
      <c r="G476" s="10" t="str">
        <f>IFERROR(__xludf.DUMMYFUNCTION("""COMPUTED_VALUE"""),"#VALUE!")</f>
        <v>#VALUE!</v>
      </c>
      <c r="H476" s="10" t="str">
        <f>IFERROR(__xludf.DUMMYFUNCTION("""COMPUTED_VALUE"""),"")</f>
        <v/>
      </c>
    </row>
    <row r="477">
      <c r="E477" s="10" t="str">
        <f>IFERROR(__xludf.DUMMYFUNCTION("""COMPUTED_VALUE"""),"#VALUE!")</f>
        <v>#VALUE!</v>
      </c>
      <c r="F477" s="10" t="str">
        <f>IFERROR(__xludf.DUMMYFUNCTION("""COMPUTED_VALUE"""),"")</f>
        <v/>
      </c>
      <c r="G477" s="10" t="str">
        <f>IFERROR(__xludf.DUMMYFUNCTION("""COMPUTED_VALUE"""),"#VALUE!")</f>
        <v>#VALUE!</v>
      </c>
      <c r="H477" s="10" t="str">
        <f>IFERROR(__xludf.DUMMYFUNCTION("""COMPUTED_VALUE"""),"")</f>
        <v/>
      </c>
    </row>
    <row r="478">
      <c r="E478" s="10" t="str">
        <f>IFERROR(__xludf.DUMMYFUNCTION("""COMPUTED_VALUE"""),"#VALUE!")</f>
        <v>#VALUE!</v>
      </c>
      <c r="F478" s="10" t="str">
        <f>IFERROR(__xludf.DUMMYFUNCTION("""COMPUTED_VALUE"""),"")</f>
        <v/>
      </c>
      <c r="G478" s="10" t="str">
        <f>IFERROR(__xludf.DUMMYFUNCTION("""COMPUTED_VALUE"""),"#VALUE!")</f>
        <v>#VALUE!</v>
      </c>
      <c r="H478" s="10" t="str">
        <f>IFERROR(__xludf.DUMMYFUNCTION("""COMPUTED_VALUE"""),"")</f>
        <v/>
      </c>
    </row>
    <row r="479">
      <c r="E479" s="10" t="str">
        <f>IFERROR(__xludf.DUMMYFUNCTION("""COMPUTED_VALUE"""),"#VALUE!")</f>
        <v>#VALUE!</v>
      </c>
      <c r="F479" s="10" t="str">
        <f>IFERROR(__xludf.DUMMYFUNCTION("""COMPUTED_VALUE"""),"")</f>
        <v/>
      </c>
      <c r="G479" s="10" t="str">
        <f>IFERROR(__xludf.DUMMYFUNCTION("""COMPUTED_VALUE"""),"#VALUE!")</f>
        <v>#VALUE!</v>
      </c>
      <c r="H479" s="10" t="str">
        <f>IFERROR(__xludf.DUMMYFUNCTION("""COMPUTED_VALUE"""),"")</f>
        <v/>
      </c>
    </row>
    <row r="480">
      <c r="E480" s="10" t="str">
        <f>IFERROR(__xludf.DUMMYFUNCTION("""COMPUTED_VALUE"""),"#VALUE!")</f>
        <v>#VALUE!</v>
      </c>
      <c r="F480" s="10" t="str">
        <f>IFERROR(__xludf.DUMMYFUNCTION("""COMPUTED_VALUE"""),"")</f>
        <v/>
      </c>
      <c r="G480" s="10" t="str">
        <f>IFERROR(__xludf.DUMMYFUNCTION("""COMPUTED_VALUE"""),"#VALUE!")</f>
        <v>#VALUE!</v>
      </c>
      <c r="H480" s="10" t="str">
        <f>IFERROR(__xludf.DUMMYFUNCTION("""COMPUTED_VALUE"""),"")</f>
        <v/>
      </c>
    </row>
    <row r="481">
      <c r="E481" s="10" t="str">
        <f>IFERROR(__xludf.DUMMYFUNCTION("""COMPUTED_VALUE"""),"#VALUE!")</f>
        <v>#VALUE!</v>
      </c>
      <c r="F481" s="10" t="str">
        <f>IFERROR(__xludf.DUMMYFUNCTION("""COMPUTED_VALUE"""),"")</f>
        <v/>
      </c>
      <c r="G481" s="10" t="str">
        <f>IFERROR(__xludf.DUMMYFUNCTION("""COMPUTED_VALUE"""),"#VALUE!")</f>
        <v>#VALUE!</v>
      </c>
      <c r="H481" s="10" t="str">
        <f>IFERROR(__xludf.DUMMYFUNCTION("""COMPUTED_VALUE"""),"")</f>
        <v/>
      </c>
    </row>
    <row r="482">
      <c r="E482" s="10" t="str">
        <f>IFERROR(__xludf.DUMMYFUNCTION("""COMPUTED_VALUE"""),"#VALUE!")</f>
        <v>#VALUE!</v>
      </c>
      <c r="F482" s="10" t="str">
        <f>IFERROR(__xludf.DUMMYFUNCTION("""COMPUTED_VALUE"""),"")</f>
        <v/>
      </c>
      <c r="G482" s="10" t="str">
        <f>IFERROR(__xludf.DUMMYFUNCTION("""COMPUTED_VALUE"""),"#VALUE!")</f>
        <v>#VALUE!</v>
      </c>
      <c r="H482" s="10" t="str">
        <f>IFERROR(__xludf.DUMMYFUNCTION("""COMPUTED_VALUE"""),"")</f>
        <v/>
      </c>
    </row>
    <row r="483">
      <c r="E483" s="10" t="str">
        <f>IFERROR(__xludf.DUMMYFUNCTION("""COMPUTED_VALUE"""),"#VALUE!")</f>
        <v>#VALUE!</v>
      </c>
      <c r="F483" s="10" t="str">
        <f>IFERROR(__xludf.DUMMYFUNCTION("""COMPUTED_VALUE"""),"")</f>
        <v/>
      </c>
      <c r="G483" s="10" t="str">
        <f>IFERROR(__xludf.DUMMYFUNCTION("""COMPUTED_VALUE"""),"#VALUE!")</f>
        <v>#VALUE!</v>
      </c>
      <c r="H483" s="10" t="str">
        <f>IFERROR(__xludf.DUMMYFUNCTION("""COMPUTED_VALUE"""),"")</f>
        <v/>
      </c>
    </row>
    <row r="484">
      <c r="E484" s="10" t="str">
        <f>IFERROR(__xludf.DUMMYFUNCTION("""COMPUTED_VALUE"""),"#VALUE!")</f>
        <v>#VALUE!</v>
      </c>
      <c r="F484" s="10" t="str">
        <f>IFERROR(__xludf.DUMMYFUNCTION("""COMPUTED_VALUE"""),"")</f>
        <v/>
      </c>
      <c r="G484" s="10" t="str">
        <f>IFERROR(__xludf.DUMMYFUNCTION("""COMPUTED_VALUE"""),"#VALUE!")</f>
        <v>#VALUE!</v>
      </c>
      <c r="H484" s="10" t="str">
        <f>IFERROR(__xludf.DUMMYFUNCTION("""COMPUTED_VALUE"""),"")</f>
        <v/>
      </c>
    </row>
    <row r="485">
      <c r="E485" s="10" t="str">
        <f>IFERROR(__xludf.DUMMYFUNCTION("""COMPUTED_VALUE"""),"#VALUE!")</f>
        <v>#VALUE!</v>
      </c>
      <c r="F485" s="10" t="str">
        <f>IFERROR(__xludf.DUMMYFUNCTION("""COMPUTED_VALUE"""),"")</f>
        <v/>
      </c>
      <c r="G485" s="10" t="str">
        <f>IFERROR(__xludf.DUMMYFUNCTION("""COMPUTED_VALUE"""),"#VALUE!")</f>
        <v>#VALUE!</v>
      </c>
      <c r="H485" s="10" t="str">
        <f>IFERROR(__xludf.DUMMYFUNCTION("""COMPUTED_VALUE"""),"")</f>
        <v/>
      </c>
    </row>
    <row r="486">
      <c r="E486" s="10" t="str">
        <f>IFERROR(__xludf.DUMMYFUNCTION("""COMPUTED_VALUE"""),"#VALUE!")</f>
        <v>#VALUE!</v>
      </c>
      <c r="F486" s="10" t="str">
        <f>IFERROR(__xludf.DUMMYFUNCTION("""COMPUTED_VALUE"""),"")</f>
        <v/>
      </c>
      <c r="G486" s="10" t="str">
        <f>IFERROR(__xludf.DUMMYFUNCTION("""COMPUTED_VALUE"""),"#VALUE!")</f>
        <v>#VALUE!</v>
      </c>
      <c r="H486" s="10" t="str">
        <f>IFERROR(__xludf.DUMMYFUNCTION("""COMPUTED_VALUE"""),"")</f>
        <v/>
      </c>
    </row>
    <row r="487">
      <c r="E487" s="10" t="str">
        <f>IFERROR(__xludf.DUMMYFUNCTION("""COMPUTED_VALUE"""),"#VALUE!")</f>
        <v>#VALUE!</v>
      </c>
      <c r="F487" s="10" t="str">
        <f>IFERROR(__xludf.DUMMYFUNCTION("""COMPUTED_VALUE"""),"")</f>
        <v/>
      </c>
      <c r="G487" s="10" t="str">
        <f>IFERROR(__xludf.DUMMYFUNCTION("""COMPUTED_VALUE"""),"#VALUE!")</f>
        <v>#VALUE!</v>
      </c>
      <c r="H487" s="10" t="str">
        <f>IFERROR(__xludf.DUMMYFUNCTION("""COMPUTED_VALUE"""),"")</f>
        <v/>
      </c>
    </row>
    <row r="488">
      <c r="E488" s="10" t="str">
        <f>IFERROR(__xludf.DUMMYFUNCTION("""COMPUTED_VALUE"""),"#VALUE!")</f>
        <v>#VALUE!</v>
      </c>
      <c r="F488" s="10" t="str">
        <f>IFERROR(__xludf.DUMMYFUNCTION("""COMPUTED_VALUE"""),"")</f>
        <v/>
      </c>
      <c r="G488" s="10" t="str">
        <f>IFERROR(__xludf.DUMMYFUNCTION("""COMPUTED_VALUE"""),"#VALUE!")</f>
        <v>#VALUE!</v>
      </c>
      <c r="H488" s="10" t="str">
        <f>IFERROR(__xludf.DUMMYFUNCTION("""COMPUTED_VALUE"""),"")</f>
        <v/>
      </c>
    </row>
    <row r="489">
      <c r="E489" s="10" t="str">
        <f>IFERROR(__xludf.DUMMYFUNCTION("""COMPUTED_VALUE"""),"#VALUE!")</f>
        <v>#VALUE!</v>
      </c>
      <c r="F489" s="10" t="str">
        <f>IFERROR(__xludf.DUMMYFUNCTION("""COMPUTED_VALUE"""),"")</f>
        <v/>
      </c>
      <c r="G489" s="10" t="str">
        <f>IFERROR(__xludf.DUMMYFUNCTION("""COMPUTED_VALUE"""),"#VALUE!")</f>
        <v>#VALUE!</v>
      </c>
      <c r="H489" s="10" t="str">
        <f>IFERROR(__xludf.DUMMYFUNCTION("""COMPUTED_VALUE"""),"")</f>
        <v/>
      </c>
    </row>
    <row r="490">
      <c r="E490" s="10" t="str">
        <f>IFERROR(__xludf.DUMMYFUNCTION("""COMPUTED_VALUE"""),"#VALUE!")</f>
        <v>#VALUE!</v>
      </c>
      <c r="F490" s="10" t="str">
        <f>IFERROR(__xludf.DUMMYFUNCTION("""COMPUTED_VALUE"""),"")</f>
        <v/>
      </c>
      <c r="G490" s="10" t="str">
        <f>IFERROR(__xludf.DUMMYFUNCTION("""COMPUTED_VALUE"""),"#VALUE!")</f>
        <v>#VALUE!</v>
      </c>
      <c r="H490" s="10" t="str">
        <f>IFERROR(__xludf.DUMMYFUNCTION("""COMPUTED_VALUE"""),"")</f>
        <v/>
      </c>
    </row>
    <row r="491">
      <c r="E491" s="10" t="str">
        <f>IFERROR(__xludf.DUMMYFUNCTION("""COMPUTED_VALUE"""),"#VALUE!")</f>
        <v>#VALUE!</v>
      </c>
      <c r="F491" s="10" t="str">
        <f>IFERROR(__xludf.DUMMYFUNCTION("""COMPUTED_VALUE"""),"")</f>
        <v/>
      </c>
      <c r="G491" s="10" t="str">
        <f>IFERROR(__xludf.DUMMYFUNCTION("""COMPUTED_VALUE"""),"#VALUE!")</f>
        <v>#VALUE!</v>
      </c>
      <c r="H491" s="10" t="str">
        <f>IFERROR(__xludf.DUMMYFUNCTION("""COMPUTED_VALUE"""),"")</f>
        <v/>
      </c>
    </row>
    <row r="492">
      <c r="E492" s="10" t="str">
        <f>IFERROR(__xludf.DUMMYFUNCTION("""COMPUTED_VALUE"""),"#VALUE!")</f>
        <v>#VALUE!</v>
      </c>
      <c r="F492" s="10" t="str">
        <f>IFERROR(__xludf.DUMMYFUNCTION("""COMPUTED_VALUE"""),"")</f>
        <v/>
      </c>
      <c r="G492" s="10" t="str">
        <f>IFERROR(__xludf.DUMMYFUNCTION("""COMPUTED_VALUE"""),"#VALUE!")</f>
        <v>#VALUE!</v>
      </c>
      <c r="H492" s="10" t="str">
        <f>IFERROR(__xludf.DUMMYFUNCTION("""COMPUTED_VALUE"""),"")</f>
        <v/>
      </c>
    </row>
    <row r="493">
      <c r="E493" s="10" t="str">
        <f>IFERROR(__xludf.DUMMYFUNCTION("""COMPUTED_VALUE"""),"#VALUE!")</f>
        <v>#VALUE!</v>
      </c>
      <c r="F493" s="10" t="str">
        <f>IFERROR(__xludf.DUMMYFUNCTION("""COMPUTED_VALUE"""),"")</f>
        <v/>
      </c>
      <c r="G493" s="10" t="str">
        <f>IFERROR(__xludf.DUMMYFUNCTION("""COMPUTED_VALUE"""),"#VALUE!")</f>
        <v>#VALUE!</v>
      </c>
      <c r="H493" s="10" t="str">
        <f>IFERROR(__xludf.DUMMYFUNCTION("""COMPUTED_VALUE"""),"")</f>
        <v/>
      </c>
    </row>
    <row r="494">
      <c r="E494" s="10" t="str">
        <f>IFERROR(__xludf.DUMMYFUNCTION("""COMPUTED_VALUE"""),"#VALUE!")</f>
        <v>#VALUE!</v>
      </c>
      <c r="F494" s="10" t="str">
        <f>IFERROR(__xludf.DUMMYFUNCTION("""COMPUTED_VALUE"""),"")</f>
        <v/>
      </c>
      <c r="G494" s="10" t="str">
        <f>IFERROR(__xludf.DUMMYFUNCTION("""COMPUTED_VALUE"""),"#VALUE!")</f>
        <v>#VALUE!</v>
      </c>
      <c r="H494" s="10" t="str">
        <f>IFERROR(__xludf.DUMMYFUNCTION("""COMPUTED_VALUE"""),"")</f>
        <v/>
      </c>
    </row>
    <row r="495">
      <c r="E495" s="10" t="str">
        <f>IFERROR(__xludf.DUMMYFUNCTION("""COMPUTED_VALUE"""),"#VALUE!")</f>
        <v>#VALUE!</v>
      </c>
      <c r="F495" s="10" t="str">
        <f>IFERROR(__xludf.DUMMYFUNCTION("""COMPUTED_VALUE"""),"")</f>
        <v/>
      </c>
      <c r="G495" s="10" t="str">
        <f>IFERROR(__xludf.DUMMYFUNCTION("""COMPUTED_VALUE"""),"#VALUE!")</f>
        <v>#VALUE!</v>
      </c>
      <c r="H495" s="10" t="str">
        <f>IFERROR(__xludf.DUMMYFUNCTION("""COMPUTED_VALUE"""),"")</f>
        <v/>
      </c>
    </row>
    <row r="496">
      <c r="E496" s="10" t="str">
        <f>IFERROR(__xludf.DUMMYFUNCTION("""COMPUTED_VALUE"""),"#VALUE!")</f>
        <v>#VALUE!</v>
      </c>
      <c r="F496" s="10" t="str">
        <f>IFERROR(__xludf.DUMMYFUNCTION("""COMPUTED_VALUE"""),"")</f>
        <v/>
      </c>
      <c r="G496" s="10" t="str">
        <f>IFERROR(__xludf.DUMMYFUNCTION("""COMPUTED_VALUE"""),"#VALUE!")</f>
        <v>#VALUE!</v>
      </c>
      <c r="H496" s="10" t="str">
        <f>IFERROR(__xludf.DUMMYFUNCTION("""COMPUTED_VALUE"""),"")</f>
        <v/>
      </c>
    </row>
    <row r="497">
      <c r="E497" s="10" t="str">
        <f>IFERROR(__xludf.DUMMYFUNCTION("""COMPUTED_VALUE"""),"#VALUE!")</f>
        <v>#VALUE!</v>
      </c>
      <c r="F497" s="10" t="str">
        <f>IFERROR(__xludf.DUMMYFUNCTION("""COMPUTED_VALUE"""),"")</f>
        <v/>
      </c>
      <c r="G497" s="10" t="str">
        <f>IFERROR(__xludf.DUMMYFUNCTION("""COMPUTED_VALUE"""),"#VALUE!")</f>
        <v>#VALUE!</v>
      </c>
      <c r="H497" s="10" t="str">
        <f>IFERROR(__xludf.DUMMYFUNCTION("""COMPUTED_VALUE"""),"")</f>
        <v/>
      </c>
    </row>
    <row r="498">
      <c r="E498" s="10" t="str">
        <f>IFERROR(__xludf.DUMMYFUNCTION("""COMPUTED_VALUE"""),"#VALUE!")</f>
        <v>#VALUE!</v>
      </c>
      <c r="F498" s="10" t="str">
        <f>IFERROR(__xludf.DUMMYFUNCTION("""COMPUTED_VALUE"""),"")</f>
        <v/>
      </c>
      <c r="G498" s="10" t="str">
        <f>IFERROR(__xludf.DUMMYFUNCTION("""COMPUTED_VALUE"""),"#VALUE!")</f>
        <v>#VALUE!</v>
      </c>
      <c r="H498" s="10" t="str">
        <f>IFERROR(__xludf.DUMMYFUNCTION("""COMPUTED_VALUE"""),"")</f>
        <v/>
      </c>
    </row>
    <row r="499">
      <c r="E499" s="10" t="str">
        <f>IFERROR(__xludf.DUMMYFUNCTION("""COMPUTED_VALUE"""),"#VALUE!")</f>
        <v>#VALUE!</v>
      </c>
      <c r="F499" s="10" t="str">
        <f>IFERROR(__xludf.DUMMYFUNCTION("""COMPUTED_VALUE"""),"")</f>
        <v/>
      </c>
      <c r="G499" s="10" t="str">
        <f>IFERROR(__xludf.DUMMYFUNCTION("""COMPUTED_VALUE"""),"#VALUE!")</f>
        <v>#VALUE!</v>
      </c>
      <c r="H499" s="10" t="str">
        <f>IFERROR(__xludf.DUMMYFUNCTION("""COMPUTED_VALUE"""),"")</f>
        <v/>
      </c>
    </row>
    <row r="500">
      <c r="E500" s="10" t="str">
        <f>IFERROR(__xludf.DUMMYFUNCTION("""COMPUTED_VALUE"""),"#VALUE!")</f>
        <v>#VALUE!</v>
      </c>
      <c r="F500" s="10" t="str">
        <f>IFERROR(__xludf.DUMMYFUNCTION("""COMPUTED_VALUE"""),"")</f>
        <v/>
      </c>
      <c r="G500" s="10" t="str">
        <f>IFERROR(__xludf.DUMMYFUNCTION("""COMPUTED_VALUE"""),"#VALUE!")</f>
        <v>#VALUE!</v>
      </c>
      <c r="H500" s="10" t="str">
        <f>IFERROR(__xludf.DUMMYFUNCTION("""COMPUTED_VALUE"""),"")</f>
        <v/>
      </c>
    </row>
    <row r="501">
      <c r="E501" s="10" t="str">
        <f>IFERROR(__xludf.DUMMYFUNCTION("""COMPUTED_VALUE"""),"#VALUE!")</f>
        <v>#VALUE!</v>
      </c>
      <c r="F501" s="10" t="str">
        <f>IFERROR(__xludf.DUMMYFUNCTION("""COMPUTED_VALUE"""),"")</f>
        <v/>
      </c>
      <c r="G501" s="10" t="str">
        <f>IFERROR(__xludf.DUMMYFUNCTION("""COMPUTED_VALUE"""),"#VALUE!")</f>
        <v>#VALUE!</v>
      </c>
      <c r="H501" s="10" t="str">
        <f>IFERROR(__xludf.DUMMYFUNCTION("""COMPUTED_VALUE"""),"")</f>
        <v/>
      </c>
    </row>
    <row r="502">
      <c r="E502" s="10" t="str">
        <f>IFERROR(__xludf.DUMMYFUNCTION("""COMPUTED_VALUE"""),"#VALUE!")</f>
        <v>#VALUE!</v>
      </c>
      <c r="F502" s="10" t="str">
        <f>IFERROR(__xludf.DUMMYFUNCTION("""COMPUTED_VALUE"""),"")</f>
        <v/>
      </c>
      <c r="G502" s="10" t="str">
        <f>IFERROR(__xludf.DUMMYFUNCTION("""COMPUTED_VALUE"""),"#VALUE!")</f>
        <v>#VALUE!</v>
      </c>
      <c r="H502" s="10" t="str">
        <f>IFERROR(__xludf.DUMMYFUNCTION("""COMPUTED_VALUE"""),"")</f>
        <v/>
      </c>
    </row>
    <row r="503">
      <c r="E503" s="10" t="str">
        <f>IFERROR(__xludf.DUMMYFUNCTION("""COMPUTED_VALUE"""),"#VALUE!")</f>
        <v>#VALUE!</v>
      </c>
      <c r="F503" s="10" t="str">
        <f>IFERROR(__xludf.DUMMYFUNCTION("""COMPUTED_VALUE"""),"")</f>
        <v/>
      </c>
      <c r="G503" s="10" t="str">
        <f>IFERROR(__xludf.DUMMYFUNCTION("""COMPUTED_VALUE"""),"#VALUE!")</f>
        <v>#VALUE!</v>
      </c>
      <c r="H503" s="10" t="str">
        <f>IFERROR(__xludf.DUMMYFUNCTION("""COMPUTED_VALUE"""),"")</f>
        <v/>
      </c>
    </row>
    <row r="504">
      <c r="E504" s="10" t="str">
        <f>IFERROR(__xludf.DUMMYFUNCTION("""COMPUTED_VALUE"""),"#VALUE!")</f>
        <v>#VALUE!</v>
      </c>
      <c r="F504" s="10" t="str">
        <f>IFERROR(__xludf.DUMMYFUNCTION("""COMPUTED_VALUE"""),"")</f>
        <v/>
      </c>
      <c r="G504" s="10" t="str">
        <f>IFERROR(__xludf.DUMMYFUNCTION("""COMPUTED_VALUE"""),"#VALUE!")</f>
        <v>#VALUE!</v>
      </c>
      <c r="H504" s="10" t="str">
        <f>IFERROR(__xludf.DUMMYFUNCTION("""COMPUTED_VALUE"""),"")</f>
        <v/>
      </c>
    </row>
    <row r="505">
      <c r="E505" s="10" t="str">
        <f>IFERROR(__xludf.DUMMYFUNCTION("""COMPUTED_VALUE"""),"#VALUE!")</f>
        <v>#VALUE!</v>
      </c>
      <c r="F505" s="10" t="str">
        <f>IFERROR(__xludf.DUMMYFUNCTION("""COMPUTED_VALUE"""),"")</f>
        <v/>
      </c>
      <c r="G505" s="10" t="str">
        <f>IFERROR(__xludf.DUMMYFUNCTION("""COMPUTED_VALUE"""),"#VALUE!")</f>
        <v>#VALUE!</v>
      </c>
      <c r="H505" s="10" t="str">
        <f>IFERROR(__xludf.DUMMYFUNCTION("""COMPUTED_VALUE"""),"")</f>
        <v/>
      </c>
    </row>
    <row r="506">
      <c r="E506" s="10" t="str">
        <f>IFERROR(__xludf.DUMMYFUNCTION("""COMPUTED_VALUE"""),"#VALUE!")</f>
        <v>#VALUE!</v>
      </c>
      <c r="F506" s="10" t="str">
        <f>IFERROR(__xludf.DUMMYFUNCTION("""COMPUTED_VALUE"""),"")</f>
        <v/>
      </c>
      <c r="G506" s="10" t="str">
        <f>IFERROR(__xludf.DUMMYFUNCTION("""COMPUTED_VALUE"""),"#VALUE!")</f>
        <v>#VALUE!</v>
      </c>
      <c r="H506" s="10" t="str">
        <f>IFERROR(__xludf.DUMMYFUNCTION("""COMPUTED_VALUE"""),"")</f>
        <v/>
      </c>
    </row>
    <row r="507">
      <c r="E507" s="10" t="str">
        <f>IFERROR(__xludf.DUMMYFUNCTION("""COMPUTED_VALUE"""),"#VALUE!")</f>
        <v>#VALUE!</v>
      </c>
      <c r="F507" s="10" t="str">
        <f>IFERROR(__xludf.DUMMYFUNCTION("""COMPUTED_VALUE"""),"")</f>
        <v/>
      </c>
      <c r="G507" s="10" t="str">
        <f>IFERROR(__xludf.DUMMYFUNCTION("""COMPUTED_VALUE"""),"#VALUE!")</f>
        <v>#VALUE!</v>
      </c>
      <c r="H507" s="10" t="str">
        <f>IFERROR(__xludf.DUMMYFUNCTION("""COMPUTED_VALUE"""),"")</f>
        <v/>
      </c>
    </row>
    <row r="508">
      <c r="E508" s="10" t="str">
        <f>IFERROR(__xludf.DUMMYFUNCTION("""COMPUTED_VALUE"""),"#VALUE!")</f>
        <v>#VALUE!</v>
      </c>
      <c r="F508" s="10" t="str">
        <f>IFERROR(__xludf.DUMMYFUNCTION("""COMPUTED_VALUE"""),"")</f>
        <v/>
      </c>
      <c r="G508" s="10" t="str">
        <f>IFERROR(__xludf.DUMMYFUNCTION("""COMPUTED_VALUE"""),"#VALUE!")</f>
        <v>#VALUE!</v>
      </c>
      <c r="H508" s="10" t="str">
        <f>IFERROR(__xludf.DUMMYFUNCTION("""COMPUTED_VALUE"""),"")</f>
        <v/>
      </c>
    </row>
    <row r="509">
      <c r="E509" s="10" t="str">
        <f>IFERROR(__xludf.DUMMYFUNCTION("""COMPUTED_VALUE"""),"#VALUE!")</f>
        <v>#VALUE!</v>
      </c>
      <c r="F509" s="10" t="str">
        <f>IFERROR(__xludf.DUMMYFUNCTION("""COMPUTED_VALUE"""),"")</f>
        <v/>
      </c>
      <c r="G509" s="10" t="str">
        <f>IFERROR(__xludf.DUMMYFUNCTION("""COMPUTED_VALUE"""),"#VALUE!")</f>
        <v>#VALUE!</v>
      </c>
      <c r="H509" s="10" t="str">
        <f>IFERROR(__xludf.DUMMYFUNCTION("""COMPUTED_VALUE"""),"")</f>
        <v/>
      </c>
    </row>
    <row r="510">
      <c r="E510" s="10" t="str">
        <f>IFERROR(__xludf.DUMMYFUNCTION("""COMPUTED_VALUE"""),"#VALUE!")</f>
        <v>#VALUE!</v>
      </c>
      <c r="F510" s="10" t="str">
        <f>IFERROR(__xludf.DUMMYFUNCTION("""COMPUTED_VALUE"""),"")</f>
        <v/>
      </c>
      <c r="G510" s="10" t="str">
        <f>IFERROR(__xludf.DUMMYFUNCTION("""COMPUTED_VALUE"""),"#VALUE!")</f>
        <v>#VALUE!</v>
      </c>
      <c r="H510" s="10" t="str">
        <f>IFERROR(__xludf.DUMMYFUNCTION("""COMPUTED_VALUE"""),"")</f>
        <v/>
      </c>
    </row>
    <row r="511">
      <c r="E511" s="10" t="str">
        <f>IFERROR(__xludf.DUMMYFUNCTION("""COMPUTED_VALUE"""),"#VALUE!")</f>
        <v>#VALUE!</v>
      </c>
      <c r="F511" s="10" t="str">
        <f>IFERROR(__xludf.DUMMYFUNCTION("""COMPUTED_VALUE"""),"")</f>
        <v/>
      </c>
      <c r="G511" s="10" t="str">
        <f>IFERROR(__xludf.DUMMYFUNCTION("""COMPUTED_VALUE"""),"#VALUE!")</f>
        <v>#VALUE!</v>
      </c>
      <c r="H511" s="10" t="str">
        <f>IFERROR(__xludf.DUMMYFUNCTION("""COMPUTED_VALUE"""),"")</f>
        <v/>
      </c>
    </row>
    <row r="512">
      <c r="E512" s="10" t="str">
        <f>IFERROR(__xludf.DUMMYFUNCTION("""COMPUTED_VALUE"""),"#VALUE!")</f>
        <v>#VALUE!</v>
      </c>
      <c r="F512" s="10" t="str">
        <f>IFERROR(__xludf.DUMMYFUNCTION("""COMPUTED_VALUE"""),"")</f>
        <v/>
      </c>
      <c r="G512" s="10" t="str">
        <f>IFERROR(__xludf.DUMMYFUNCTION("""COMPUTED_VALUE"""),"#VALUE!")</f>
        <v>#VALUE!</v>
      </c>
      <c r="H512" s="10" t="str">
        <f>IFERROR(__xludf.DUMMYFUNCTION("""COMPUTED_VALUE"""),"")</f>
        <v/>
      </c>
    </row>
    <row r="513">
      <c r="E513" s="10" t="str">
        <f>IFERROR(__xludf.DUMMYFUNCTION("""COMPUTED_VALUE"""),"#VALUE!")</f>
        <v>#VALUE!</v>
      </c>
      <c r="F513" s="10" t="str">
        <f>IFERROR(__xludf.DUMMYFUNCTION("""COMPUTED_VALUE"""),"")</f>
        <v/>
      </c>
      <c r="G513" s="10" t="str">
        <f>IFERROR(__xludf.DUMMYFUNCTION("""COMPUTED_VALUE"""),"#VALUE!")</f>
        <v>#VALUE!</v>
      </c>
      <c r="H513" s="10" t="str">
        <f>IFERROR(__xludf.DUMMYFUNCTION("""COMPUTED_VALUE"""),"")</f>
        <v/>
      </c>
    </row>
    <row r="514">
      <c r="E514" s="10" t="str">
        <f>IFERROR(__xludf.DUMMYFUNCTION("""COMPUTED_VALUE"""),"#VALUE!")</f>
        <v>#VALUE!</v>
      </c>
      <c r="F514" s="10" t="str">
        <f>IFERROR(__xludf.DUMMYFUNCTION("""COMPUTED_VALUE"""),"")</f>
        <v/>
      </c>
      <c r="G514" s="10" t="str">
        <f>IFERROR(__xludf.DUMMYFUNCTION("""COMPUTED_VALUE"""),"#VALUE!")</f>
        <v>#VALUE!</v>
      </c>
      <c r="H514" s="10" t="str">
        <f>IFERROR(__xludf.DUMMYFUNCTION("""COMPUTED_VALUE"""),"")</f>
        <v/>
      </c>
    </row>
    <row r="515">
      <c r="E515" s="10" t="str">
        <f>IFERROR(__xludf.DUMMYFUNCTION("""COMPUTED_VALUE"""),"#VALUE!")</f>
        <v>#VALUE!</v>
      </c>
      <c r="F515" s="10" t="str">
        <f>IFERROR(__xludf.DUMMYFUNCTION("""COMPUTED_VALUE"""),"")</f>
        <v/>
      </c>
      <c r="G515" s="10" t="str">
        <f>IFERROR(__xludf.DUMMYFUNCTION("""COMPUTED_VALUE"""),"#VALUE!")</f>
        <v>#VALUE!</v>
      </c>
      <c r="H515" s="10" t="str">
        <f>IFERROR(__xludf.DUMMYFUNCTION("""COMPUTED_VALUE"""),"")</f>
        <v/>
      </c>
    </row>
    <row r="516">
      <c r="E516" s="10" t="str">
        <f>IFERROR(__xludf.DUMMYFUNCTION("""COMPUTED_VALUE"""),"#VALUE!")</f>
        <v>#VALUE!</v>
      </c>
      <c r="F516" s="10" t="str">
        <f>IFERROR(__xludf.DUMMYFUNCTION("""COMPUTED_VALUE"""),"")</f>
        <v/>
      </c>
      <c r="G516" s="10" t="str">
        <f>IFERROR(__xludf.DUMMYFUNCTION("""COMPUTED_VALUE"""),"#VALUE!")</f>
        <v>#VALUE!</v>
      </c>
      <c r="H516" s="10" t="str">
        <f>IFERROR(__xludf.DUMMYFUNCTION("""COMPUTED_VALUE"""),"")</f>
        <v/>
      </c>
    </row>
    <row r="517">
      <c r="E517" s="10" t="str">
        <f>IFERROR(__xludf.DUMMYFUNCTION("""COMPUTED_VALUE"""),"#VALUE!")</f>
        <v>#VALUE!</v>
      </c>
      <c r="F517" s="10" t="str">
        <f>IFERROR(__xludf.DUMMYFUNCTION("""COMPUTED_VALUE"""),"")</f>
        <v/>
      </c>
      <c r="G517" s="10" t="str">
        <f>IFERROR(__xludf.DUMMYFUNCTION("""COMPUTED_VALUE"""),"#VALUE!")</f>
        <v>#VALUE!</v>
      </c>
      <c r="H517" s="10" t="str">
        <f>IFERROR(__xludf.DUMMYFUNCTION("""COMPUTED_VALUE"""),"")</f>
        <v/>
      </c>
    </row>
    <row r="518">
      <c r="E518" s="10" t="str">
        <f>IFERROR(__xludf.DUMMYFUNCTION("""COMPUTED_VALUE"""),"#VALUE!")</f>
        <v>#VALUE!</v>
      </c>
      <c r="F518" s="10" t="str">
        <f>IFERROR(__xludf.DUMMYFUNCTION("""COMPUTED_VALUE"""),"")</f>
        <v/>
      </c>
      <c r="G518" s="10" t="str">
        <f>IFERROR(__xludf.DUMMYFUNCTION("""COMPUTED_VALUE"""),"#VALUE!")</f>
        <v>#VALUE!</v>
      </c>
      <c r="H518" s="10" t="str">
        <f>IFERROR(__xludf.DUMMYFUNCTION("""COMPUTED_VALUE"""),"")</f>
        <v/>
      </c>
    </row>
    <row r="519">
      <c r="E519" s="10" t="str">
        <f>IFERROR(__xludf.DUMMYFUNCTION("""COMPUTED_VALUE"""),"#VALUE!")</f>
        <v>#VALUE!</v>
      </c>
      <c r="F519" s="10" t="str">
        <f>IFERROR(__xludf.DUMMYFUNCTION("""COMPUTED_VALUE"""),"")</f>
        <v/>
      </c>
      <c r="G519" s="10" t="str">
        <f>IFERROR(__xludf.DUMMYFUNCTION("""COMPUTED_VALUE"""),"#VALUE!")</f>
        <v>#VALUE!</v>
      </c>
      <c r="H519" s="10" t="str">
        <f>IFERROR(__xludf.DUMMYFUNCTION("""COMPUTED_VALUE"""),"")</f>
        <v/>
      </c>
    </row>
    <row r="520">
      <c r="E520" s="10" t="str">
        <f>IFERROR(__xludf.DUMMYFUNCTION("""COMPUTED_VALUE"""),"#VALUE!")</f>
        <v>#VALUE!</v>
      </c>
      <c r="F520" s="10" t="str">
        <f>IFERROR(__xludf.DUMMYFUNCTION("""COMPUTED_VALUE"""),"")</f>
        <v/>
      </c>
      <c r="G520" s="10" t="str">
        <f>IFERROR(__xludf.DUMMYFUNCTION("""COMPUTED_VALUE"""),"#VALUE!")</f>
        <v>#VALUE!</v>
      </c>
      <c r="H520" s="10" t="str">
        <f>IFERROR(__xludf.DUMMYFUNCTION("""COMPUTED_VALUE"""),"")</f>
        <v/>
      </c>
    </row>
    <row r="521">
      <c r="E521" s="10" t="str">
        <f>IFERROR(__xludf.DUMMYFUNCTION("""COMPUTED_VALUE"""),"#VALUE!")</f>
        <v>#VALUE!</v>
      </c>
      <c r="F521" s="10" t="str">
        <f>IFERROR(__xludf.DUMMYFUNCTION("""COMPUTED_VALUE"""),"")</f>
        <v/>
      </c>
      <c r="G521" s="10" t="str">
        <f>IFERROR(__xludf.DUMMYFUNCTION("""COMPUTED_VALUE"""),"#VALUE!")</f>
        <v>#VALUE!</v>
      </c>
      <c r="H521" s="10" t="str">
        <f>IFERROR(__xludf.DUMMYFUNCTION("""COMPUTED_VALUE"""),"")</f>
        <v/>
      </c>
    </row>
    <row r="522">
      <c r="E522" s="10" t="str">
        <f>IFERROR(__xludf.DUMMYFUNCTION("""COMPUTED_VALUE"""),"#VALUE!")</f>
        <v>#VALUE!</v>
      </c>
      <c r="F522" s="10" t="str">
        <f>IFERROR(__xludf.DUMMYFUNCTION("""COMPUTED_VALUE"""),"")</f>
        <v/>
      </c>
      <c r="G522" s="10" t="str">
        <f>IFERROR(__xludf.DUMMYFUNCTION("""COMPUTED_VALUE"""),"#VALUE!")</f>
        <v>#VALUE!</v>
      </c>
      <c r="H522" s="10" t="str">
        <f>IFERROR(__xludf.DUMMYFUNCTION("""COMPUTED_VALUE"""),"")</f>
        <v/>
      </c>
    </row>
    <row r="523">
      <c r="E523" s="10" t="str">
        <f>IFERROR(__xludf.DUMMYFUNCTION("""COMPUTED_VALUE"""),"#VALUE!")</f>
        <v>#VALUE!</v>
      </c>
      <c r="F523" s="10" t="str">
        <f>IFERROR(__xludf.DUMMYFUNCTION("""COMPUTED_VALUE"""),"")</f>
        <v/>
      </c>
      <c r="G523" s="10" t="str">
        <f>IFERROR(__xludf.DUMMYFUNCTION("""COMPUTED_VALUE"""),"#VALUE!")</f>
        <v>#VALUE!</v>
      </c>
      <c r="H523" s="10" t="str">
        <f>IFERROR(__xludf.DUMMYFUNCTION("""COMPUTED_VALUE"""),"")</f>
        <v/>
      </c>
    </row>
    <row r="524">
      <c r="E524" s="10" t="str">
        <f>IFERROR(__xludf.DUMMYFUNCTION("""COMPUTED_VALUE"""),"#VALUE!")</f>
        <v>#VALUE!</v>
      </c>
      <c r="F524" s="10" t="str">
        <f>IFERROR(__xludf.DUMMYFUNCTION("""COMPUTED_VALUE"""),"")</f>
        <v/>
      </c>
      <c r="G524" s="10" t="str">
        <f>IFERROR(__xludf.DUMMYFUNCTION("""COMPUTED_VALUE"""),"#VALUE!")</f>
        <v>#VALUE!</v>
      </c>
      <c r="H524" s="10" t="str">
        <f>IFERROR(__xludf.DUMMYFUNCTION("""COMPUTED_VALUE"""),"")</f>
        <v/>
      </c>
    </row>
    <row r="525">
      <c r="E525" s="10" t="str">
        <f>IFERROR(__xludf.DUMMYFUNCTION("""COMPUTED_VALUE"""),"#VALUE!")</f>
        <v>#VALUE!</v>
      </c>
      <c r="F525" s="10" t="str">
        <f>IFERROR(__xludf.DUMMYFUNCTION("""COMPUTED_VALUE"""),"")</f>
        <v/>
      </c>
      <c r="G525" s="10" t="str">
        <f>IFERROR(__xludf.DUMMYFUNCTION("""COMPUTED_VALUE"""),"#VALUE!")</f>
        <v>#VALUE!</v>
      </c>
      <c r="H525" s="10" t="str">
        <f>IFERROR(__xludf.DUMMYFUNCTION("""COMPUTED_VALUE"""),"")</f>
        <v/>
      </c>
    </row>
    <row r="526">
      <c r="E526" s="10" t="str">
        <f>IFERROR(__xludf.DUMMYFUNCTION("""COMPUTED_VALUE"""),"#VALUE!")</f>
        <v>#VALUE!</v>
      </c>
      <c r="F526" s="10" t="str">
        <f>IFERROR(__xludf.DUMMYFUNCTION("""COMPUTED_VALUE"""),"")</f>
        <v/>
      </c>
      <c r="G526" s="10" t="str">
        <f>IFERROR(__xludf.DUMMYFUNCTION("""COMPUTED_VALUE"""),"#VALUE!")</f>
        <v>#VALUE!</v>
      </c>
      <c r="H526" s="10" t="str">
        <f>IFERROR(__xludf.DUMMYFUNCTION("""COMPUTED_VALUE"""),"")</f>
        <v/>
      </c>
    </row>
    <row r="527">
      <c r="E527" s="10" t="str">
        <f>IFERROR(__xludf.DUMMYFUNCTION("""COMPUTED_VALUE"""),"#VALUE!")</f>
        <v>#VALUE!</v>
      </c>
      <c r="F527" s="10" t="str">
        <f>IFERROR(__xludf.DUMMYFUNCTION("""COMPUTED_VALUE"""),"")</f>
        <v/>
      </c>
      <c r="G527" s="10" t="str">
        <f>IFERROR(__xludf.DUMMYFUNCTION("""COMPUTED_VALUE"""),"#VALUE!")</f>
        <v>#VALUE!</v>
      </c>
      <c r="H527" s="10" t="str">
        <f>IFERROR(__xludf.DUMMYFUNCTION("""COMPUTED_VALUE"""),"")</f>
        <v/>
      </c>
    </row>
    <row r="528">
      <c r="E528" s="10" t="str">
        <f>IFERROR(__xludf.DUMMYFUNCTION("""COMPUTED_VALUE"""),"#VALUE!")</f>
        <v>#VALUE!</v>
      </c>
      <c r="F528" s="10" t="str">
        <f>IFERROR(__xludf.DUMMYFUNCTION("""COMPUTED_VALUE"""),"")</f>
        <v/>
      </c>
      <c r="G528" s="10" t="str">
        <f>IFERROR(__xludf.DUMMYFUNCTION("""COMPUTED_VALUE"""),"#VALUE!")</f>
        <v>#VALUE!</v>
      </c>
      <c r="H528" s="10" t="str">
        <f>IFERROR(__xludf.DUMMYFUNCTION("""COMPUTED_VALUE"""),"")</f>
        <v/>
      </c>
    </row>
    <row r="529">
      <c r="E529" s="10" t="str">
        <f>IFERROR(__xludf.DUMMYFUNCTION("""COMPUTED_VALUE"""),"#VALUE!")</f>
        <v>#VALUE!</v>
      </c>
      <c r="F529" s="10" t="str">
        <f>IFERROR(__xludf.DUMMYFUNCTION("""COMPUTED_VALUE"""),"")</f>
        <v/>
      </c>
      <c r="G529" s="10" t="str">
        <f>IFERROR(__xludf.DUMMYFUNCTION("""COMPUTED_VALUE"""),"#VALUE!")</f>
        <v>#VALUE!</v>
      </c>
      <c r="H529" s="10" t="str">
        <f>IFERROR(__xludf.DUMMYFUNCTION("""COMPUTED_VALUE"""),"")</f>
        <v/>
      </c>
    </row>
    <row r="530">
      <c r="E530" s="10" t="str">
        <f>IFERROR(__xludf.DUMMYFUNCTION("""COMPUTED_VALUE"""),"#VALUE!")</f>
        <v>#VALUE!</v>
      </c>
      <c r="F530" s="10" t="str">
        <f>IFERROR(__xludf.DUMMYFUNCTION("""COMPUTED_VALUE"""),"")</f>
        <v/>
      </c>
      <c r="G530" s="10" t="str">
        <f>IFERROR(__xludf.DUMMYFUNCTION("""COMPUTED_VALUE"""),"#VALUE!")</f>
        <v>#VALUE!</v>
      </c>
      <c r="H530" s="10" t="str">
        <f>IFERROR(__xludf.DUMMYFUNCTION("""COMPUTED_VALUE"""),"")</f>
        <v/>
      </c>
    </row>
    <row r="531">
      <c r="E531" s="10" t="str">
        <f>IFERROR(__xludf.DUMMYFUNCTION("""COMPUTED_VALUE"""),"#VALUE!")</f>
        <v>#VALUE!</v>
      </c>
      <c r="F531" s="10" t="str">
        <f>IFERROR(__xludf.DUMMYFUNCTION("""COMPUTED_VALUE"""),"")</f>
        <v/>
      </c>
      <c r="G531" s="10" t="str">
        <f>IFERROR(__xludf.DUMMYFUNCTION("""COMPUTED_VALUE"""),"#VALUE!")</f>
        <v>#VALUE!</v>
      </c>
      <c r="H531" s="10" t="str">
        <f>IFERROR(__xludf.DUMMYFUNCTION("""COMPUTED_VALUE"""),"")</f>
        <v/>
      </c>
    </row>
    <row r="532">
      <c r="E532" s="10" t="str">
        <f>IFERROR(__xludf.DUMMYFUNCTION("""COMPUTED_VALUE"""),"#VALUE!")</f>
        <v>#VALUE!</v>
      </c>
      <c r="F532" s="10" t="str">
        <f>IFERROR(__xludf.DUMMYFUNCTION("""COMPUTED_VALUE"""),"")</f>
        <v/>
      </c>
      <c r="G532" s="10" t="str">
        <f>IFERROR(__xludf.DUMMYFUNCTION("""COMPUTED_VALUE"""),"#VALUE!")</f>
        <v>#VALUE!</v>
      </c>
      <c r="H532" s="10" t="str">
        <f>IFERROR(__xludf.DUMMYFUNCTION("""COMPUTED_VALUE"""),"")</f>
        <v/>
      </c>
    </row>
    <row r="533">
      <c r="E533" s="10" t="str">
        <f>IFERROR(__xludf.DUMMYFUNCTION("""COMPUTED_VALUE"""),"#VALUE!")</f>
        <v>#VALUE!</v>
      </c>
      <c r="F533" s="10" t="str">
        <f>IFERROR(__xludf.DUMMYFUNCTION("""COMPUTED_VALUE"""),"")</f>
        <v/>
      </c>
      <c r="G533" s="10" t="str">
        <f>IFERROR(__xludf.DUMMYFUNCTION("""COMPUTED_VALUE"""),"#VALUE!")</f>
        <v>#VALUE!</v>
      </c>
      <c r="H533" s="10" t="str">
        <f>IFERROR(__xludf.DUMMYFUNCTION("""COMPUTED_VALUE"""),"")</f>
        <v/>
      </c>
    </row>
    <row r="534">
      <c r="E534" s="10" t="str">
        <f>IFERROR(__xludf.DUMMYFUNCTION("""COMPUTED_VALUE"""),"#VALUE!")</f>
        <v>#VALUE!</v>
      </c>
      <c r="F534" s="10" t="str">
        <f>IFERROR(__xludf.DUMMYFUNCTION("""COMPUTED_VALUE"""),"")</f>
        <v/>
      </c>
      <c r="G534" s="10" t="str">
        <f>IFERROR(__xludf.DUMMYFUNCTION("""COMPUTED_VALUE"""),"#VALUE!")</f>
        <v>#VALUE!</v>
      </c>
      <c r="H534" s="10" t="str">
        <f>IFERROR(__xludf.DUMMYFUNCTION("""COMPUTED_VALUE"""),"")</f>
        <v/>
      </c>
    </row>
    <row r="535">
      <c r="E535" s="10" t="str">
        <f>IFERROR(__xludf.DUMMYFUNCTION("""COMPUTED_VALUE"""),"#VALUE!")</f>
        <v>#VALUE!</v>
      </c>
      <c r="F535" s="10" t="str">
        <f>IFERROR(__xludf.DUMMYFUNCTION("""COMPUTED_VALUE"""),"")</f>
        <v/>
      </c>
      <c r="G535" s="10" t="str">
        <f>IFERROR(__xludf.DUMMYFUNCTION("""COMPUTED_VALUE"""),"#VALUE!")</f>
        <v>#VALUE!</v>
      </c>
      <c r="H535" s="10" t="str">
        <f>IFERROR(__xludf.DUMMYFUNCTION("""COMPUTED_VALUE"""),"")</f>
        <v/>
      </c>
    </row>
    <row r="536">
      <c r="E536" s="10" t="str">
        <f>IFERROR(__xludf.DUMMYFUNCTION("""COMPUTED_VALUE"""),"#VALUE!")</f>
        <v>#VALUE!</v>
      </c>
      <c r="F536" s="10" t="str">
        <f>IFERROR(__xludf.DUMMYFUNCTION("""COMPUTED_VALUE"""),"")</f>
        <v/>
      </c>
      <c r="G536" s="10" t="str">
        <f>IFERROR(__xludf.DUMMYFUNCTION("""COMPUTED_VALUE"""),"#VALUE!")</f>
        <v>#VALUE!</v>
      </c>
      <c r="H536" s="10" t="str">
        <f>IFERROR(__xludf.DUMMYFUNCTION("""COMPUTED_VALUE"""),"")</f>
        <v/>
      </c>
    </row>
    <row r="537">
      <c r="E537" s="10" t="str">
        <f>IFERROR(__xludf.DUMMYFUNCTION("""COMPUTED_VALUE"""),"#VALUE!")</f>
        <v>#VALUE!</v>
      </c>
      <c r="F537" s="10" t="str">
        <f>IFERROR(__xludf.DUMMYFUNCTION("""COMPUTED_VALUE"""),"")</f>
        <v/>
      </c>
      <c r="G537" s="10" t="str">
        <f>IFERROR(__xludf.DUMMYFUNCTION("""COMPUTED_VALUE"""),"#VALUE!")</f>
        <v>#VALUE!</v>
      </c>
      <c r="H537" s="10" t="str">
        <f>IFERROR(__xludf.DUMMYFUNCTION("""COMPUTED_VALUE"""),"")</f>
        <v/>
      </c>
    </row>
    <row r="538">
      <c r="E538" s="10" t="str">
        <f>IFERROR(__xludf.DUMMYFUNCTION("""COMPUTED_VALUE"""),"#VALUE!")</f>
        <v>#VALUE!</v>
      </c>
      <c r="F538" s="10" t="str">
        <f>IFERROR(__xludf.DUMMYFUNCTION("""COMPUTED_VALUE"""),"")</f>
        <v/>
      </c>
      <c r="G538" s="10" t="str">
        <f>IFERROR(__xludf.DUMMYFUNCTION("""COMPUTED_VALUE"""),"#VALUE!")</f>
        <v>#VALUE!</v>
      </c>
      <c r="H538" s="10" t="str">
        <f>IFERROR(__xludf.DUMMYFUNCTION("""COMPUTED_VALUE"""),"")</f>
        <v/>
      </c>
    </row>
    <row r="539">
      <c r="E539" s="10" t="str">
        <f>IFERROR(__xludf.DUMMYFUNCTION("""COMPUTED_VALUE"""),"#VALUE!")</f>
        <v>#VALUE!</v>
      </c>
      <c r="F539" s="10" t="str">
        <f>IFERROR(__xludf.DUMMYFUNCTION("""COMPUTED_VALUE"""),"")</f>
        <v/>
      </c>
      <c r="G539" s="10" t="str">
        <f>IFERROR(__xludf.DUMMYFUNCTION("""COMPUTED_VALUE"""),"#VALUE!")</f>
        <v>#VALUE!</v>
      </c>
      <c r="H539" s="10" t="str">
        <f>IFERROR(__xludf.DUMMYFUNCTION("""COMPUTED_VALUE"""),"")</f>
        <v/>
      </c>
    </row>
    <row r="540">
      <c r="E540" s="10" t="str">
        <f>IFERROR(__xludf.DUMMYFUNCTION("""COMPUTED_VALUE"""),"#VALUE!")</f>
        <v>#VALUE!</v>
      </c>
      <c r="F540" s="10" t="str">
        <f>IFERROR(__xludf.DUMMYFUNCTION("""COMPUTED_VALUE"""),"")</f>
        <v/>
      </c>
      <c r="G540" s="10" t="str">
        <f>IFERROR(__xludf.DUMMYFUNCTION("""COMPUTED_VALUE"""),"#VALUE!")</f>
        <v>#VALUE!</v>
      </c>
      <c r="H540" s="10" t="str">
        <f>IFERROR(__xludf.DUMMYFUNCTION("""COMPUTED_VALUE"""),"")</f>
        <v/>
      </c>
    </row>
    <row r="541">
      <c r="E541" s="10" t="str">
        <f>IFERROR(__xludf.DUMMYFUNCTION("""COMPUTED_VALUE"""),"#VALUE!")</f>
        <v>#VALUE!</v>
      </c>
      <c r="F541" s="10" t="str">
        <f>IFERROR(__xludf.DUMMYFUNCTION("""COMPUTED_VALUE"""),"")</f>
        <v/>
      </c>
      <c r="G541" s="10" t="str">
        <f>IFERROR(__xludf.DUMMYFUNCTION("""COMPUTED_VALUE"""),"#VALUE!")</f>
        <v>#VALUE!</v>
      </c>
      <c r="H541" s="10" t="str">
        <f>IFERROR(__xludf.DUMMYFUNCTION("""COMPUTED_VALUE"""),"")</f>
        <v/>
      </c>
    </row>
    <row r="542">
      <c r="E542" s="10" t="str">
        <f>IFERROR(__xludf.DUMMYFUNCTION("""COMPUTED_VALUE"""),"#VALUE!")</f>
        <v>#VALUE!</v>
      </c>
      <c r="F542" s="10" t="str">
        <f>IFERROR(__xludf.DUMMYFUNCTION("""COMPUTED_VALUE"""),"")</f>
        <v/>
      </c>
      <c r="G542" s="10" t="str">
        <f>IFERROR(__xludf.DUMMYFUNCTION("""COMPUTED_VALUE"""),"#VALUE!")</f>
        <v>#VALUE!</v>
      </c>
      <c r="H542" s="10" t="str">
        <f>IFERROR(__xludf.DUMMYFUNCTION("""COMPUTED_VALUE"""),"")</f>
        <v/>
      </c>
    </row>
    <row r="543">
      <c r="E543" s="10" t="str">
        <f>IFERROR(__xludf.DUMMYFUNCTION("""COMPUTED_VALUE"""),"#VALUE!")</f>
        <v>#VALUE!</v>
      </c>
      <c r="F543" s="10" t="str">
        <f>IFERROR(__xludf.DUMMYFUNCTION("""COMPUTED_VALUE"""),"")</f>
        <v/>
      </c>
      <c r="G543" s="10" t="str">
        <f>IFERROR(__xludf.DUMMYFUNCTION("""COMPUTED_VALUE"""),"#VALUE!")</f>
        <v>#VALUE!</v>
      </c>
      <c r="H543" s="10" t="str">
        <f>IFERROR(__xludf.DUMMYFUNCTION("""COMPUTED_VALUE"""),"")</f>
        <v/>
      </c>
    </row>
    <row r="544">
      <c r="E544" s="10" t="str">
        <f>IFERROR(__xludf.DUMMYFUNCTION("""COMPUTED_VALUE"""),"#VALUE!")</f>
        <v>#VALUE!</v>
      </c>
      <c r="F544" s="10" t="str">
        <f>IFERROR(__xludf.DUMMYFUNCTION("""COMPUTED_VALUE"""),"")</f>
        <v/>
      </c>
      <c r="G544" s="10" t="str">
        <f>IFERROR(__xludf.DUMMYFUNCTION("""COMPUTED_VALUE"""),"#VALUE!")</f>
        <v>#VALUE!</v>
      </c>
      <c r="H544" s="10" t="str">
        <f>IFERROR(__xludf.DUMMYFUNCTION("""COMPUTED_VALUE"""),"")</f>
        <v/>
      </c>
    </row>
    <row r="545">
      <c r="E545" s="10" t="str">
        <f>IFERROR(__xludf.DUMMYFUNCTION("""COMPUTED_VALUE"""),"#VALUE!")</f>
        <v>#VALUE!</v>
      </c>
      <c r="F545" s="10" t="str">
        <f>IFERROR(__xludf.DUMMYFUNCTION("""COMPUTED_VALUE"""),"")</f>
        <v/>
      </c>
      <c r="G545" s="10" t="str">
        <f>IFERROR(__xludf.DUMMYFUNCTION("""COMPUTED_VALUE"""),"#VALUE!")</f>
        <v>#VALUE!</v>
      </c>
      <c r="H545" s="10" t="str">
        <f>IFERROR(__xludf.DUMMYFUNCTION("""COMPUTED_VALUE"""),"")</f>
        <v/>
      </c>
    </row>
    <row r="546">
      <c r="E546" s="10" t="str">
        <f>IFERROR(__xludf.DUMMYFUNCTION("""COMPUTED_VALUE"""),"#VALUE!")</f>
        <v>#VALUE!</v>
      </c>
      <c r="F546" s="10" t="str">
        <f>IFERROR(__xludf.DUMMYFUNCTION("""COMPUTED_VALUE"""),"")</f>
        <v/>
      </c>
      <c r="G546" s="10" t="str">
        <f>IFERROR(__xludf.DUMMYFUNCTION("""COMPUTED_VALUE"""),"#VALUE!")</f>
        <v>#VALUE!</v>
      </c>
      <c r="H546" s="10" t="str">
        <f>IFERROR(__xludf.DUMMYFUNCTION("""COMPUTED_VALUE"""),"")</f>
        <v/>
      </c>
    </row>
    <row r="547">
      <c r="E547" s="10" t="str">
        <f>IFERROR(__xludf.DUMMYFUNCTION("""COMPUTED_VALUE"""),"#VALUE!")</f>
        <v>#VALUE!</v>
      </c>
      <c r="F547" s="10" t="str">
        <f>IFERROR(__xludf.DUMMYFUNCTION("""COMPUTED_VALUE"""),"")</f>
        <v/>
      </c>
      <c r="G547" s="10" t="str">
        <f>IFERROR(__xludf.DUMMYFUNCTION("""COMPUTED_VALUE"""),"#VALUE!")</f>
        <v>#VALUE!</v>
      </c>
      <c r="H547" s="10" t="str">
        <f>IFERROR(__xludf.DUMMYFUNCTION("""COMPUTED_VALUE"""),"")</f>
        <v/>
      </c>
    </row>
    <row r="548">
      <c r="E548" s="10" t="str">
        <f>IFERROR(__xludf.DUMMYFUNCTION("""COMPUTED_VALUE"""),"#VALUE!")</f>
        <v>#VALUE!</v>
      </c>
      <c r="F548" s="10" t="str">
        <f>IFERROR(__xludf.DUMMYFUNCTION("""COMPUTED_VALUE"""),"")</f>
        <v/>
      </c>
      <c r="G548" s="10" t="str">
        <f>IFERROR(__xludf.DUMMYFUNCTION("""COMPUTED_VALUE"""),"#VALUE!")</f>
        <v>#VALUE!</v>
      </c>
      <c r="H548" s="10" t="str">
        <f>IFERROR(__xludf.DUMMYFUNCTION("""COMPUTED_VALUE"""),"")</f>
        <v/>
      </c>
    </row>
    <row r="549">
      <c r="E549" s="10" t="str">
        <f>IFERROR(__xludf.DUMMYFUNCTION("""COMPUTED_VALUE"""),"#VALUE!")</f>
        <v>#VALUE!</v>
      </c>
      <c r="F549" s="10" t="str">
        <f>IFERROR(__xludf.DUMMYFUNCTION("""COMPUTED_VALUE"""),"")</f>
        <v/>
      </c>
      <c r="G549" s="10" t="str">
        <f>IFERROR(__xludf.DUMMYFUNCTION("""COMPUTED_VALUE"""),"#VALUE!")</f>
        <v>#VALUE!</v>
      </c>
      <c r="H549" s="10" t="str">
        <f>IFERROR(__xludf.DUMMYFUNCTION("""COMPUTED_VALUE"""),"")</f>
        <v/>
      </c>
    </row>
    <row r="550">
      <c r="E550" s="10" t="str">
        <f>IFERROR(__xludf.DUMMYFUNCTION("""COMPUTED_VALUE"""),"#VALUE!")</f>
        <v>#VALUE!</v>
      </c>
      <c r="F550" s="10" t="str">
        <f>IFERROR(__xludf.DUMMYFUNCTION("""COMPUTED_VALUE"""),"")</f>
        <v/>
      </c>
      <c r="G550" s="10" t="str">
        <f>IFERROR(__xludf.DUMMYFUNCTION("""COMPUTED_VALUE"""),"#VALUE!")</f>
        <v>#VALUE!</v>
      </c>
      <c r="H550" s="10" t="str">
        <f>IFERROR(__xludf.DUMMYFUNCTION("""COMPUTED_VALUE"""),"")</f>
        <v/>
      </c>
    </row>
    <row r="551">
      <c r="E551" s="10" t="str">
        <f>IFERROR(__xludf.DUMMYFUNCTION("""COMPUTED_VALUE"""),"#VALUE!")</f>
        <v>#VALUE!</v>
      </c>
      <c r="F551" s="10" t="str">
        <f>IFERROR(__xludf.DUMMYFUNCTION("""COMPUTED_VALUE"""),"")</f>
        <v/>
      </c>
      <c r="G551" s="10" t="str">
        <f>IFERROR(__xludf.DUMMYFUNCTION("""COMPUTED_VALUE"""),"#VALUE!")</f>
        <v>#VALUE!</v>
      </c>
      <c r="H551" s="10" t="str">
        <f>IFERROR(__xludf.DUMMYFUNCTION("""COMPUTED_VALUE"""),"")</f>
        <v/>
      </c>
    </row>
    <row r="552">
      <c r="E552" s="10" t="str">
        <f>IFERROR(__xludf.DUMMYFUNCTION("""COMPUTED_VALUE"""),"#VALUE!")</f>
        <v>#VALUE!</v>
      </c>
      <c r="F552" s="10" t="str">
        <f>IFERROR(__xludf.DUMMYFUNCTION("""COMPUTED_VALUE"""),"")</f>
        <v/>
      </c>
      <c r="G552" s="10" t="str">
        <f>IFERROR(__xludf.DUMMYFUNCTION("""COMPUTED_VALUE"""),"#VALUE!")</f>
        <v>#VALUE!</v>
      </c>
      <c r="H552" s="10" t="str">
        <f>IFERROR(__xludf.DUMMYFUNCTION("""COMPUTED_VALUE"""),"")</f>
        <v/>
      </c>
    </row>
    <row r="553">
      <c r="E553" s="10" t="str">
        <f>IFERROR(__xludf.DUMMYFUNCTION("""COMPUTED_VALUE"""),"#VALUE!")</f>
        <v>#VALUE!</v>
      </c>
      <c r="F553" s="10" t="str">
        <f>IFERROR(__xludf.DUMMYFUNCTION("""COMPUTED_VALUE"""),"")</f>
        <v/>
      </c>
      <c r="G553" s="10" t="str">
        <f>IFERROR(__xludf.DUMMYFUNCTION("""COMPUTED_VALUE"""),"#VALUE!")</f>
        <v>#VALUE!</v>
      </c>
      <c r="H553" s="10" t="str">
        <f>IFERROR(__xludf.DUMMYFUNCTION("""COMPUTED_VALUE"""),"")</f>
        <v/>
      </c>
    </row>
    <row r="554">
      <c r="E554" s="10" t="str">
        <f>IFERROR(__xludf.DUMMYFUNCTION("""COMPUTED_VALUE"""),"#VALUE!")</f>
        <v>#VALUE!</v>
      </c>
      <c r="F554" s="10" t="str">
        <f>IFERROR(__xludf.DUMMYFUNCTION("""COMPUTED_VALUE"""),"")</f>
        <v/>
      </c>
      <c r="G554" s="10" t="str">
        <f>IFERROR(__xludf.DUMMYFUNCTION("""COMPUTED_VALUE"""),"#VALUE!")</f>
        <v>#VALUE!</v>
      </c>
      <c r="H554" s="10" t="str">
        <f>IFERROR(__xludf.DUMMYFUNCTION("""COMPUTED_VALUE"""),"")</f>
        <v/>
      </c>
    </row>
    <row r="555">
      <c r="E555" s="10" t="str">
        <f>IFERROR(__xludf.DUMMYFUNCTION("""COMPUTED_VALUE"""),"#VALUE!")</f>
        <v>#VALUE!</v>
      </c>
      <c r="F555" s="10" t="str">
        <f>IFERROR(__xludf.DUMMYFUNCTION("""COMPUTED_VALUE"""),"")</f>
        <v/>
      </c>
      <c r="G555" s="10" t="str">
        <f>IFERROR(__xludf.DUMMYFUNCTION("""COMPUTED_VALUE"""),"#VALUE!")</f>
        <v>#VALUE!</v>
      </c>
      <c r="H555" s="10" t="str">
        <f>IFERROR(__xludf.DUMMYFUNCTION("""COMPUTED_VALUE"""),"")</f>
        <v/>
      </c>
    </row>
    <row r="556">
      <c r="E556" s="10" t="str">
        <f>IFERROR(__xludf.DUMMYFUNCTION("""COMPUTED_VALUE"""),"#VALUE!")</f>
        <v>#VALUE!</v>
      </c>
      <c r="F556" s="10" t="str">
        <f>IFERROR(__xludf.DUMMYFUNCTION("""COMPUTED_VALUE"""),"")</f>
        <v/>
      </c>
      <c r="G556" s="10" t="str">
        <f>IFERROR(__xludf.DUMMYFUNCTION("""COMPUTED_VALUE"""),"#VALUE!")</f>
        <v>#VALUE!</v>
      </c>
      <c r="H556" s="10" t="str">
        <f>IFERROR(__xludf.DUMMYFUNCTION("""COMPUTED_VALUE"""),"")</f>
        <v/>
      </c>
    </row>
    <row r="557">
      <c r="E557" s="10" t="str">
        <f>IFERROR(__xludf.DUMMYFUNCTION("""COMPUTED_VALUE"""),"#VALUE!")</f>
        <v>#VALUE!</v>
      </c>
      <c r="F557" s="10" t="str">
        <f>IFERROR(__xludf.DUMMYFUNCTION("""COMPUTED_VALUE"""),"")</f>
        <v/>
      </c>
      <c r="G557" s="10" t="str">
        <f>IFERROR(__xludf.DUMMYFUNCTION("""COMPUTED_VALUE"""),"#VALUE!")</f>
        <v>#VALUE!</v>
      </c>
      <c r="H557" s="10" t="str">
        <f>IFERROR(__xludf.DUMMYFUNCTION("""COMPUTED_VALUE"""),"")</f>
        <v/>
      </c>
    </row>
    <row r="558">
      <c r="E558" s="10" t="str">
        <f>IFERROR(__xludf.DUMMYFUNCTION("""COMPUTED_VALUE"""),"#VALUE!")</f>
        <v>#VALUE!</v>
      </c>
      <c r="F558" s="10" t="str">
        <f>IFERROR(__xludf.DUMMYFUNCTION("""COMPUTED_VALUE"""),"")</f>
        <v/>
      </c>
      <c r="G558" s="10" t="str">
        <f>IFERROR(__xludf.DUMMYFUNCTION("""COMPUTED_VALUE"""),"#VALUE!")</f>
        <v>#VALUE!</v>
      </c>
      <c r="H558" s="10" t="str">
        <f>IFERROR(__xludf.DUMMYFUNCTION("""COMPUTED_VALUE"""),"")</f>
        <v/>
      </c>
    </row>
    <row r="559">
      <c r="E559" s="10" t="str">
        <f>IFERROR(__xludf.DUMMYFUNCTION("""COMPUTED_VALUE"""),"#VALUE!")</f>
        <v>#VALUE!</v>
      </c>
      <c r="F559" s="10" t="str">
        <f>IFERROR(__xludf.DUMMYFUNCTION("""COMPUTED_VALUE"""),"")</f>
        <v/>
      </c>
      <c r="G559" s="10" t="str">
        <f>IFERROR(__xludf.DUMMYFUNCTION("""COMPUTED_VALUE"""),"#VALUE!")</f>
        <v>#VALUE!</v>
      </c>
      <c r="H559" s="10" t="str">
        <f>IFERROR(__xludf.DUMMYFUNCTION("""COMPUTED_VALUE"""),"")</f>
        <v/>
      </c>
    </row>
    <row r="560">
      <c r="E560" s="10" t="str">
        <f>IFERROR(__xludf.DUMMYFUNCTION("""COMPUTED_VALUE"""),"#VALUE!")</f>
        <v>#VALUE!</v>
      </c>
      <c r="F560" s="10" t="str">
        <f>IFERROR(__xludf.DUMMYFUNCTION("""COMPUTED_VALUE"""),"")</f>
        <v/>
      </c>
      <c r="G560" s="10" t="str">
        <f>IFERROR(__xludf.DUMMYFUNCTION("""COMPUTED_VALUE"""),"#VALUE!")</f>
        <v>#VALUE!</v>
      </c>
      <c r="H560" s="10" t="str">
        <f>IFERROR(__xludf.DUMMYFUNCTION("""COMPUTED_VALUE"""),"")</f>
        <v/>
      </c>
    </row>
    <row r="561">
      <c r="E561" s="10" t="str">
        <f>IFERROR(__xludf.DUMMYFUNCTION("""COMPUTED_VALUE"""),"#VALUE!")</f>
        <v>#VALUE!</v>
      </c>
      <c r="F561" s="10" t="str">
        <f>IFERROR(__xludf.DUMMYFUNCTION("""COMPUTED_VALUE"""),"")</f>
        <v/>
      </c>
      <c r="G561" s="10" t="str">
        <f>IFERROR(__xludf.DUMMYFUNCTION("""COMPUTED_VALUE"""),"#VALUE!")</f>
        <v>#VALUE!</v>
      </c>
      <c r="H561" s="10" t="str">
        <f>IFERROR(__xludf.DUMMYFUNCTION("""COMPUTED_VALUE"""),"")</f>
        <v/>
      </c>
    </row>
    <row r="562">
      <c r="E562" s="10" t="str">
        <f>IFERROR(__xludf.DUMMYFUNCTION("""COMPUTED_VALUE"""),"#VALUE!")</f>
        <v>#VALUE!</v>
      </c>
      <c r="F562" s="10" t="str">
        <f>IFERROR(__xludf.DUMMYFUNCTION("""COMPUTED_VALUE"""),"")</f>
        <v/>
      </c>
      <c r="G562" s="10" t="str">
        <f>IFERROR(__xludf.DUMMYFUNCTION("""COMPUTED_VALUE"""),"#VALUE!")</f>
        <v>#VALUE!</v>
      </c>
      <c r="H562" s="10" t="str">
        <f>IFERROR(__xludf.DUMMYFUNCTION("""COMPUTED_VALUE"""),"")</f>
        <v/>
      </c>
    </row>
    <row r="563">
      <c r="E563" s="10" t="str">
        <f>IFERROR(__xludf.DUMMYFUNCTION("""COMPUTED_VALUE"""),"#VALUE!")</f>
        <v>#VALUE!</v>
      </c>
      <c r="F563" s="10" t="str">
        <f>IFERROR(__xludf.DUMMYFUNCTION("""COMPUTED_VALUE"""),"")</f>
        <v/>
      </c>
      <c r="G563" s="10" t="str">
        <f>IFERROR(__xludf.DUMMYFUNCTION("""COMPUTED_VALUE"""),"#VALUE!")</f>
        <v>#VALUE!</v>
      </c>
      <c r="H563" s="10" t="str">
        <f>IFERROR(__xludf.DUMMYFUNCTION("""COMPUTED_VALUE"""),"")</f>
        <v/>
      </c>
    </row>
    <row r="564">
      <c r="E564" s="10" t="str">
        <f>IFERROR(__xludf.DUMMYFUNCTION("""COMPUTED_VALUE"""),"#VALUE!")</f>
        <v>#VALUE!</v>
      </c>
      <c r="F564" s="10" t="str">
        <f>IFERROR(__xludf.DUMMYFUNCTION("""COMPUTED_VALUE"""),"")</f>
        <v/>
      </c>
      <c r="G564" s="10" t="str">
        <f>IFERROR(__xludf.DUMMYFUNCTION("""COMPUTED_VALUE"""),"#VALUE!")</f>
        <v>#VALUE!</v>
      </c>
      <c r="H564" s="10" t="str">
        <f>IFERROR(__xludf.DUMMYFUNCTION("""COMPUTED_VALUE"""),"")</f>
        <v/>
      </c>
    </row>
    <row r="565">
      <c r="E565" s="10" t="str">
        <f>IFERROR(__xludf.DUMMYFUNCTION("""COMPUTED_VALUE"""),"#VALUE!")</f>
        <v>#VALUE!</v>
      </c>
      <c r="F565" s="10" t="str">
        <f>IFERROR(__xludf.DUMMYFUNCTION("""COMPUTED_VALUE"""),"")</f>
        <v/>
      </c>
      <c r="G565" s="10" t="str">
        <f>IFERROR(__xludf.DUMMYFUNCTION("""COMPUTED_VALUE"""),"#VALUE!")</f>
        <v>#VALUE!</v>
      </c>
      <c r="H565" s="10" t="str">
        <f>IFERROR(__xludf.DUMMYFUNCTION("""COMPUTED_VALUE"""),"")</f>
        <v/>
      </c>
    </row>
    <row r="566">
      <c r="E566" s="10" t="str">
        <f>IFERROR(__xludf.DUMMYFUNCTION("""COMPUTED_VALUE"""),"#VALUE!")</f>
        <v>#VALUE!</v>
      </c>
      <c r="F566" s="10" t="str">
        <f>IFERROR(__xludf.DUMMYFUNCTION("""COMPUTED_VALUE"""),"")</f>
        <v/>
      </c>
      <c r="G566" s="10" t="str">
        <f>IFERROR(__xludf.DUMMYFUNCTION("""COMPUTED_VALUE"""),"#VALUE!")</f>
        <v>#VALUE!</v>
      </c>
      <c r="H566" s="10" t="str">
        <f>IFERROR(__xludf.DUMMYFUNCTION("""COMPUTED_VALUE"""),"")</f>
        <v/>
      </c>
    </row>
    <row r="567">
      <c r="E567" s="10" t="str">
        <f>IFERROR(__xludf.DUMMYFUNCTION("""COMPUTED_VALUE"""),"#VALUE!")</f>
        <v>#VALUE!</v>
      </c>
      <c r="F567" s="10" t="str">
        <f>IFERROR(__xludf.DUMMYFUNCTION("""COMPUTED_VALUE"""),"")</f>
        <v/>
      </c>
      <c r="G567" s="10" t="str">
        <f>IFERROR(__xludf.DUMMYFUNCTION("""COMPUTED_VALUE"""),"#VALUE!")</f>
        <v>#VALUE!</v>
      </c>
      <c r="H567" s="10" t="str">
        <f>IFERROR(__xludf.DUMMYFUNCTION("""COMPUTED_VALUE"""),"")</f>
        <v/>
      </c>
    </row>
    <row r="568">
      <c r="E568" s="10" t="str">
        <f>IFERROR(__xludf.DUMMYFUNCTION("""COMPUTED_VALUE"""),"#VALUE!")</f>
        <v>#VALUE!</v>
      </c>
      <c r="F568" s="10" t="str">
        <f>IFERROR(__xludf.DUMMYFUNCTION("""COMPUTED_VALUE"""),"")</f>
        <v/>
      </c>
      <c r="G568" s="10" t="str">
        <f>IFERROR(__xludf.DUMMYFUNCTION("""COMPUTED_VALUE"""),"#VALUE!")</f>
        <v>#VALUE!</v>
      </c>
      <c r="H568" s="10" t="str">
        <f>IFERROR(__xludf.DUMMYFUNCTION("""COMPUTED_VALUE"""),"")</f>
        <v/>
      </c>
    </row>
    <row r="569">
      <c r="E569" s="10" t="str">
        <f>IFERROR(__xludf.DUMMYFUNCTION("""COMPUTED_VALUE"""),"#VALUE!")</f>
        <v>#VALUE!</v>
      </c>
      <c r="F569" s="10" t="str">
        <f>IFERROR(__xludf.DUMMYFUNCTION("""COMPUTED_VALUE"""),"")</f>
        <v/>
      </c>
      <c r="G569" s="10" t="str">
        <f>IFERROR(__xludf.DUMMYFUNCTION("""COMPUTED_VALUE"""),"#VALUE!")</f>
        <v>#VALUE!</v>
      </c>
      <c r="H569" s="10" t="str">
        <f>IFERROR(__xludf.DUMMYFUNCTION("""COMPUTED_VALUE"""),"")</f>
        <v/>
      </c>
    </row>
    <row r="570">
      <c r="E570" s="10" t="str">
        <f>IFERROR(__xludf.DUMMYFUNCTION("""COMPUTED_VALUE"""),"#VALUE!")</f>
        <v>#VALUE!</v>
      </c>
      <c r="F570" s="10" t="str">
        <f>IFERROR(__xludf.DUMMYFUNCTION("""COMPUTED_VALUE"""),"")</f>
        <v/>
      </c>
      <c r="G570" s="10" t="str">
        <f>IFERROR(__xludf.DUMMYFUNCTION("""COMPUTED_VALUE"""),"#VALUE!")</f>
        <v>#VALUE!</v>
      </c>
      <c r="H570" s="10" t="str">
        <f>IFERROR(__xludf.DUMMYFUNCTION("""COMPUTED_VALUE"""),"")</f>
        <v/>
      </c>
    </row>
    <row r="571">
      <c r="E571" s="10" t="str">
        <f>IFERROR(__xludf.DUMMYFUNCTION("""COMPUTED_VALUE"""),"#VALUE!")</f>
        <v>#VALUE!</v>
      </c>
      <c r="F571" s="10" t="str">
        <f>IFERROR(__xludf.DUMMYFUNCTION("""COMPUTED_VALUE"""),"")</f>
        <v/>
      </c>
      <c r="G571" s="10" t="str">
        <f>IFERROR(__xludf.DUMMYFUNCTION("""COMPUTED_VALUE"""),"#VALUE!")</f>
        <v>#VALUE!</v>
      </c>
      <c r="H571" s="10" t="str">
        <f>IFERROR(__xludf.DUMMYFUNCTION("""COMPUTED_VALUE"""),"")</f>
        <v/>
      </c>
    </row>
    <row r="572">
      <c r="E572" s="10" t="str">
        <f>IFERROR(__xludf.DUMMYFUNCTION("""COMPUTED_VALUE"""),"#VALUE!")</f>
        <v>#VALUE!</v>
      </c>
      <c r="F572" s="10" t="str">
        <f>IFERROR(__xludf.DUMMYFUNCTION("""COMPUTED_VALUE"""),"")</f>
        <v/>
      </c>
      <c r="G572" s="10" t="str">
        <f>IFERROR(__xludf.DUMMYFUNCTION("""COMPUTED_VALUE"""),"#VALUE!")</f>
        <v>#VALUE!</v>
      </c>
      <c r="H572" s="10" t="str">
        <f>IFERROR(__xludf.DUMMYFUNCTION("""COMPUTED_VALUE"""),"")</f>
        <v/>
      </c>
    </row>
    <row r="573">
      <c r="E573" s="10" t="str">
        <f>IFERROR(__xludf.DUMMYFUNCTION("""COMPUTED_VALUE"""),"#VALUE!")</f>
        <v>#VALUE!</v>
      </c>
      <c r="F573" s="10" t="str">
        <f>IFERROR(__xludf.DUMMYFUNCTION("""COMPUTED_VALUE"""),"")</f>
        <v/>
      </c>
      <c r="G573" s="10" t="str">
        <f>IFERROR(__xludf.DUMMYFUNCTION("""COMPUTED_VALUE"""),"#VALUE!")</f>
        <v>#VALUE!</v>
      </c>
      <c r="H573" s="10" t="str">
        <f>IFERROR(__xludf.DUMMYFUNCTION("""COMPUTED_VALUE"""),"")</f>
        <v/>
      </c>
    </row>
    <row r="574">
      <c r="E574" s="10" t="str">
        <f>IFERROR(__xludf.DUMMYFUNCTION("""COMPUTED_VALUE"""),"#VALUE!")</f>
        <v>#VALUE!</v>
      </c>
      <c r="F574" s="10" t="str">
        <f>IFERROR(__xludf.DUMMYFUNCTION("""COMPUTED_VALUE"""),"")</f>
        <v/>
      </c>
      <c r="G574" s="10" t="str">
        <f>IFERROR(__xludf.DUMMYFUNCTION("""COMPUTED_VALUE"""),"#VALUE!")</f>
        <v>#VALUE!</v>
      </c>
      <c r="H574" s="10" t="str">
        <f>IFERROR(__xludf.DUMMYFUNCTION("""COMPUTED_VALUE"""),"")</f>
        <v/>
      </c>
    </row>
    <row r="575">
      <c r="E575" s="10" t="str">
        <f>IFERROR(__xludf.DUMMYFUNCTION("""COMPUTED_VALUE"""),"#VALUE!")</f>
        <v>#VALUE!</v>
      </c>
      <c r="F575" s="10" t="str">
        <f>IFERROR(__xludf.DUMMYFUNCTION("""COMPUTED_VALUE"""),"")</f>
        <v/>
      </c>
      <c r="G575" s="10" t="str">
        <f>IFERROR(__xludf.DUMMYFUNCTION("""COMPUTED_VALUE"""),"#VALUE!")</f>
        <v>#VALUE!</v>
      </c>
      <c r="H575" s="10" t="str">
        <f>IFERROR(__xludf.DUMMYFUNCTION("""COMPUTED_VALUE"""),"")</f>
        <v/>
      </c>
    </row>
    <row r="576">
      <c r="E576" s="10" t="str">
        <f>IFERROR(__xludf.DUMMYFUNCTION("""COMPUTED_VALUE"""),"#VALUE!")</f>
        <v>#VALUE!</v>
      </c>
      <c r="F576" s="10" t="str">
        <f>IFERROR(__xludf.DUMMYFUNCTION("""COMPUTED_VALUE"""),"")</f>
        <v/>
      </c>
      <c r="G576" s="10" t="str">
        <f>IFERROR(__xludf.DUMMYFUNCTION("""COMPUTED_VALUE"""),"#VALUE!")</f>
        <v>#VALUE!</v>
      </c>
      <c r="H576" s="10" t="str">
        <f>IFERROR(__xludf.DUMMYFUNCTION("""COMPUTED_VALUE"""),"")</f>
        <v/>
      </c>
    </row>
    <row r="577">
      <c r="E577" s="10" t="str">
        <f>IFERROR(__xludf.DUMMYFUNCTION("""COMPUTED_VALUE"""),"#VALUE!")</f>
        <v>#VALUE!</v>
      </c>
      <c r="F577" s="10" t="str">
        <f>IFERROR(__xludf.DUMMYFUNCTION("""COMPUTED_VALUE"""),"")</f>
        <v/>
      </c>
      <c r="G577" s="10" t="str">
        <f>IFERROR(__xludf.DUMMYFUNCTION("""COMPUTED_VALUE"""),"#VALUE!")</f>
        <v>#VALUE!</v>
      </c>
      <c r="H577" s="10" t="str">
        <f>IFERROR(__xludf.DUMMYFUNCTION("""COMPUTED_VALUE"""),"")</f>
        <v/>
      </c>
    </row>
    <row r="578">
      <c r="E578" s="10" t="str">
        <f>IFERROR(__xludf.DUMMYFUNCTION("""COMPUTED_VALUE"""),"#VALUE!")</f>
        <v>#VALUE!</v>
      </c>
      <c r="F578" s="10" t="str">
        <f>IFERROR(__xludf.DUMMYFUNCTION("""COMPUTED_VALUE"""),"")</f>
        <v/>
      </c>
      <c r="G578" s="10" t="str">
        <f>IFERROR(__xludf.DUMMYFUNCTION("""COMPUTED_VALUE"""),"#VALUE!")</f>
        <v>#VALUE!</v>
      </c>
      <c r="H578" s="10" t="str">
        <f>IFERROR(__xludf.DUMMYFUNCTION("""COMPUTED_VALUE"""),"")</f>
        <v/>
      </c>
    </row>
    <row r="579">
      <c r="E579" s="10" t="str">
        <f>IFERROR(__xludf.DUMMYFUNCTION("""COMPUTED_VALUE"""),"#VALUE!")</f>
        <v>#VALUE!</v>
      </c>
      <c r="F579" s="10" t="str">
        <f>IFERROR(__xludf.DUMMYFUNCTION("""COMPUTED_VALUE"""),"")</f>
        <v/>
      </c>
      <c r="G579" s="10" t="str">
        <f>IFERROR(__xludf.DUMMYFUNCTION("""COMPUTED_VALUE"""),"#VALUE!")</f>
        <v>#VALUE!</v>
      </c>
      <c r="H579" s="10" t="str">
        <f>IFERROR(__xludf.DUMMYFUNCTION("""COMPUTED_VALUE"""),"")</f>
        <v/>
      </c>
    </row>
    <row r="580">
      <c r="E580" s="10" t="str">
        <f>IFERROR(__xludf.DUMMYFUNCTION("""COMPUTED_VALUE"""),"#VALUE!")</f>
        <v>#VALUE!</v>
      </c>
      <c r="F580" s="10" t="str">
        <f>IFERROR(__xludf.DUMMYFUNCTION("""COMPUTED_VALUE"""),"")</f>
        <v/>
      </c>
      <c r="G580" s="10" t="str">
        <f>IFERROR(__xludf.DUMMYFUNCTION("""COMPUTED_VALUE"""),"#VALUE!")</f>
        <v>#VALUE!</v>
      </c>
      <c r="H580" s="10" t="str">
        <f>IFERROR(__xludf.DUMMYFUNCTION("""COMPUTED_VALUE"""),"")</f>
        <v/>
      </c>
    </row>
    <row r="581">
      <c r="E581" s="10" t="str">
        <f>IFERROR(__xludf.DUMMYFUNCTION("""COMPUTED_VALUE"""),"#VALUE!")</f>
        <v>#VALUE!</v>
      </c>
      <c r="F581" s="10" t="str">
        <f>IFERROR(__xludf.DUMMYFUNCTION("""COMPUTED_VALUE"""),"")</f>
        <v/>
      </c>
      <c r="G581" s="10" t="str">
        <f>IFERROR(__xludf.DUMMYFUNCTION("""COMPUTED_VALUE"""),"#VALUE!")</f>
        <v>#VALUE!</v>
      </c>
      <c r="H581" s="10" t="str">
        <f>IFERROR(__xludf.DUMMYFUNCTION("""COMPUTED_VALUE"""),"")</f>
        <v/>
      </c>
    </row>
    <row r="582">
      <c r="E582" s="10" t="str">
        <f>IFERROR(__xludf.DUMMYFUNCTION("""COMPUTED_VALUE"""),"#VALUE!")</f>
        <v>#VALUE!</v>
      </c>
      <c r="F582" s="10" t="str">
        <f>IFERROR(__xludf.DUMMYFUNCTION("""COMPUTED_VALUE"""),"")</f>
        <v/>
      </c>
      <c r="G582" s="10" t="str">
        <f>IFERROR(__xludf.DUMMYFUNCTION("""COMPUTED_VALUE"""),"#VALUE!")</f>
        <v>#VALUE!</v>
      </c>
      <c r="H582" s="10" t="str">
        <f>IFERROR(__xludf.DUMMYFUNCTION("""COMPUTED_VALUE"""),"")</f>
        <v/>
      </c>
    </row>
    <row r="583">
      <c r="E583" s="10" t="str">
        <f>IFERROR(__xludf.DUMMYFUNCTION("""COMPUTED_VALUE"""),"#VALUE!")</f>
        <v>#VALUE!</v>
      </c>
      <c r="F583" s="10" t="str">
        <f>IFERROR(__xludf.DUMMYFUNCTION("""COMPUTED_VALUE"""),"")</f>
        <v/>
      </c>
      <c r="G583" s="10" t="str">
        <f>IFERROR(__xludf.DUMMYFUNCTION("""COMPUTED_VALUE"""),"#VALUE!")</f>
        <v>#VALUE!</v>
      </c>
      <c r="H583" s="10" t="str">
        <f>IFERROR(__xludf.DUMMYFUNCTION("""COMPUTED_VALUE"""),"")</f>
        <v/>
      </c>
    </row>
    <row r="584">
      <c r="E584" s="10" t="str">
        <f>IFERROR(__xludf.DUMMYFUNCTION("""COMPUTED_VALUE"""),"#VALUE!")</f>
        <v>#VALUE!</v>
      </c>
      <c r="F584" s="10" t="str">
        <f>IFERROR(__xludf.DUMMYFUNCTION("""COMPUTED_VALUE"""),"")</f>
        <v/>
      </c>
      <c r="G584" s="10" t="str">
        <f>IFERROR(__xludf.DUMMYFUNCTION("""COMPUTED_VALUE"""),"#VALUE!")</f>
        <v>#VALUE!</v>
      </c>
      <c r="H584" s="10" t="str">
        <f>IFERROR(__xludf.DUMMYFUNCTION("""COMPUTED_VALUE"""),"")</f>
        <v/>
      </c>
    </row>
    <row r="585">
      <c r="E585" s="10" t="str">
        <f>IFERROR(__xludf.DUMMYFUNCTION("""COMPUTED_VALUE"""),"#VALUE!")</f>
        <v>#VALUE!</v>
      </c>
      <c r="F585" s="10" t="str">
        <f>IFERROR(__xludf.DUMMYFUNCTION("""COMPUTED_VALUE"""),"")</f>
        <v/>
      </c>
      <c r="G585" s="10" t="str">
        <f>IFERROR(__xludf.DUMMYFUNCTION("""COMPUTED_VALUE"""),"#VALUE!")</f>
        <v>#VALUE!</v>
      </c>
      <c r="H585" s="10" t="str">
        <f>IFERROR(__xludf.DUMMYFUNCTION("""COMPUTED_VALUE"""),"")</f>
        <v/>
      </c>
    </row>
    <row r="586">
      <c r="E586" s="10" t="str">
        <f>IFERROR(__xludf.DUMMYFUNCTION("""COMPUTED_VALUE"""),"#VALUE!")</f>
        <v>#VALUE!</v>
      </c>
      <c r="F586" s="10" t="str">
        <f>IFERROR(__xludf.DUMMYFUNCTION("""COMPUTED_VALUE"""),"")</f>
        <v/>
      </c>
      <c r="G586" s="10" t="str">
        <f>IFERROR(__xludf.DUMMYFUNCTION("""COMPUTED_VALUE"""),"#VALUE!")</f>
        <v>#VALUE!</v>
      </c>
      <c r="H586" s="10" t="str">
        <f>IFERROR(__xludf.DUMMYFUNCTION("""COMPUTED_VALUE"""),"")</f>
        <v/>
      </c>
    </row>
    <row r="587">
      <c r="E587" s="10" t="str">
        <f>IFERROR(__xludf.DUMMYFUNCTION("""COMPUTED_VALUE"""),"#VALUE!")</f>
        <v>#VALUE!</v>
      </c>
      <c r="F587" s="10" t="str">
        <f>IFERROR(__xludf.DUMMYFUNCTION("""COMPUTED_VALUE"""),"")</f>
        <v/>
      </c>
      <c r="G587" s="10" t="str">
        <f>IFERROR(__xludf.DUMMYFUNCTION("""COMPUTED_VALUE"""),"#VALUE!")</f>
        <v>#VALUE!</v>
      </c>
      <c r="H587" s="10" t="str">
        <f>IFERROR(__xludf.DUMMYFUNCTION("""COMPUTED_VALUE"""),"")</f>
        <v/>
      </c>
    </row>
    <row r="588">
      <c r="E588" s="10" t="str">
        <f>IFERROR(__xludf.DUMMYFUNCTION("""COMPUTED_VALUE"""),"#VALUE!")</f>
        <v>#VALUE!</v>
      </c>
      <c r="F588" s="10" t="str">
        <f>IFERROR(__xludf.DUMMYFUNCTION("""COMPUTED_VALUE"""),"")</f>
        <v/>
      </c>
      <c r="G588" s="10" t="str">
        <f>IFERROR(__xludf.DUMMYFUNCTION("""COMPUTED_VALUE"""),"#VALUE!")</f>
        <v>#VALUE!</v>
      </c>
      <c r="H588" s="10" t="str">
        <f>IFERROR(__xludf.DUMMYFUNCTION("""COMPUTED_VALUE"""),"")</f>
        <v/>
      </c>
    </row>
    <row r="589">
      <c r="E589" s="10" t="str">
        <f>IFERROR(__xludf.DUMMYFUNCTION("""COMPUTED_VALUE"""),"#VALUE!")</f>
        <v>#VALUE!</v>
      </c>
      <c r="F589" s="10" t="str">
        <f>IFERROR(__xludf.DUMMYFUNCTION("""COMPUTED_VALUE"""),"")</f>
        <v/>
      </c>
      <c r="G589" s="10" t="str">
        <f>IFERROR(__xludf.DUMMYFUNCTION("""COMPUTED_VALUE"""),"#VALUE!")</f>
        <v>#VALUE!</v>
      </c>
      <c r="H589" s="10" t="str">
        <f>IFERROR(__xludf.DUMMYFUNCTION("""COMPUTED_VALUE"""),"")</f>
        <v/>
      </c>
    </row>
    <row r="590">
      <c r="E590" s="10" t="str">
        <f>IFERROR(__xludf.DUMMYFUNCTION("""COMPUTED_VALUE"""),"#VALUE!")</f>
        <v>#VALUE!</v>
      </c>
      <c r="F590" s="10" t="str">
        <f>IFERROR(__xludf.DUMMYFUNCTION("""COMPUTED_VALUE"""),"")</f>
        <v/>
      </c>
      <c r="G590" s="10" t="str">
        <f>IFERROR(__xludf.DUMMYFUNCTION("""COMPUTED_VALUE"""),"#VALUE!")</f>
        <v>#VALUE!</v>
      </c>
      <c r="H590" s="10" t="str">
        <f>IFERROR(__xludf.DUMMYFUNCTION("""COMPUTED_VALUE"""),"")</f>
        <v/>
      </c>
    </row>
    <row r="591">
      <c r="E591" s="10" t="str">
        <f>IFERROR(__xludf.DUMMYFUNCTION("""COMPUTED_VALUE"""),"#VALUE!")</f>
        <v>#VALUE!</v>
      </c>
      <c r="F591" s="10" t="str">
        <f>IFERROR(__xludf.DUMMYFUNCTION("""COMPUTED_VALUE"""),"")</f>
        <v/>
      </c>
      <c r="G591" s="10" t="str">
        <f>IFERROR(__xludf.DUMMYFUNCTION("""COMPUTED_VALUE"""),"#VALUE!")</f>
        <v>#VALUE!</v>
      </c>
      <c r="H591" s="10" t="str">
        <f>IFERROR(__xludf.DUMMYFUNCTION("""COMPUTED_VALUE"""),"")</f>
        <v/>
      </c>
    </row>
    <row r="592">
      <c r="E592" s="10" t="str">
        <f>IFERROR(__xludf.DUMMYFUNCTION("""COMPUTED_VALUE"""),"#VALUE!")</f>
        <v>#VALUE!</v>
      </c>
      <c r="F592" s="10" t="str">
        <f>IFERROR(__xludf.DUMMYFUNCTION("""COMPUTED_VALUE"""),"")</f>
        <v/>
      </c>
      <c r="G592" s="10" t="str">
        <f>IFERROR(__xludf.DUMMYFUNCTION("""COMPUTED_VALUE"""),"#VALUE!")</f>
        <v>#VALUE!</v>
      </c>
      <c r="H592" s="10" t="str">
        <f>IFERROR(__xludf.DUMMYFUNCTION("""COMPUTED_VALUE"""),"")</f>
        <v/>
      </c>
    </row>
    <row r="593">
      <c r="E593" s="10" t="str">
        <f>IFERROR(__xludf.DUMMYFUNCTION("""COMPUTED_VALUE"""),"#VALUE!")</f>
        <v>#VALUE!</v>
      </c>
      <c r="F593" s="10" t="str">
        <f>IFERROR(__xludf.DUMMYFUNCTION("""COMPUTED_VALUE"""),"")</f>
        <v/>
      </c>
      <c r="G593" s="10" t="str">
        <f>IFERROR(__xludf.DUMMYFUNCTION("""COMPUTED_VALUE"""),"#VALUE!")</f>
        <v>#VALUE!</v>
      </c>
      <c r="H593" s="10" t="str">
        <f>IFERROR(__xludf.DUMMYFUNCTION("""COMPUTED_VALUE"""),"")</f>
        <v/>
      </c>
    </row>
    <row r="594">
      <c r="E594" s="10" t="str">
        <f>IFERROR(__xludf.DUMMYFUNCTION("""COMPUTED_VALUE"""),"#VALUE!")</f>
        <v>#VALUE!</v>
      </c>
      <c r="F594" s="10" t="str">
        <f>IFERROR(__xludf.DUMMYFUNCTION("""COMPUTED_VALUE"""),"")</f>
        <v/>
      </c>
      <c r="G594" s="10" t="str">
        <f>IFERROR(__xludf.DUMMYFUNCTION("""COMPUTED_VALUE"""),"#VALUE!")</f>
        <v>#VALUE!</v>
      </c>
      <c r="H594" s="10" t="str">
        <f>IFERROR(__xludf.DUMMYFUNCTION("""COMPUTED_VALUE"""),"")</f>
        <v/>
      </c>
    </row>
    <row r="595">
      <c r="E595" s="10" t="str">
        <f>IFERROR(__xludf.DUMMYFUNCTION("""COMPUTED_VALUE"""),"#VALUE!")</f>
        <v>#VALUE!</v>
      </c>
      <c r="F595" s="10" t="str">
        <f>IFERROR(__xludf.DUMMYFUNCTION("""COMPUTED_VALUE"""),"")</f>
        <v/>
      </c>
      <c r="G595" s="10" t="str">
        <f>IFERROR(__xludf.DUMMYFUNCTION("""COMPUTED_VALUE"""),"#VALUE!")</f>
        <v>#VALUE!</v>
      </c>
      <c r="H595" s="10" t="str">
        <f>IFERROR(__xludf.DUMMYFUNCTION("""COMPUTED_VALUE"""),"")</f>
        <v/>
      </c>
    </row>
    <row r="596">
      <c r="E596" s="10" t="str">
        <f>IFERROR(__xludf.DUMMYFUNCTION("""COMPUTED_VALUE"""),"#VALUE!")</f>
        <v>#VALUE!</v>
      </c>
      <c r="F596" s="10" t="str">
        <f>IFERROR(__xludf.DUMMYFUNCTION("""COMPUTED_VALUE"""),"")</f>
        <v/>
      </c>
      <c r="G596" s="10" t="str">
        <f>IFERROR(__xludf.DUMMYFUNCTION("""COMPUTED_VALUE"""),"#VALUE!")</f>
        <v>#VALUE!</v>
      </c>
      <c r="H596" s="10" t="str">
        <f>IFERROR(__xludf.DUMMYFUNCTION("""COMPUTED_VALUE"""),"")</f>
        <v/>
      </c>
    </row>
    <row r="597">
      <c r="E597" s="10" t="str">
        <f>IFERROR(__xludf.DUMMYFUNCTION("""COMPUTED_VALUE"""),"#VALUE!")</f>
        <v>#VALUE!</v>
      </c>
      <c r="F597" s="10" t="str">
        <f>IFERROR(__xludf.DUMMYFUNCTION("""COMPUTED_VALUE"""),"")</f>
        <v/>
      </c>
      <c r="G597" s="10" t="str">
        <f>IFERROR(__xludf.DUMMYFUNCTION("""COMPUTED_VALUE"""),"#VALUE!")</f>
        <v>#VALUE!</v>
      </c>
      <c r="H597" s="10" t="str">
        <f>IFERROR(__xludf.DUMMYFUNCTION("""COMPUTED_VALUE"""),"")</f>
        <v/>
      </c>
    </row>
    <row r="598">
      <c r="E598" s="10" t="str">
        <f>IFERROR(__xludf.DUMMYFUNCTION("""COMPUTED_VALUE"""),"#VALUE!")</f>
        <v>#VALUE!</v>
      </c>
      <c r="F598" s="10" t="str">
        <f>IFERROR(__xludf.DUMMYFUNCTION("""COMPUTED_VALUE"""),"")</f>
        <v/>
      </c>
      <c r="G598" s="10" t="str">
        <f>IFERROR(__xludf.DUMMYFUNCTION("""COMPUTED_VALUE"""),"#VALUE!")</f>
        <v>#VALUE!</v>
      </c>
      <c r="H598" s="10" t="str">
        <f>IFERROR(__xludf.DUMMYFUNCTION("""COMPUTED_VALUE"""),"")</f>
        <v/>
      </c>
    </row>
    <row r="599">
      <c r="E599" s="10" t="str">
        <f>IFERROR(__xludf.DUMMYFUNCTION("""COMPUTED_VALUE"""),"#VALUE!")</f>
        <v>#VALUE!</v>
      </c>
      <c r="F599" s="10" t="str">
        <f>IFERROR(__xludf.DUMMYFUNCTION("""COMPUTED_VALUE"""),"")</f>
        <v/>
      </c>
      <c r="G599" s="10" t="str">
        <f>IFERROR(__xludf.DUMMYFUNCTION("""COMPUTED_VALUE"""),"#VALUE!")</f>
        <v>#VALUE!</v>
      </c>
      <c r="H599" s="10" t="str">
        <f>IFERROR(__xludf.DUMMYFUNCTION("""COMPUTED_VALUE"""),"")</f>
        <v/>
      </c>
    </row>
    <row r="600">
      <c r="E600" s="10" t="str">
        <f>IFERROR(__xludf.DUMMYFUNCTION("""COMPUTED_VALUE"""),"#VALUE!")</f>
        <v>#VALUE!</v>
      </c>
      <c r="F600" s="10" t="str">
        <f>IFERROR(__xludf.DUMMYFUNCTION("""COMPUTED_VALUE"""),"")</f>
        <v/>
      </c>
      <c r="G600" s="10" t="str">
        <f>IFERROR(__xludf.DUMMYFUNCTION("""COMPUTED_VALUE"""),"#VALUE!")</f>
        <v>#VALUE!</v>
      </c>
      <c r="H600" s="10" t="str">
        <f>IFERROR(__xludf.DUMMYFUNCTION("""COMPUTED_VALUE"""),"")</f>
        <v/>
      </c>
    </row>
    <row r="601">
      <c r="E601" s="10" t="str">
        <f>IFERROR(__xludf.DUMMYFUNCTION("""COMPUTED_VALUE"""),"#VALUE!")</f>
        <v>#VALUE!</v>
      </c>
      <c r="F601" s="10" t="str">
        <f>IFERROR(__xludf.DUMMYFUNCTION("""COMPUTED_VALUE"""),"")</f>
        <v/>
      </c>
      <c r="G601" s="10" t="str">
        <f>IFERROR(__xludf.DUMMYFUNCTION("""COMPUTED_VALUE"""),"#VALUE!")</f>
        <v>#VALUE!</v>
      </c>
      <c r="H601" s="10" t="str">
        <f>IFERROR(__xludf.DUMMYFUNCTION("""COMPUTED_VALUE"""),"")</f>
        <v/>
      </c>
    </row>
    <row r="602">
      <c r="E602" s="10" t="str">
        <f>IFERROR(__xludf.DUMMYFUNCTION("""COMPUTED_VALUE"""),"#VALUE!")</f>
        <v>#VALUE!</v>
      </c>
      <c r="F602" s="10" t="str">
        <f>IFERROR(__xludf.DUMMYFUNCTION("""COMPUTED_VALUE"""),"")</f>
        <v/>
      </c>
      <c r="G602" s="10" t="str">
        <f>IFERROR(__xludf.DUMMYFUNCTION("""COMPUTED_VALUE"""),"#VALUE!")</f>
        <v>#VALUE!</v>
      </c>
      <c r="H602" s="10" t="str">
        <f>IFERROR(__xludf.DUMMYFUNCTION("""COMPUTED_VALUE"""),"")</f>
        <v/>
      </c>
    </row>
    <row r="603">
      <c r="E603" s="10" t="str">
        <f>IFERROR(__xludf.DUMMYFUNCTION("""COMPUTED_VALUE"""),"#VALUE!")</f>
        <v>#VALUE!</v>
      </c>
      <c r="F603" s="10" t="str">
        <f>IFERROR(__xludf.DUMMYFUNCTION("""COMPUTED_VALUE"""),"")</f>
        <v/>
      </c>
      <c r="G603" s="10" t="str">
        <f>IFERROR(__xludf.DUMMYFUNCTION("""COMPUTED_VALUE"""),"#VALUE!")</f>
        <v>#VALUE!</v>
      </c>
      <c r="H603" s="10" t="str">
        <f>IFERROR(__xludf.DUMMYFUNCTION("""COMPUTED_VALUE"""),"")</f>
        <v/>
      </c>
    </row>
    <row r="604">
      <c r="E604" s="10" t="str">
        <f>IFERROR(__xludf.DUMMYFUNCTION("""COMPUTED_VALUE"""),"#VALUE!")</f>
        <v>#VALUE!</v>
      </c>
      <c r="F604" s="10" t="str">
        <f>IFERROR(__xludf.DUMMYFUNCTION("""COMPUTED_VALUE"""),"")</f>
        <v/>
      </c>
      <c r="G604" s="10" t="str">
        <f>IFERROR(__xludf.DUMMYFUNCTION("""COMPUTED_VALUE"""),"#VALUE!")</f>
        <v>#VALUE!</v>
      </c>
      <c r="H604" s="10" t="str">
        <f>IFERROR(__xludf.DUMMYFUNCTION("""COMPUTED_VALUE"""),"")</f>
        <v/>
      </c>
    </row>
    <row r="605">
      <c r="E605" s="10" t="str">
        <f>IFERROR(__xludf.DUMMYFUNCTION("""COMPUTED_VALUE"""),"#VALUE!")</f>
        <v>#VALUE!</v>
      </c>
      <c r="F605" s="10" t="str">
        <f>IFERROR(__xludf.DUMMYFUNCTION("""COMPUTED_VALUE"""),"")</f>
        <v/>
      </c>
      <c r="G605" s="10" t="str">
        <f>IFERROR(__xludf.DUMMYFUNCTION("""COMPUTED_VALUE"""),"#VALUE!")</f>
        <v>#VALUE!</v>
      </c>
      <c r="H605" s="10" t="str">
        <f>IFERROR(__xludf.DUMMYFUNCTION("""COMPUTED_VALUE"""),"")</f>
        <v/>
      </c>
    </row>
    <row r="606">
      <c r="E606" s="10" t="str">
        <f>IFERROR(__xludf.DUMMYFUNCTION("""COMPUTED_VALUE"""),"#VALUE!")</f>
        <v>#VALUE!</v>
      </c>
      <c r="F606" s="10" t="str">
        <f>IFERROR(__xludf.DUMMYFUNCTION("""COMPUTED_VALUE"""),"")</f>
        <v/>
      </c>
      <c r="G606" s="10" t="str">
        <f>IFERROR(__xludf.DUMMYFUNCTION("""COMPUTED_VALUE"""),"#VALUE!")</f>
        <v>#VALUE!</v>
      </c>
      <c r="H606" s="10" t="str">
        <f>IFERROR(__xludf.DUMMYFUNCTION("""COMPUTED_VALUE"""),"")</f>
        <v/>
      </c>
    </row>
    <row r="607">
      <c r="E607" s="10" t="str">
        <f>IFERROR(__xludf.DUMMYFUNCTION("""COMPUTED_VALUE"""),"#VALUE!")</f>
        <v>#VALUE!</v>
      </c>
      <c r="F607" s="10" t="str">
        <f>IFERROR(__xludf.DUMMYFUNCTION("""COMPUTED_VALUE"""),"")</f>
        <v/>
      </c>
      <c r="G607" s="10" t="str">
        <f>IFERROR(__xludf.DUMMYFUNCTION("""COMPUTED_VALUE"""),"#VALUE!")</f>
        <v>#VALUE!</v>
      </c>
      <c r="H607" s="10" t="str">
        <f>IFERROR(__xludf.DUMMYFUNCTION("""COMPUTED_VALUE"""),"")</f>
        <v/>
      </c>
    </row>
    <row r="608">
      <c r="E608" s="10" t="str">
        <f>IFERROR(__xludf.DUMMYFUNCTION("""COMPUTED_VALUE"""),"#VALUE!")</f>
        <v>#VALUE!</v>
      </c>
      <c r="F608" s="10" t="str">
        <f>IFERROR(__xludf.DUMMYFUNCTION("""COMPUTED_VALUE"""),"")</f>
        <v/>
      </c>
      <c r="G608" s="10" t="str">
        <f>IFERROR(__xludf.DUMMYFUNCTION("""COMPUTED_VALUE"""),"#VALUE!")</f>
        <v>#VALUE!</v>
      </c>
      <c r="H608" s="10" t="str">
        <f>IFERROR(__xludf.DUMMYFUNCTION("""COMPUTED_VALUE"""),"")</f>
        <v/>
      </c>
    </row>
    <row r="609">
      <c r="E609" s="10" t="str">
        <f>IFERROR(__xludf.DUMMYFUNCTION("""COMPUTED_VALUE"""),"#VALUE!")</f>
        <v>#VALUE!</v>
      </c>
      <c r="F609" s="10" t="str">
        <f>IFERROR(__xludf.DUMMYFUNCTION("""COMPUTED_VALUE"""),"")</f>
        <v/>
      </c>
      <c r="G609" s="10" t="str">
        <f>IFERROR(__xludf.DUMMYFUNCTION("""COMPUTED_VALUE"""),"#VALUE!")</f>
        <v>#VALUE!</v>
      </c>
      <c r="H609" s="10" t="str">
        <f>IFERROR(__xludf.DUMMYFUNCTION("""COMPUTED_VALUE"""),"")</f>
        <v/>
      </c>
    </row>
    <row r="610">
      <c r="E610" s="10" t="str">
        <f>IFERROR(__xludf.DUMMYFUNCTION("""COMPUTED_VALUE"""),"#VALUE!")</f>
        <v>#VALUE!</v>
      </c>
      <c r="F610" s="10" t="str">
        <f>IFERROR(__xludf.DUMMYFUNCTION("""COMPUTED_VALUE"""),"")</f>
        <v/>
      </c>
      <c r="G610" s="10" t="str">
        <f>IFERROR(__xludf.DUMMYFUNCTION("""COMPUTED_VALUE"""),"#VALUE!")</f>
        <v>#VALUE!</v>
      </c>
      <c r="H610" s="10" t="str">
        <f>IFERROR(__xludf.DUMMYFUNCTION("""COMPUTED_VALUE"""),"")</f>
        <v/>
      </c>
    </row>
    <row r="611">
      <c r="E611" s="10" t="str">
        <f>IFERROR(__xludf.DUMMYFUNCTION("""COMPUTED_VALUE"""),"#VALUE!")</f>
        <v>#VALUE!</v>
      </c>
      <c r="F611" s="10" t="str">
        <f>IFERROR(__xludf.DUMMYFUNCTION("""COMPUTED_VALUE"""),"")</f>
        <v/>
      </c>
      <c r="G611" s="10" t="str">
        <f>IFERROR(__xludf.DUMMYFUNCTION("""COMPUTED_VALUE"""),"#VALUE!")</f>
        <v>#VALUE!</v>
      </c>
      <c r="H611" s="10" t="str">
        <f>IFERROR(__xludf.DUMMYFUNCTION("""COMPUTED_VALUE"""),"")</f>
        <v/>
      </c>
    </row>
    <row r="612">
      <c r="E612" s="10" t="str">
        <f>IFERROR(__xludf.DUMMYFUNCTION("""COMPUTED_VALUE"""),"#VALUE!")</f>
        <v>#VALUE!</v>
      </c>
      <c r="F612" s="10" t="str">
        <f>IFERROR(__xludf.DUMMYFUNCTION("""COMPUTED_VALUE"""),"")</f>
        <v/>
      </c>
      <c r="G612" s="10" t="str">
        <f>IFERROR(__xludf.DUMMYFUNCTION("""COMPUTED_VALUE"""),"#VALUE!")</f>
        <v>#VALUE!</v>
      </c>
      <c r="H612" s="10" t="str">
        <f>IFERROR(__xludf.DUMMYFUNCTION("""COMPUTED_VALUE"""),"")</f>
        <v/>
      </c>
    </row>
    <row r="613">
      <c r="E613" s="10" t="str">
        <f>IFERROR(__xludf.DUMMYFUNCTION("""COMPUTED_VALUE"""),"#VALUE!")</f>
        <v>#VALUE!</v>
      </c>
      <c r="F613" s="10" t="str">
        <f>IFERROR(__xludf.DUMMYFUNCTION("""COMPUTED_VALUE"""),"")</f>
        <v/>
      </c>
      <c r="G613" s="10" t="str">
        <f>IFERROR(__xludf.DUMMYFUNCTION("""COMPUTED_VALUE"""),"#VALUE!")</f>
        <v>#VALUE!</v>
      </c>
      <c r="H613" s="10" t="str">
        <f>IFERROR(__xludf.DUMMYFUNCTION("""COMPUTED_VALUE"""),"")</f>
        <v/>
      </c>
    </row>
    <row r="614">
      <c r="E614" s="10" t="str">
        <f>IFERROR(__xludf.DUMMYFUNCTION("""COMPUTED_VALUE"""),"#VALUE!")</f>
        <v>#VALUE!</v>
      </c>
      <c r="F614" s="10" t="str">
        <f>IFERROR(__xludf.DUMMYFUNCTION("""COMPUTED_VALUE"""),"")</f>
        <v/>
      </c>
      <c r="G614" s="10" t="str">
        <f>IFERROR(__xludf.DUMMYFUNCTION("""COMPUTED_VALUE"""),"#VALUE!")</f>
        <v>#VALUE!</v>
      </c>
      <c r="H614" s="10" t="str">
        <f>IFERROR(__xludf.DUMMYFUNCTION("""COMPUTED_VALUE"""),"")</f>
        <v/>
      </c>
    </row>
    <row r="615">
      <c r="E615" s="10" t="str">
        <f>IFERROR(__xludf.DUMMYFUNCTION("""COMPUTED_VALUE"""),"#VALUE!")</f>
        <v>#VALUE!</v>
      </c>
      <c r="F615" s="10" t="str">
        <f>IFERROR(__xludf.DUMMYFUNCTION("""COMPUTED_VALUE"""),"")</f>
        <v/>
      </c>
      <c r="G615" s="10" t="str">
        <f>IFERROR(__xludf.DUMMYFUNCTION("""COMPUTED_VALUE"""),"#VALUE!")</f>
        <v>#VALUE!</v>
      </c>
      <c r="H615" s="10" t="str">
        <f>IFERROR(__xludf.DUMMYFUNCTION("""COMPUTED_VALUE"""),"")</f>
        <v/>
      </c>
    </row>
    <row r="616">
      <c r="E616" s="10" t="str">
        <f>IFERROR(__xludf.DUMMYFUNCTION("""COMPUTED_VALUE"""),"#VALUE!")</f>
        <v>#VALUE!</v>
      </c>
      <c r="F616" s="10" t="str">
        <f>IFERROR(__xludf.DUMMYFUNCTION("""COMPUTED_VALUE"""),"")</f>
        <v/>
      </c>
      <c r="G616" s="10" t="str">
        <f>IFERROR(__xludf.DUMMYFUNCTION("""COMPUTED_VALUE"""),"#VALUE!")</f>
        <v>#VALUE!</v>
      </c>
      <c r="H616" s="10" t="str">
        <f>IFERROR(__xludf.DUMMYFUNCTION("""COMPUTED_VALUE"""),"")</f>
        <v/>
      </c>
    </row>
    <row r="617">
      <c r="E617" s="10" t="str">
        <f>IFERROR(__xludf.DUMMYFUNCTION("""COMPUTED_VALUE"""),"#VALUE!")</f>
        <v>#VALUE!</v>
      </c>
      <c r="F617" s="10" t="str">
        <f>IFERROR(__xludf.DUMMYFUNCTION("""COMPUTED_VALUE"""),"")</f>
        <v/>
      </c>
      <c r="G617" s="10" t="str">
        <f>IFERROR(__xludf.DUMMYFUNCTION("""COMPUTED_VALUE"""),"#VALUE!")</f>
        <v>#VALUE!</v>
      </c>
      <c r="H617" s="10" t="str">
        <f>IFERROR(__xludf.DUMMYFUNCTION("""COMPUTED_VALUE"""),"")</f>
        <v/>
      </c>
    </row>
    <row r="618">
      <c r="E618" s="10" t="str">
        <f>IFERROR(__xludf.DUMMYFUNCTION("""COMPUTED_VALUE"""),"#VALUE!")</f>
        <v>#VALUE!</v>
      </c>
      <c r="F618" s="10" t="str">
        <f>IFERROR(__xludf.DUMMYFUNCTION("""COMPUTED_VALUE"""),"")</f>
        <v/>
      </c>
      <c r="G618" s="10" t="str">
        <f>IFERROR(__xludf.DUMMYFUNCTION("""COMPUTED_VALUE"""),"#VALUE!")</f>
        <v>#VALUE!</v>
      </c>
      <c r="H618" s="10" t="str">
        <f>IFERROR(__xludf.DUMMYFUNCTION("""COMPUTED_VALUE"""),"")</f>
        <v/>
      </c>
    </row>
    <row r="619">
      <c r="E619" s="10" t="str">
        <f>IFERROR(__xludf.DUMMYFUNCTION("""COMPUTED_VALUE"""),"#VALUE!")</f>
        <v>#VALUE!</v>
      </c>
      <c r="F619" s="10" t="str">
        <f>IFERROR(__xludf.DUMMYFUNCTION("""COMPUTED_VALUE"""),"")</f>
        <v/>
      </c>
      <c r="G619" s="10" t="str">
        <f>IFERROR(__xludf.DUMMYFUNCTION("""COMPUTED_VALUE"""),"#VALUE!")</f>
        <v>#VALUE!</v>
      </c>
      <c r="H619" s="10" t="str">
        <f>IFERROR(__xludf.DUMMYFUNCTION("""COMPUTED_VALUE"""),"")</f>
        <v/>
      </c>
    </row>
    <row r="620">
      <c r="E620" s="10" t="str">
        <f>IFERROR(__xludf.DUMMYFUNCTION("""COMPUTED_VALUE"""),"#VALUE!")</f>
        <v>#VALUE!</v>
      </c>
      <c r="F620" s="10" t="str">
        <f>IFERROR(__xludf.DUMMYFUNCTION("""COMPUTED_VALUE"""),"")</f>
        <v/>
      </c>
      <c r="G620" s="10" t="str">
        <f>IFERROR(__xludf.DUMMYFUNCTION("""COMPUTED_VALUE"""),"#VALUE!")</f>
        <v>#VALUE!</v>
      </c>
      <c r="H620" s="10" t="str">
        <f>IFERROR(__xludf.DUMMYFUNCTION("""COMPUTED_VALUE"""),"")</f>
        <v/>
      </c>
    </row>
    <row r="621">
      <c r="E621" s="10" t="str">
        <f>IFERROR(__xludf.DUMMYFUNCTION("""COMPUTED_VALUE"""),"#VALUE!")</f>
        <v>#VALUE!</v>
      </c>
      <c r="F621" s="10" t="str">
        <f>IFERROR(__xludf.DUMMYFUNCTION("""COMPUTED_VALUE"""),"")</f>
        <v/>
      </c>
      <c r="G621" s="10" t="str">
        <f>IFERROR(__xludf.DUMMYFUNCTION("""COMPUTED_VALUE"""),"#VALUE!")</f>
        <v>#VALUE!</v>
      </c>
      <c r="H621" s="10" t="str">
        <f>IFERROR(__xludf.DUMMYFUNCTION("""COMPUTED_VALUE"""),"")</f>
        <v/>
      </c>
    </row>
    <row r="622">
      <c r="E622" s="10" t="str">
        <f>IFERROR(__xludf.DUMMYFUNCTION("""COMPUTED_VALUE"""),"#VALUE!")</f>
        <v>#VALUE!</v>
      </c>
      <c r="F622" s="10" t="str">
        <f>IFERROR(__xludf.DUMMYFUNCTION("""COMPUTED_VALUE"""),"")</f>
        <v/>
      </c>
      <c r="G622" s="10" t="str">
        <f>IFERROR(__xludf.DUMMYFUNCTION("""COMPUTED_VALUE"""),"#VALUE!")</f>
        <v>#VALUE!</v>
      </c>
      <c r="H622" s="10" t="str">
        <f>IFERROR(__xludf.DUMMYFUNCTION("""COMPUTED_VALUE"""),"")</f>
        <v/>
      </c>
    </row>
    <row r="623">
      <c r="E623" s="10" t="str">
        <f>IFERROR(__xludf.DUMMYFUNCTION("""COMPUTED_VALUE"""),"#VALUE!")</f>
        <v>#VALUE!</v>
      </c>
      <c r="F623" s="10" t="str">
        <f>IFERROR(__xludf.DUMMYFUNCTION("""COMPUTED_VALUE"""),"")</f>
        <v/>
      </c>
      <c r="G623" s="10" t="str">
        <f>IFERROR(__xludf.DUMMYFUNCTION("""COMPUTED_VALUE"""),"#VALUE!")</f>
        <v>#VALUE!</v>
      </c>
      <c r="H623" s="10" t="str">
        <f>IFERROR(__xludf.DUMMYFUNCTION("""COMPUTED_VALUE"""),"")</f>
        <v/>
      </c>
    </row>
    <row r="624">
      <c r="E624" s="10" t="str">
        <f>IFERROR(__xludf.DUMMYFUNCTION("""COMPUTED_VALUE"""),"#VALUE!")</f>
        <v>#VALUE!</v>
      </c>
      <c r="F624" s="10" t="str">
        <f>IFERROR(__xludf.DUMMYFUNCTION("""COMPUTED_VALUE"""),"")</f>
        <v/>
      </c>
      <c r="G624" s="10" t="str">
        <f>IFERROR(__xludf.DUMMYFUNCTION("""COMPUTED_VALUE"""),"#VALUE!")</f>
        <v>#VALUE!</v>
      </c>
      <c r="H624" s="10" t="str">
        <f>IFERROR(__xludf.DUMMYFUNCTION("""COMPUTED_VALUE"""),"")</f>
        <v/>
      </c>
    </row>
    <row r="625">
      <c r="E625" s="10" t="str">
        <f>IFERROR(__xludf.DUMMYFUNCTION("""COMPUTED_VALUE"""),"#VALUE!")</f>
        <v>#VALUE!</v>
      </c>
      <c r="F625" s="10" t="str">
        <f>IFERROR(__xludf.DUMMYFUNCTION("""COMPUTED_VALUE"""),"")</f>
        <v/>
      </c>
      <c r="G625" s="10" t="str">
        <f>IFERROR(__xludf.DUMMYFUNCTION("""COMPUTED_VALUE"""),"#VALUE!")</f>
        <v>#VALUE!</v>
      </c>
      <c r="H625" s="10" t="str">
        <f>IFERROR(__xludf.DUMMYFUNCTION("""COMPUTED_VALUE"""),"")</f>
        <v/>
      </c>
    </row>
    <row r="626">
      <c r="E626" s="10" t="str">
        <f>IFERROR(__xludf.DUMMYFUNCTION("""COMPUTED_VALUE"""),"#VALUE!")</f>
        <v>#VALUE!</v>
      </c>
      <c r="F626" s="10" t="str">
        <f>IFERROR(__xludf.DUMMYFUNCTION("""COMPUTED_VALUE"""),"")</f>
        <v/>
      </c>
      <c r="G626" s="10" t="str">
        <f>IFERROR(__xludf.DUMMYFUNCTION("""COMPUTED_VALUE"""),"#VALUE!")</f>
        <v>#VALUE!</v>
      </c>
      <c r="H626" s="10" t="str">
        <f>IFERROR(__xludf.DUMMYFUNCTION("""COMPUTED_VALUE"""),"")</f>
        <v/>
      </c>
    </row>
    <row r="627">
      <c r="E627" s="10" t="str">
        <f>IFERROR(__xludf.DUMMYFUNCTION("""COMPUTED_VALUE"""),"#VALUE!")</f>
        <v>#VALUE!</v>
      </c>
      <c r="F627" s="10" t="str">
        <f>IFERROR(__xludf.DUMMYFUNCTION("""COMPUTED_VALUE"""),"")</f>
        <v/>
      </c>
      <c r="G627" s="10" t="str">
        <f>IFERROR(__xludf.DUMMYFUNCTION("""COMPUTED_VALUE"""),"#VALUE!")</f>
        <v>#VALUE!</v>
      </c>
      <c r="H627" s="10" t="str">
        <f>IFERROR(__xludf.DUMMYFUNCTION("""COMPUTED_VALUE"""),"")</f>
        <v/>
      </c>
    </row>
    <row r="628">
      <c r="E628" s="10" t="str">
        <f>IFERROR(__xludf.DUMMYFUNCTION("""COMPUTED_VALUE"""),"#VALUE!")</f>
        <v>#VALUE!</v>
      </c>
      <c r="F628" s="10" t="str">
        <f>IFERROR(__xludf.DUMMYFUNCTION("""COMPUTED_VALUE"""),"")</f>
        <v/>
      </c>
      <c r="G628" s="10" t="str">
        <f>IFERROR(__xludf.DUMMYFUNCTION("""COMPUTED_VALUE"""),"#VALUE!")</f>
        <v>#VALUE!</v>
      </c>
      <c r="H628" s="10" t="str">
        <f>IFERROR(__xludf.DUMMYFUNCTION("""COMPUTED_VALUE"""),"")</f>
        <v/>
      </c>
    </row>
    <row r="629">
      <c r="E629" s="10" t="str">
        <f>IFERROR(__xludf.DUMMYFUNCTION("""COMPUTED_VALUE"""),"#VALUE!")</f>
        <v>#VALUE!</v>
      </c>
      <c r="F629" s="10" t="str">
        <f>IFERROR(__xludf.DUMMYFUNCTION("""COMPUTED_VALUE"""),"")</f>
        <v/>
      </c>
      <c r="G629" s="10" t="str">
        <f>IFERROR(__xludf.DUMMYFUNCTION("""COMPUTED_VALUE"""),"#VALUE!")</f>
        <v>#VALUE!</v>
      </c>
      <c r="H629" s="10" t="str">
        <f>IFERROR(__xludf.DUMMYFUNCTION("""COMPUTED_VALUE"""),"")</f>
        <v/>
      </c>
    </row>
    <row r="630">
      <c r="E630" s="10" t="str">
        <f>IFERROR(__xludf.DUMMYFUNCTION("""COMPUTED_VALUE"""),"#VALUE!")</f>
        <v>#VALUE!</v>
      </c>
      <c r="F630" s="10" t="str">
        <f>IFERROR(__xludf.DUMMYFUNCTION("""COMPUTED_VALUE"""),"")</f>
        <v/>
      </c>
      <c r="G630" s="10" t="str">
        <f>IFERROR(__xludf.DUMMYFUNCTION("""COMPUTED_VALUE"""),"#VALUE!")</f>
        <v>#VALUE!</v>
      </c>
      <c r="H630" s="10" t="str">
        <f>IFERROR(__xludf.DUMMYFUNCTION("""COMPUTED_VALUE"""),"")</f>
        <v/>
      </c>
    </row>
    <row r="631">
      <c r="E631" s="10" t="str">
        <f>IFERROR(__xludf.DUMMYFUNCTION("""COMPUTED_VALUE"""),"#VALUE!")</f>
        <v>#VALUE!</v>
      </c>
      <c r="F631" s="10" t="str">
        <f>IFERROR(__xludf.DUMMYFUNCTION("""COMPUTED_VALUE"""),"")</f>
        <v/>
      </c>
      <c r="G631" s="10" t="str">
        <f>IFERROR(__xludf.DUMMYFUNCTION("""COMPUTED_VALUE"""),"#VALUE!")</f>
        <v>#VALUE!</v>
      </c>
      <c r="H631" s="10" t="str">
        <f>IFERROR(__xludf.DUMMYFUNCTION("""COMPUTED_VALUE"""),"")</f>
        <v/>
      </c>
    </row>
    <row r="632">
      <c r="E632" s="10" t="str">
        <f>IFERROR(__xludf.DUMMYFUNCTION("""COMPUTED_VALUE"""),"#VALUE!")</f>
        <v>#VALUE!</v>
      </c>
      <c r="F632" s="10" t="str">
        <f>IFERROR(__xludf.DUMMYFUNCTION("""COMPUTED_VALUE"""),"")</f>
        <v/>
      </c>
      <c r="G632" s="10" t="str">
        <f>IFERROR(__xludf.DUMMYFUNCTION("""COMPUTED_VALUE"""),"#VALUE!")</f>
        <v>#VALUE!</v>
      </c>
      <c r="H632" s="10" t="str">
        <f>IFERROR(__xludf.DUMMYFUNCTION("""COMPUTED_VALUE"""),"")</f>
        <v/>
      </c>
    </row>
    <row r="633">
      <c r="E633" s="10" t="str">
        <f>IFERROR(__xludf.DUMMYFUNCTION("""COMPUTED_VALUE"""),"#VALUE!")</f>
        <v>#VALUE!</v>
      </c>
      <c r="F633" s="10" t="str">
        <f>IFERROR(__xludf.DUMMYFUNCTION("""COMPUTED_VALUE"""),"")</f>
        <v/>
      </c>
      <c r="G633" s="10" t="str">
        <f>IFERROR(__xludf.DUMMYFUNCTION("""COMPUTED_VALUE"""),"#VALUE!")</f>
        <v>#VALUE!</v>
      </c>
      <c r="H633" s="10" t="str">
        <f>IFERROR(__xludf.DUMMYFUNCTION("""COMPUTED_VALUE"""),"")</f>
        <v/>
      </c>
    </row>
    <row r="634">
      <c r="E634" s="10" t="str">
        <f>IFERROR(__xludf.DUMMYFUNCTION("""COMPUTED_VALUE"""),"#VALUE!")</f>
        <v>#VALUE!</v>
      </c>
      <c r="F634" s="10" t="str">
        <f>IFERROR(__xludf.DUMMYFUNCTION("""COMPUTED_VALUE"""),"")</f>
        <v/>
      </c>
      <c r="G634" s="10" t="str">
        <f>IFERROR(__xludf.DUMMYFUNCTION("""COMPUTED_VALUE"""),"#VALUE!")</f>
        <v>#VALUE!</v>
      </c>
      <c r="H634" s="10" t="str">
        <f>IFERROR(__xludf.DUMMYFUNCTION("""COMPUTED_VALUE"""),"")</f>
        <v/>
      </c>
    </row>
    <row r="635">
      <c r="E635" s="10" t="str">
        <f>IFERROR(__xludf.DUMMYFUNCTION("""COMPUTED_VALUE"""),"#VALUE!")</f>
        <v>#VALUE!</v>
      </c>
      <c r="F635" s="10" t="str">
        <f>IFERROR(__xludf.DUMMYFUNCTION("""COMPUTED_VALUE"""),"")</f>
        <v/>
      </c>
      <c r="G635" s="10" t="str">
        <f>IFERROR(__xludf.DUMMYFUNCTION("""COMPUTED_VALUE"""),"#VALUE!")</f>
        <v>#VALUE!</v>
      </c>
      <c r="H635" s="10" t="str">
        <f>IFERROR(__xludf.DUMMYFUNCTION("""COMPUTED_VALUE"""),"")</f>
        <v/>
      </c>
    </row>
    <row r="636">
      <c r="E636" s="10" t="str">
        <f>IFERROR(__xludf.DUMMYFUNCTION("""COMPUTED_VALUE"""),"#VALUE!")</f>
        <v>#VALUE!</v>
      </c>
      <c r="F636" s="10" t="str">
        <f>IFERROR(__xludf.DUMMYFUNCTION("""COMPUTED_VALUE"""),"")</f>
        <v/>
      </c>
      <c r="G636" s="10" t="str">
        <f>IFERROR(__xludf.DUMMYFUNCTION("""COMPUTED_VALUE"""),"#VALUE!")</f>
        <v>#VALUE!</v>
      </c>
      <c r="H636" s="10" t="str">
        <f>IFERROR(__xludf.DUMMYFUNCTION("""COMPUTED_VALUE"""),"")</f>
        <v/>
      </c>
    </row>
    <row r="637">
      <c r="E637" s="10" t="str">
        <f>IFERROR(__xludf.DUMMYFUNCTION("""COMPUTED_VALUE"""),"#VALUE!")</f>
        <v>#VALUE!</v>
      </c>
      <c r="F637" s="10" t="str">
        <f>IFERROR(__xludf.DUMMYFUNCTION("""COMPUTED_VALUE"""),"")</f>
        <v/>
      </c>
      <c r="G637" s="10" t="str">
        <f>IFERROR(__xludf.DUMMYFUNCTION("""COMPUTED_VALUE"""),"#VALUE!")</f>
        <v>#VALUE!</v>
      </c>
      <c r="H637" s="10" t="str">
        <f>IFERROR(__xludf.DUMMYFUNCTION("""COMPUTED_VALUE"""),"")</f>
        <v/>
      </c>
    </row>
    <row r="638">
      <c r="E638" s="10" t="str">
        <f>IFERROR(__xludf.DUMMYFUNCTION("""COMPUTED_VALUE"""),"#VALUE!")</f>
        <v>#VALUE!</v>
      </c>
      <c r="F638" s="10" t="str">
        <f>IFERROR(__xludf.DUMMYFUNCTION("""COMPUTED_VALUE"""),"")</f>
        <v/>
      </c>
      <c r="G638" s="10" t="str">
        <f>IFERROR(__xludf.DUMMYFUNCTION("""COMPUTED_VALUE"""),"#VALUE!")</f>
        <v>#VALUE!</v>
      </c>
      <c r="H638" s="10" t="str">
        <f>IFERROR(__xludf.DUMMYFUNCTION("""COMPUTED_VALUE"""),"")</f>
        <v/>
      </c>
    </row>
    <row r="639">
      <c r="E639" s="10" t="str">
        <f>IFERROR(__xludf.DUMMYFUNCTION("""COMPUTED_VALUE"""),"#VALUE!")</f>
        <v>#VALUE!</v>
      </c>
      <c r="F639" s="10" t="str">
        <f>IFERROR(__xludf.DUMMYFUNCTION("""COMPUTED_VALUE"""),"")</f>
        <v/>
      </c>
      <c r="G639" s="10" t="str">
        <f>IFERROR(__xludf.DUMMYFUNCTION("""COMPUTED_VALUE"""),"#VALUE!")</f>
        <v>#VALUE!</v>
      </c>
      <c r="H639" s="10" t="str">
        <f>IFERROR(__xludf.DUMMYFUNCTION("""COMPUTED_VALUE"""),"")</f>
        <v/>
      </c>
    </row>
    <row r="640">
      <c r="E640" s="10" t="str">
        <f>IFERROR(__xludf.DUMMYFUNCTION("""COMPUTED_VALUE"""),"#VALUE!")</f>
        <v>#VALUE!</v>
      </c>
      <c r="F640" s="10" t="str">
        <f>IFERROR(__xludf.DUMMYFUNCTION("""COMPUTED_VALUE"""),"")</f>
        <v/>
      </c>
      <c r="G640" s="10" t="str">
        <f>IFERROR(__xludf.DUMMYFUNCTION("""COMPUTED_VALUE"""),"#VALUE!")</f>
        <v>#VALUE!</v>
      </c>
      <c r="H640" s="10" t="str">
        <f>IFERROR(__xludf.DUMMYFUNCTION("""COMPUTED_VALUE"""),"")</f>
        <v/>
      </c>
    </row>
    <row r="641">
      <c r="E641" s="10" t="str">
        <f>IFERROR(__xludf.DUMMYFUNCTION("""COMPUTED_VALUE"""),"#VALUE!")</f>
        <v>#VALUE!</v>
      </c>
      <c r="F641" s="10" t="str">
        <f>IFERROR(__xludf.DUMMYFUNCTION("""COMPUTED_VALUE"""),"")</f>
        <v/>
      </c>
      <c r="G641" s="10" t="str">
        <f>IFERROR(__xludf.DUMMYFUNCTION("""COMPUTED_VALUE"""),"#VALUE!")</f>
        <v>#VALUE!</v>
      </c>
      <c r="H641" s="10" t="str">
        <f>IFERROR(__xludf.DUMMYFUNCTION("""COMPUTED_VALUE"""),"")</f>
        <v/>
      </c>
    </row>
    <row r="642">
      <c r="E642" s="10" t="str">
        <f>IFERROR(__xludf.DUMMYFUNCTION("""COMPUTED_VALUE"""),"#VALUE!")</f>
        <v>#VALUE!</v>
      </c>
      <c r="F642" s="10" t="str">
        <f>IFERROR(__xludf.DUMMYFUNCTION("""COMPUTED_VALUE"""),"")</f>
        <v/>
      </c>
      <c r="G642" s="10" t="str">
        <f>IFERROR(__xludf.DUMMYFUNCTION("""COMPUTED_VALUE"""),"#VALUE!")</f>
        <v>#VALUE!</v>
      </c>
      <c r="H642" s="10" t="str">
        <f>IFERROR(__xludf.DUMMYFUNCTION("""COMPUTED_VALUE"""),"")</f>
        <v/>
      </c>
    </row>
    <row r="643">
      <c r="E643" s="10" t="str">
        <f>IFERROR(__xludf.DUMMYFUNCTION("""COMPUTED_VALUE"""),"#VALUE!")</f>
        <v>#VALUE!</v>
      </c>
      <c r="F643" s="10" t="str">
        <f>IFERROR(__xludf.DUMMYFUNCTION("""COMPUTED_VALUE"""),"")</f>
        <v/>
      </c>
      <c r="G643" s="10" t="str">
        <f>IFERROR(__xludf.DUMMYFUNCTION("""COMPUTED_VALUE"""),"#VALUE!")</f>
        <v>#VALUE!</v>
      </c>
      <c r="H643" s="10" t="str">
        <f>IFERROR(__xludf.DUMMYFUNCTION("""COMPUTED_VALUE"""),"")</f>
        <v/>
      </c>
    </row>
    <row r="644">
      <c r="E644" s="10" t="str">
        <f>IFERROR(__xludf.DUMMYFUNCTION("""COMPUTED_VALUE"""),"#VALUE!")</f>
        <v>#VALUE!</v>
      </c>
      <c r="F644" s="10" t="str">
        <f>IFERROR(__xludf.DUMMYFUNCTION("""COMPUTED_VALUE"""),"")</f>
        <v/>
      </c>
      <c r="G644" s="10" t="str">
        <f>IFERROR(__xludf.DUMMYFUNCTION("""COMPUTED_VALUE"""),"#VALUE!")</f>
        <v>#VALUE!</v>
      </c>
      <c r="H644" s="10" t="str">
        <f>IFERROR(__xludf.DUMMYFUNCTION("""COMPUTED_VALUE"""),"")</f>
        <v/>
      </c>
    </row>
    <row r="645">
      <c r="E645" s="10" t="str">
        <f>IFERROR(__xludf.DUMMYFUNCTION("""COMPUTED_VALUE"""),"#VALUE!")</f>
        <v>#VALUE!</v>
      </c>
      <c r="F645" s="10" t="str">
        <f>IFERROR(__xludf.DUMMYFUNCTION("""COMPUTED_VALUE"""),"")</f>
        <v/>
      </c>
      <c r="G645" s="10" t="str">
        <f>IFERROR(__xludf.DUMMYFUNCTION("""COMPUTED_VALUE"""),"#VALUE!")</f>
        <v>#VALUE!</v>
      </c>
      <c r="H645" s="10" t="str">
        <f>IFERROR(__xludf.DUMMYFUNCTION("""COMPUTED_VALUE"""),"")</f>
        <v/>
      </c>
    </row>
    <row r="646">
      <c r="E646" s="10" t="str">
        <f>IFERROR(__xludf.DUMMYFUNCTION("""COMPUTED_VALUE"""),"#VALUE!")</f>
        <v>#VALUE!</v>
      </c>
      <c r="F646" s="10" t="str">
        <f>IFERROR(__xludf.DUMMYFUNCTION("""COMPUTED_VALUE"""),"")</f>
        <v/>
      </c>
      <c r="G646" s="10" t="str">
        <f>IFERROR(__xludf.DUMMYFUNCTION("""COMPUTED_VALUE"""),"#VALUE!")</f>
        <v>#VALUE!</v>
      </c>
      <c r="H646" s="10" t="str">
        <f>IFERROR(__xludf.DUMMYFUNCTION("""COMPUTED_VALUE"""),"")</f>
        <v/>
      </c>
    </row>
    <row r="647">
      <c r="E647" s="10" t="str">
        <f>IFERROR(__xludf.DUMMYFUNCTION("""COMPUTED_VALUE"""),"#VALUE!")</f>
        <v>#VALUE!</v>
      </c>
      <c r="F647" s="10" t="str">
        <f>IFERROR(__xludf.DUMMYFUNCTION("""COMPUTED_VALUE"""),"")</f>
        <v/>
      </c>
      <c r="G647" s="10" t="str">
        <f>IFERROR(__xludf.DUMMYFUNCTION("""COMPUTED_VALUE"""),"#VALUE!")</f>
        <v>#VALUE!</v>
      </c>
      <c r="H647" s="10" t="str">
        <f>IFERROR(__xludf.DUMMYFUNCTION("""COMPUTED_VALUE"""),"")</f>
        <v/>
      </c>
    </row>
    <row r="648">
      <c r="E648" s="10" t="str">
        <f>IFERROR(__xludf.DUMMYFUNCTION("""COMPUTED_VALUE"""),"#VALUE!")</f>
        <v>#VALUE!</v>
      </c>
      <c r="F648" s="10" t="str">
        <f>IFERROR(__xludf.DUMMYFUNCTION("""COMPUTED_VALUE"""),"")</f>
        <v/>
      </c>
      <c r="G648" s="10" t="str">
        <f>IFERROR(__xludf.DUMMYFUNCTION("""COMPUTED_VALUE"""),"#VALUE!")</f>
        <v>#VALUE!</v>
      </c>
      <c r="H648" s="10" t="str">
        <f>IFERROR(__xludf.DUMMYFUNCTION("""COMPUTED_VALUE"""),"")</f>
        <v/>
      </c>
    </row>
    <row r="649">
      <c r="E649" s="10" t="str">
        <f>IFERROR(__xludf.DUMMYFUNCTION("""COMPUTED_VALUE"""),"#VALUE!")</f>
        <v>#VALUE!</v>
      </c>
      <c r="F649" s="10" t="str">
        <f>IFERROR(__xludf.DUMMYFUNCTION("""COMPUTED_VALUE"""),"")</f>
        <v/>
      </c>
      <c r="G649" s="10" t="str">
        <f>IFERROR(__xludf.DUMMYFUNCTION("""COMPUTED_VALUE"""),"#VALUE!")</f>
        <v>#VALUE!</v>
      </c>
      <c r="H649" s="10" t="str">
        <f>IFERROR(__xludf.DUMMYFUNCTION("""COMPUTED_VALUE"""),"")</f>
        <v/>
      </c>
    </row>
    <row r="650">
      <c r="E650" s="10" t="str">
        <f>IFERROR(__xludf.DUMMYFUNCTION("""COMPUTED_VALUE"""),"#VALUE!")</f>
        <v>#VALUE!</v>
      </c>
      <c r="F650" s="10" t="str">
        <f>IFERROR(__xludf.DUMMYFUNCTION("""COMPUTED_VALUE"""),"")</f>
        <v/>
      </c>
      <c r="G650" s="10" t="str">
        <f>IFERROR(__xludf.DUMMYFUNCTION("""COMPUTED_VALUE"""),"#VALUE!")</f>
        <v>#VALUE!</v>
      </c>
      <c r="H650" s="10" t="str">
        <f>IFERROR(__xludf.DUMMYFUNCTION("""COMPUTED_VALUE"""),"")</f>
        <v/>
      </c>
    </row>
    <row r="651">
      <c r="E651" s="10" t="str">
        <f>IFERROR(__xludf.DUMMYFUNCTION("""COMPUTED_VALUE"""),"#VALUE!")</f>
        <v>#VALUE!</v>
      </c>
      <c r="F651" s="10" t="str">
        <f>IFERROR(__xludf.DUMMYFUNCTION("""COMPUTED_VALUE"""),"")</f>
        <v/>
      </c>
      <c r="G651" s="10" t="str">
        <f>IFERROR(__xludf.DUMMYFUNCTION("""COMPUTED_VALUE"""),"#VALUE!")</f>
        <v>#VALUE!</v>
      </c>
      <c r="H651" s="10" t="str">
        <f>IFERROR(__xludf.DUMMYFUNCTION("""COMPUTED_VALUE"""),"")</f>
        <v/>
      </c>
    </row>
    <row r="652">
      <c r="E652" s="10" t="str">
        <f>IFERROR(__xludf.DUMMYFUNCTION("""COMPUTED_VALUE"""),"#VALUE!")</f>
        <v>#VALUE!</v>
      </c>
      <c r="F652" s="10" t="str">
        <f>IFERROR(__xludf.DUMMYFUNCTION("""COMPUTED_VALUE"""),"")</f>
        <v/>
      </c>
      <c r="G652" s="10" t="str">
        <f>IFERROR(__xludf.DUMMYFUNCTION("""COMPUTED_VALUE"""),"#VALUE!")</f>
        <v>#VALUE!</v>
      </c>
      <c r="H652" s="10" t="str">
        <f>IFERROR(__xludf.DUMMYFUNCTION("""COMPUTED_VALUE"""),"")</f>
        <v/>
      </c>
    </row>
    <row r="653">
      <c r="E653" s="10" t="str">
        <f>IFERROR(__xludf.DUMMYFUNCTION("""COMPUTED_VALUE"""),"#VALUE!")</f>
        <v>#VALUE!</v>
      </c>
      <c r="F653" s="10" t="str">
        <f>IFERROR(__xludf.DUMMYFUNCTION("""COMPUTED_VALUE"""),"")</f>
        <v/>
      </c>
      <c r="G653" s="10" t="str">
        <f>IFERROR(__xludf.DUMMYFUNCTION("""COMPUTED_VALUE"""),"#VALUE!")</f>
        <v>#VALUE!</v>
      </c>
      <c r="H653" s="10" t="str">
        <f>IFERROR(__xludf.DUMMYFUNCTION("""COMPUTED_VALUE"""),"")</f>
        <v/>
      </c>
    </row>
    <row r="654">
      <c r="E654" s="10" t="str">
        <f>IFERROR(__xludf.DUMMYFUNCTION("""COMPUTED_VALUE"""),"#VALUE!")</f>
        <v>#VALUE!</v>
      </c>
      <c r="F654" s="10" t="str">
        <f>IFERROR(__xludf.DUMMYFUNCTION("""COMPUTED_VALUE"""),"")</f>
        <v/>
      </c>
      <c r="G654" s="10" t="str">
        <f>IFERROR(__xludf.DUMMYFUNCTION("""COMPUTED_VALUE"""),"#VALUE!")</f>
        <v>#VALUE!</v>
      </c>
      <c r="H654" s="10" t="str">
        <f>IFERROR(__xludf.DUMMYFUNCTION("""COMPUTED_VALUE"""),"")</f>
        <v/>
      </c>
    </row>
    <row r="655">
      <c r="E655" s="10" t="str">
        <f>IFERROR(__xludf.DUMMYFUNCTION("""COMPUTED_VALUE"""),"#VALUE!")</f>
        <v>#VALUE!</v>
      </c>
      <c r="F655" s="10" t="str">
        <f>IFERROR(__xludf.DUMMYFUNCTION("""COMPUTED_VALUE"""),"")</f>
        <v/>
      </c>
      <c r="G655" s="10" t="str">
        <f>IFERROR(__xludf.DUMMYFUNCTION("""COMPUTED_VALUE"""),"#VALUE!")</f>
        <v>#VALUE!</v>
      </c>
      <c r="H655" s="10" t="str">
        <f>IFERROR(__xludf.DUMMYFUNCTION("""COMPUTED_VALUE"""),"")</f>
        <v/>
      </c>
    </row>
    <row r="656">
      <c r="E656" s="10" t="str">
        <f>IFERROR(__xludf.DUMMYFUNCTION("""COMPUTED_VALUE"""),"#VALUE!")</f>
        <v>#VALUE!</v>
      </c>
      <c r="F656" s="10" t="str">
        <f>IFERROR(__xludf.DUMMYFUNCTION("""COMPUTED_VALUE"""),"")</f>
        <v/>
      </c>
      <c r="G656" s="10" t="str">
        <f>IFERROR(__xludf.DUMMYFUNCTION("""COMPUTED_VALUE"""),"#VALUE!")</f>
        <v>#VALUE!</v>
      </c>
      <c r="H656" s="10" t="str">
        <f>IFERROR(__xludf.DUMMYFUNCTION("""COMPUTED_VALUE"""),"")</f>
        <v/>
      </c>
    </row>
    <row r="657">
      <c r="E657" s="10" t="str">
        <f>IFERROR(__xludf.DUMMYFUNCTION("""COMPUTED_VALUE"""),"#VALUE!")</f>
        <v>#VALUE!</v>
      </c>
      <c r="F657" s="10" t="str">
        <f>IFERROR(__xludf.DUMMYFUNCTION("""COMPUTED_VALUE"""),"")</f>
        <v/>
      </c>
      <c r="G657" s="10" t="str">
        <f>IFERROR(__xludf.DUMMYFUNCTION("""COMPUTED_VALUE"""),"#VALUE!")</f>
        <v>#VALUE!</v>
      </c>
      <c r="H657" s="10" t="str">
        <f>IFERROR(__xludf.DUMMYFUNCTION("""COMPUTED_VALUE"""),"")</f>
        <v/>
      </c>
    </row>
    <row r="658">
      <c r="E658" s="10" t="str">
        <f>IFERROR(__xludf.DUMMYFUNCTION("""COMPUTED_VALUE"""),"#VALUE!")</f>
        <v>#VALUE!</v>
      </c>
      <c r="F658" s="10" t="str">
        <f>IFERROR(__xludf.DUMMYFUNCTION("""COMPUTED_VALUE"""),"")</f>
        <v/>
      </c>
      <c r="G658" s="10" t="str">
        <f>IFERROR(__xludf.DUMMYFUNCTION("""COMPUTED_VALUE"""),"#VALUE!")</f>
        <v>#VALUE!</v>
      </c>
      <c r="H658" s="10" t="str">
        <f>IFERROR(__xludf.DUMMYFUNCTION("""COMPUTED_VALUE"""),"")</f>
        <v/>
      </c>
    </row>
    <row r="659">
      <c r="E659" s="10" t="str">
        <f>IFERROR(__xludf.DUMMYFUNCTION("""COMPUTED_VALUE"""),"#VALUE!")</f>
        <v>#VALUE!</v>
      </c>
      <c r="F659" s="10" t="str">
        <f>IFERROR(__xludf.DUMMYFUNCTION("""COMPUTED_VALUE"""),"")</f>
        <v/>
      </c>
      <c r="G659" s="10" t="str">
        <f>IFERROR(__xludf.DUMMYFUNCTION("""COMPUTED_VALUE"""),"#VALUE!")</f>
        <v>#VALUE!</v>
      </c>
      <c r="H659" s="10" t="str">
        <f>IFERROR(__xludf.DUMMYFUNCTION("""COMPUTED_VALUE"""),"")</f>
        <v/>
      </c>
    </row>
    <row r="660">
      <c r="E660" s="10" t="str">
        <f>IFERROR(__xludf.DUMMYFUNCTION("""COMPUTED_VALUE"""),"#VALUE!")</f>
        <v>#VALUE!</v>
      </c>
      <c r="F660" s="10" t="str">
        <f>IFERROR(__xludf.DUMMYFUNCTION("""COMPUTED_VALUE"""),"")</f>
        <v/>
      </c>
      <c r="G660" s="10" t="str">
        <f>IFERROR(__xludf.DUMMYFUNCTION("""COMPUTED_VALUE"""),"#VALUE!")</f>
        <v>#VALUE!</v>
      </c>
      <c r="H660" s="10" t="str">
        <f>IFERROR(__xludf.DUMMYFUNCTION("""COMPUTED_VALUE"""),"")</f>
        <v/>
      </c>
    </row>
    <row r="661">
      <c r="E661" s="10" t="str">
        <f>IFERROR(__xludf.DUMMYFUNCTION("""COMPUTED_VALUE"""),"#VALUE!")</f>
        <v>#VALUE!</v>
      </c>
      <c r="F661" s="10" t="str">
        <f>IFERROR(__xludf.DUMMYFUNCTION("""COMPUTED_VALUE"""),"")</f>
        <v/>
      </c>
      <c r="G661" s="10" t="str">
        <f>IFERROR(__xludf.DUMMYFUNCTION("""COMPUTED_VALUE"""),"#VALUE!")</f>
        <v>#VALUE!</v>
      </c>
      <c r="H661" s="10" t="str">
        <f>IFERROR(__xludf.DUMMYFUNCTION("""COMPUTED_VALUE"""),"")</f>
        <v/>
      </c>
    </row>
    <row r="662">
      <c r="E662" s="10" t="str">
        <f>IFERROR(__xludf.DUMMYFUNCTION("""COMPUTED_VALUE"""),"#VALUE!")</f>
        <v>#VALUE!</v>
      </c>
      <c r="F662" s="10" t="str">
        <f>IFERROR(__xludf.DUMMYFUNCTION("""COMPUTED_VALUE"""),"")</f>
        <v/>
      </c>
      <c r="G662" s="10" t="str">
        <f>IFERROR(__xludf.DUMMYFUNCTION("""COMPUTED_VALUE"""),"#VALUE!")</f>
        <v>#VALUE!</v>
      </c>
      <c r="H662" s="10" t="str">
        <f>IFERROR(__xludf.DUMMYFUNCTION("""COMPUTED_VALUE"""),"")</f>
        <v/>
      </c>
    </row>
    <row r="663">
      <c r="E663" s="10" t="str">
        <f>IFERROR(__xludf.DUMMYFUNCTION("""COMPUTED_VALUE"""),"#VALUE!")</f>
        <v>#VALUE!</v>
      </c>
      <c r="F663" s="10" t="str">
        <f>IFERROR(__xludf.DUMMYFUNCTION("""COMPUTED_VALUE"""),"")</f>
        <v/>
      </c>
      <c r="G663" s="10" t="str">
        <f>IFERROR(__xludf.DUMMYFUNCTION("""COMPUTED_VALUE"""),"#VALUE!")</f>
        <v>#VALUE!</v>
      </c>
      <c r="H663" s="10" t="str">
        <f>IFERROR(__xludf.DUMMYFUNCTION("""COMPUTED_VALUE"""),"")</f>
        <v/>
      </c>
    </row>
    <row r="664">
      <c r="E664" s="10" t="str">
        <f>IFERROR(__xludf.DUMMYFUNCTION("""COMPUTED_VALUE"""),"#VALUE!")</f>
        <v>#VALUE!</v>
      </c>
      <c r="F664" s="10" t="str">
        <f>IFERROR(__xludf.DUMMYFUNCTION("""COMPUTED_VALUE"""),"")</f>
        <v/>
      </c>
      <c r="G664" s="10" t="str">
        <f>IFERROR(__xludf.DUMMYFUNCTION("""COMPUTED_VALUE"""),"#VALUE!")</f>
        <v>#VALUE!</v>
      </c>
      <c r="H664" s="10" t="str">
        <f>IFERROR(__xludf.DUMMYFUNCTION("""COMPUTED_VALUE"""),"")</f>
        <v/>
      </c>
    </row>
    <row r="665">
      <c r="E665" s="10" t="str">
        <f>IFERROR(__xludf.DUMMYFUNCTION("""COMPUTED_VALUE"""),"#VALUE!")</f>
        <v>#VALUE!</v>
      </c>
      <c r="F665" s="10" t="str">
        <f>IFERROR(__xludf.DUMMYFUNCTION("""COMPUTED_VALUE"""),"")</f>
        <v/>
      </c>
      <c r="G665" s="10" t="str">
        <f>IFERROR(__xludf.DUMMYFUNCTION("""COMPUTED_VALUE"""),"#VALUE!")</f>
        <v>#VALUE!</v>
      </c>
      <c r="H665" s="10" t="str">
        <f>IFERROR(__xludf.DUMMYFUNCTION("""COMPUTED_VALUE"""),"")</f>
        <v/>
      </c>
    </row>
    <row r="666">
      <c r="E666" s="10" t="str">
        <f>IFERROR(__xludf.DUMMYFUNCTION("""COMPUTED_VALUE"""),"#VALUE!")</f>
        <v>#VALUE!</v>
      </c>
      <c r="F666" s="10" t="str">
        <f>IFERROR(__xludf.DUMMYFUNCTION("""COMPUTED_VALUE"""),"")</f>
        <v/>
      </c>
      <c r="G666" s="10" t="str">
        <f>IFERROR(__xludf.DUMMYFUNCTION("""COMPUTED_VALUE"""),"#VALUE!")</f>
        <v>#VALUE!</v>
      </c>
      <c r="H666" s="10" t="str">
        <f>IFERROR(__xludf.DUMMYFUNCTION("""COMPUTED_VALUE"""),"")</f>
        <v/>
      </c>
    </row>
    <row r="667">
      <c r="E667" s="10" t="str">
        <f>IFERROR(__xludf.DUMMYFUNCTION("""COMPUTED_VALUE"""),"#VALUE!")</f>
        <v>#VALUE!</v>
      </c>
      <c r="F667" s="10" t="str">
        <f>IFERROR(__xludf.DUMMYFUNCTION("""COMPUTED_VALUE"""),"")</f>
        <v/>
      </c>
      <c r="G667" s="10" t="str">
        <f>IFERROR(__xludf.DUMMYFUNCTION("""COMPUTED_VALUE"""),"#VALUE!")</f>
        <v>#VALUE!</v>
      </c>
      <c r="H667" s="10" t="str">
        <f>IFERROR(__xludf.DUMMYFUNCTION("""COMPUTED_VALUE"""),"")</f>
        <v/>
      </c>
    </row>
    <row r="668">
      <c r="E668" s="10" t="str">
        <f>IFERROR(__xludf.DUMMYFUNCTION("""COMPUTED_VALUE"""),"#VALUE!")</f>
        <v>#VALUE!</v>
      </c>
      <c r="F668" s="10" t="str">
        <f>IFERROR(__xludf.DUMMYFUNCTION("""COMPUTED_VALUE"""),"")</f>
        <v/>
      </c>
      <c r="G668" s="10" t="str">
        <f>IFERROR(__xludf.DUMMYFUNCTION("""COMPUTED_VALUE"""),"#VALUE!")</f>
        <v>#VALUE!</v>
      </c>
      <c r="H668" s="10" t="str">
        <f>IFERROR(__xludf.DUMMYFUNCTION("""COMPUTED_VALUE"""),"")</f>
        <v/>
      </c>
    </row>
    <row r="669">
      <c r="E669" s="10" t="str">
        <f>IFERROR(__xludf.DUMMYFUNCTION("""COMPUTED_VALUE"""),"#VALUE!")</f>
        <v>#VALUE!</v>
      </c>
      <c r="F669" s="10" t="str">
        <f>IFERROR(__xludf.DUMMYFUNCTION("""COMPUTED_VALUE"""),"")</f>
        <v/>
      </c>
      <c r="G669" s="10" t="str">
        <f>IFERROR(__xludf.DUMMYFUNCTION("""COMPUTED_VALUE"""),"#VALUE!")</f>
        <v>#VALUE!</v>
      </c>
      <c r="H669" s="10" t="str">
        <f>IFERROR(__xludf.DUMMYFUNCTION("""COMPUTED_VALUE"""),"")</f>
        <v/>
      </c>
    </row>
    <row r="670">
      <c r="E670" s="10" t="str">
        <f>IFERROR(__xludf.DUMMYFUNCTION("""COMPUTED_VALUE"""),"#VALUE!")</f>
        <v>#VALUE!</v>
      </c>
      <c r="F670" s="10" t="str">
        <f>IFERROR(__xludf.DUMMYFUNCTION("""COMPUTED_VALUE"""),"")</f>
        <v/>
      </c>
      <c r="G670" s="10" t="str">
        <f>IFERROR(__xludf.DUMMYFUNCTION("""COMPUTED_VALUE"""),"#VALUE!")</f>
        <v>#VALUE!</v>
      </c>
      <c r="H670" s="10" t="str">
        <f>IFERROR(__xludf.DUMMYFUNCTION("""COMPUTED_VALUE"""),"")</f>
        <v/>
      </c>
    </row>
    <row r="671">
      <c r="E671" s="10" t="str">
        <f>IFERROR(__xludf.DUMMYFUNCTION("""COMPUTED_VALUE"""),"#VALUE!")</f>
        <v>#VALUE!</v>
      </c>
      <c r="F671" s="10" t="str">
        <f>IFERROR(__xludf.DUMMYFUNCTION("""COMPUTED_VALUE"""),"")</f>
        <v/>
      </c>
      <c r="G671" s="10" t="str">
        <f>IFERROR(__xludf.DUMMYFUNCTION("""COMPUTED_VALUE"""),"#VALUE!")</f>
        <v>#VALUE!</v>
      </c>
      <c r="H671" s="10" t="str">
        <f>IFERROR(__xludf.DUMMYFUNCTION("""COMPUTED_VALUE"""),"")</f>
        <v/>
      </c>
    </row>
    <row r="672">
      <c r="E672" s="10" t="str">
        <f>IFERROR(__xludf.DUMMYFUNCTION("""COMPUTED_VALUE"""),"#VALUE!")</f>
        <v>#VALUE!</v>
      </c>
      <c r="F672" s="10" t="str">
        <f>IFERROR(__xludf.DUMMYFUNCTION("""COMPUTED_VALUE"""),"")</f>
        <v/>
      </c>
      <c r="G672" s="10" t="str">
        <f>IFERROR(__xludf.DUMMYFUNCTION("""COMPUTED_VALUE"""),"#VALUE!")</f>
        <v>#VALUE!</v>
      </c>
      <c r="H672" s="10" t="str">
        <f>IFERROR(__xludf.DUMMYFUNCTION("""COMPUTED_VALUE"""),"")</f>
        <v/>
      </c>
    </row>
    <row r="673">
      <c r="E673" s="10" t="str">
        <f>IFERROR(__xludf.DUMMYFUNCTION("""COMPUTED_VALUE"""),"#VALUE!")</f>
        <v>#VALUE!</v>
      </c>
      <c r="F673" s="10" t="str">
        <f>IFERROR(__xludf.DUMMYFUNCTION("""COMPUTED_VALUE"""),"")</f>
        <v/>
      </c>
      <c r="G673" s="10" t="str">
        <f>IFERROR(__xludf.DUMMYFUNCTION("""COMPUTED_VALUE"""),"#VALUE!")</f>
        <v>#VALUE!</v>
      </c>
      <c r="H673" s="10" t="str">
        <f>IFERROR(__xludf.DUMMYFUNCTION("""COMPUTED_VALUE"""),"")</f>
        <v/>
      </c>
    </row>
    <row r="674">
      <c r="E674" s="10" t="str">
        <f>IFERROR(__xludf.DUMMYFUNCTION("""COMPUTED_VALUE"""),"#VALUE!")</f>
        <v>#VALUE!</v>
      </c>
      <c r="F674" s="10" t="str">
        <f>IFERROR(__xludf.DUMMYFUNCTION("""COMPUTED_VALUE"""),"")</f>
        <v/>
      </c>
      <c r="G674" s="10" t="str">
        <f>IFERROR(__xludf.DUMMYFUNCTION("""COMPUTED_VALUE"""),"#VALUE!")</f>
        <v>#VALUE!</v>
      </c>
      <c r="H674" s="10" t="str">
        <f>IFERROR(__xludf.DUMMYFUNCTION("""COMPUTED_VALUE"""),"")</f>
        <v/>
      </c>
    </row>
    <row r="675">
      <c r="E675" s="10" t="str">
        <f>IFERROR(__xludf.DUMMYFUNCTION("""COMPUTED_VALUE"""),"#VALUE!")</f>
        <v>#VALUE!</v>
      </c>
      <c r="F675" s="10" t="str">
        <f>IFERROR(__xludf.DUMMYFUNCTION("""COMPUTED_VALUE"""),"")</f>
        <v/>
      </c>
      <c r="G675" s="10" t="str">
        <f>IFERROR(__xludf.DUMMYFUNCTION("""COMPUTED_VALUE"""),"#VALUE!")</f>
        <v>#VALUE!</v>
      </c>
      <c r="H675" s="10" t="str">
        <f>IFERROR(__xludf.DUMMYFUNCTION("""COMPUTED_VALUE"""),"")</f>
        <v/>
      </c>
    </row>
    <row r="676">
      <c r="E676" s="10" t="str">
        <f>IFERROR(__xludf.DUMMYFUNCTION("""COMPUTED_VALUE"""),"#VALUE!")</f>
        <v>#VALUE!</v>
      </c>
      <c r="F676" s="10" t="str">
        <f>IFERROR(__xludf.DUMMYFUNCTION("""COMPUTED_VALUE"""),"")</f>
        <v/>
      </c>
      <c r="G676" s="10" t="str">
        <f>IFERROR(__xludf.DUMMYFUNCTION("""COMPUTED_VALUE"""),"#VALUE!")</f>
        <v>#VALUE!</v>
      </c>
      <c r="H676" s="10" t="str">
        <f>IFERROR(__xludf.DUMMYFUNCTION("""COMPUTED_VALUE"""),"")</f>
        <v/>
      </c>
    </row>
    <row r="677">
      <c r="E677" s="10" t="str">
        <f>IFERROR(__xludf.DUMMYFUNCTION("""COMPUTED_VALUE"""),"#VALUE!")</f>
        <v>#VALUE!</v>
      </c>
      <c r="F677" s="10" t="str">
        <f>IFERROR(__xludf.DUMMYFUNCTION("""COMPUTED_VALUE"""),"")</f>
        <v/>
      </c>
      <c r="G677" s="10" t="str">
        <f>IFERROR(__xludf.DUMMYFUNCTION("""COMPUTED_VALUE"""),"#VALUE!")</f>
        <v>#VALUE!</v>
      </c>
      <c r="H677" s="10" t="str">
        <f>IFERROR(__xludf.DUMMYFUNCTION("""COMPUTED_VALUE"""),"")</f>
        <v/>
      </c>
    </row>
    <row r="678">
      <c r="E678" s="10" t="str">
        <f>IFERROR(__xludf.DUMMYFUNCTION("""COMPUTED_VALUE"""),"#VALUE!")</f>
        <v>#VALUE!</v>
      </c>
      <c r="F678" s="10" t="str">
        <f>IFERROR(__xludf.DUMMYFUNCTION("""COMPUTED_VALUE"""),"")</f>
        <v/>
      </c>
      <c r="G678" s="10" t="str">
        <f>IFERROR(__xludf.DUMMYFUNCTION("""COMPUTED_VALUE"""),"#VALUE!")</f>
        <v>#VALUE!</v>
      </c>
      <c r="H678" s="10" t="str">
        <f>IFERROR(__xludf.DUMMYFUNCTION("""COMPUTED_VALUE"""),"")</f>
        <v/>
      </c>
    </row>
    <row r="679">
      <c r="E679" s="10" t="str">
        <f>IFERROR(__xludf.DUMMYFUNCTION("""COMPUTED_VALUE"""),"#VALUE!")</f>
        <v>#VALUE!</v>
      </c>
      <c r="F679" s="10" t="str">
        <f>IFERROR(__xludf.DUMMYFUNCTION("""COMPUTED_VALUE"""),"")</f>
        <v/>
      </c>
      <c r="G679" s="10" t="str">
        <f>IFERROR(__xludf.DUMMYFUNCTION("""COMPUTED_VALUE"""),"#VALUE!")</f>
        <v>#VALUE!</v>
      </c>
      <c r="H679" s="10" t="str">
        <f>IFERROR(__xludf.DUMMYFUNCTION("""COMPUTED_VALUE"""),"")</f>
        <v/>
      </c>
    </row>
    <row r="680">
      <c r="E680" s="10" t="str">
        <f>IFERROR(__xludf.DUMMYFUNCTION("""COMPUTED_VALUE"""),"#VALUE!")</f>
        <v>#VALUE!</v>
      </c>
      <c r="F680" s="10" t="str">
        <f>IFERROR(__xludf.DUMMYFUNCTION("""COMPUTED_VALUE"""),"")</f>
        <v/>
      </c>
      <c r="G680" s="10" t="str">
        <f>IFERROR(__xludf.DUMMYFUNCTION("""COMPUTED_VALUE"""),"#VALUE!")</f>
        <v>#VALUE!</v>
      </c>
      <c r="H680" s="10" t="str">
        <f>IFERROR(__xludf.DUMMYFUNCTION("""COMPUTED_VALUE"""),"")</f>
        <v/>
      </c>
    </row>
    <row r="681">
      <c r="E681" s="10" t="str">
        <f>IFERROR(__xludf.DUMMYFUNCTION("""COMPUTED_VALUE"""),"#VALUE!")</f>
        <v>#VALUE!</v>
      </c>
      <c r="F681" s="10" t="str">
        <f>IFERROR(__xludf.DUMMYFUNCTION("""COMPUTED_VALUE"""),"")</f>
        <v/>
      </c>
      <c r="G681" s="10" t="str">
        <f>IFERROR(__xludf.DUMMYFUNCTION("""COMPUTED_VALUE"""),"#VALUE!")</f>
        <v>#VALUE!</v>
      </c>
      <c r="H681" s="10" t="str">
        <f>IFERROR(__xludf.DUMMYFUNCTION("""COMPUTED_VALUE"""),"")</f>
        <v/>
      </c>
    </row>
    <row r="682">
      <c r="E682" s="10" t="str">
        <f>IFERROR(__xludf.DUMMYFUNCTION("""COMPUTED_VALUE"""),"#VALUE!")</f>
        <v>#VALUE!</v>
      </c>
      <c r="F682" s="10" t="str">
        <f>IFERROR(__xludf.DUMMYFUNCTION("""COMPUTED_VALUE"""),"")</f>
        <v/>
      </c>
      <c r="G682" s="10" t="str">
        <f>IFERROR(__xludf.DUMMYFUNCTION("""COMPUTED_VALUE"""),"#VALUE!")</f>
        <v>#VALUE!</v>
      </c>
      <c r="H682" s="10" t="str">
        <f>IFERROR(__xludf.DUMMYFUNCTION("""COMPUTED_VALUE"""),"")</f>
        <v/>
      </c>
    </row>
    <row r="683">
      <c r="E683" s="10" t="str">
        <f>IFERROR(__xludf.DUMMYFUNCTION("""COMPUTED_VALUE"""),"#VALUE!")</f>
        <v>#VALUE!</v>
      </c>
      <c r="F683" s="10" t="str">
        <f>IFERROR(__xludf.DUMMYFUNCTION("""COMPUTED_VALUE"""),"")</f>
        <v/>
      </c>
      <c r="G683" s="10" t="str">
        <f>IFERROR(__xludf.DUMMYFUNCTION("""COMPUTED_VALUE"""),"#VALUE!")</f>
        <v>#VALUE!</v>
      </c>
      <c r="H683" s="10" t="str">
        <f>IFERROR(__xludf.DUMMYFUNCTION("""COMPUTED_VALUE"""),"")</f>
        <v/>
      </c>
    </row>
    <row r="684">
      <c r="E684" s="10" t="str">
        <f>IFERROR(__xludf.DUMMYFUNCTION("""COMPUTED_VALUE"""),"#VALUE!")</f>
        <v>#VALUE!</v>
      </c>
      <c r="F684" s="10" t="str">
        <f>IFERROR(__xludf.DUMMYFUNCTION("""COMPUTED_VALUE"""),"")</f>
        <v/>
      </c>
      <c r="G684" s="10" t="str">
        <f>IFERROR(__xludf.DUMMYFUNCTION("""COMPUTED_VALUE"""),"#VALUE!")</f>
        <v>#VALUE!</v>
      </c>
      <c r="H684" s="10" t="str">
        <f>IFERROR(__xludf.DUMMYFUNCTION("""COMPUTED_VALUE"""),"")</f>
        <v/>
      </c>
    </row>
    <row r="685">
      <c r="E685" s="10" t="str">
        <f>IFERROR(__xludf.DUMMYFUNCTION("""COMPUTED_VALUE"""),"#VALUE!")</f>
        <v>#VALUE!</v>
      </c>
      <c r="F685" s="10" t="str">
        <f>IFERROR(__xludf.DUMMYFUNCTION("""COMPUTED_VALUE"""),"")</f>
        <v/>
      </c>
      <c r="G685" s="10" t="str">
        <f>IFERROR(__xludf.DUMMYFUNCTION("""COMPUTED_VALUE"""),"#VALUE!")</f>
        <v>#VALUE!</v>
      </c>
      <c r="H685" s="10" t="str">
        <f>IFERROR(__xludf.DUMMYFUNCTION("""COMPUTED_VALUE"""),"")</f>
        <v/>
      </c>
    </row>
    <row r="686">
      <c r="E686" s="10" t="str">
        <f>IFERROR(__xludf.DUMMYFUNCTION("""COMPUTED_VALUE"""),"#VALUE!")</f>
        <v>#VALUE!</v>
      </c>
      <c r="F686" s="10" t="str">
        <f>IFERROR(__xludf.DUMMYFUNCTION("""COMPUTED_VALUE"""),"")</f>
        <v/>
      </c>
      <c r="G686" s="10" t="str">
        <f>IFERROR(__xludf.DUMMYFUNCTION("""COMPUTED_VALUE"""),"#VALUE!")</f>
        <v>#VALUE!</v>
      </c>
      <c r="H686" s="10" t="str">
        <f>IFERROR(__xludf.DUMMYFUNCTION("""COMPUTED_VALUE"""),"")</f>
        <v/>
      </c>
    </row>
    <row r="687">
      <c r="E687" s="10" t="str">
        <f>IFERROR(__xludf.DUMMYFUNCTION("""COMPUTED_VALUE"""),"#VALUE!")</f>
        <v>#VALUE!</v>
      </c>
      <c r="F687" s="10" t="str">
        <f>IFERROR(__xludf.DUMMYFUNCTION("""COMPUTED_VALUE"""),"")</f>
        <v/>
      </c>
      <c r="G687" s="10" t="str">
        <f>IFERROR(__xludf.DUMMYFUNCTION("""COMPUTED_VALUE"""),"#VALUE!")</f>
        <v>#VALUE!</v>
      </c>
      <c r="H687" s="10" t="str">
        <f>IFERROR(__xludf.DUMMYFUNCTION("""COMPUTED_VALUE"""),"")</f>
        <v/>
      </c>
    </row>
    <row r="688">
      <c r="E688" s="10" t="str">
        <f>IFERROR(__xludf.DUMMYFUNCTION("""COMPUTED_VALUE"""),"#VALUE!")</f>
        <v>#VALUE!</v>
      </c>
      <c r="F688" s="10" t="str">
        <f>IFERROR(__xludf.DUMMYFUNCTION("""COMPUTED_VALUE"""),"")</f>
        <v/>
      </c>
      <c r="G688" s="10" t="str">
        <f>IFERROR(__xludf.DUMMYFUNCTION("""COMPUTED_VALUE"""),"#VALUE!")</f>
        <v>#VALUE!</v>
      </c>
      <c r="H688" s="10" t="str">
        <f>IFERROR(__xludf.DUMMYFUNCTION("""COMPUTED_VALUE"""),"")</f>
        <v/>
      </c>
    </row>
    <row r="689">
      <c r="E689" s="10" t="str">
        <f>IFERROR(__xludf.DUMMYFUNCTION("""COMPUTED_VALUE"""),"#VALUE!")</f>
        <v>#VALUE!</v>
      </c>
      <c r="F689" s="10" t="str">
        <f>IFERROR(__xludf.DUMMYFUNCTION("""COMPUTED_VALUE"""),"")</f>
        <v/>
      </c>
      <c r="G689" s="10" t="str">
        <f>IFERROR(__xludf.DUMMYFUNCTION("""COMPUTED_VALUE"""),"#VALUE!")</f>
        <v>#VALUE!</v>
      </c>
      <c r="H689" s="10" t="str">
        <f>IFERROR(__xludf.DUMMYFUNCTION("""COMPUTED_VALUE"""),"")</f>
        <v/>
      </c>
    </row>
    <row r="690">
      <c r="E690" s="10" t="str">
        <f>IFERROR(__xludf.DUMMYFUNCTION("""COMPUTED_VALUE"""),"#VALUE!")</f>
        <v>#VALUE!</v>
      </c>
      <c r="F690" s="10" t="str">
        <f>IFERROR(__xludf.DUMMYFUNCTION("""COMPUTED_VALUE"""),"")</f>
        <v/>
      </c>
      <c r="G690" s="10" t="str">
        <f>IFERROR(__xludf.DUMMYFUNCTION("""COMPUTED_VALUE"""),"#VALUE!")</f>
        <v>#VALUE!</v>
      </c>
      <c r="H690" s="10" t="str">
        <f>IFERROR(__xludf.DUMMYFUNCTION("""COMPUTED_VALUE"""),"")</f>
        <v/>
      </c>
    </row>
    <row r="691">
      <c r="E691" s="10" t="str">
        <f>IFERROR(__xludf.DUMMYFUNCTION("""COMPUTED_VALUE"""),"#VALUE!")</f>
        <v>#VALUE!</v>
      </c>
      <c r="F691" s="10" t="str">
        <f>IFERROR(__xludf.DUMMYFUNCTION("""COMPUTED_VALUE"""),"")</f>
        <v/>
      </c>
      <c r="G691" s="10" t="str">
        <f>IFERROR(__xludf.DUMMYFUNCTION("""COMPUTED_VALUE"""),"#VALUE!")</f>
        <v>#VALUE!</v>
      </c>
      <c r="H691" s="10" t="str">
        <f>IFERROR(__xludf.DUMMYFUNCTION("""COMPUTED_VALUE"""),"")</f>
        <v/>
      </c>
    </row>
    <row r="692">
      <c r="E692" s="10" t="str">
        <f>IFERROR(__xludf.DUMMYFUNCTION("""COMPUTED_VALUE"""),"#VALUE!")</f>
        <v>#VALUE!</v>
      </c>
      <c r="F692" s="10" t="str">
        <f>IFERROR(__xludf.DUMMYFUNCTION("""COMPUTED_VALUE"""),"")</f>
        <v/>
      </c>
      <c r="G692" s="10" t="str">
        <f>IFERROR(__xludf.DUMMYFUNCTION("""COMPUTED_VALUE"""),"#VALUE!")</f>
        <v>#VALUE!</v>
      </c>
      <c r="H692" s="10" t="str">
        <f>IFERROR(__xludf.DUMMYFUNCTION("""COMPUTED_VALUE"""),"")</f>
        <v/>
      </c>
    </row>
    <row r="693">
      <c r="E693" s="10" t="str">
        <f>IFERROR(__xludf.DUMMYFUNCTION("""COMPUTED_VALUE"""),"#VALUE!")</f>
        <v>#VALUE!</v>
      </c>
      <c r="F693" s="10" t="str">
        <f>IFERROR(__xludf.DUMMYFUNCTION("""COMPUTED_VALUE"""),"")</f>
        <v/>
      </c>
      <c r="G693" s="10" t="str">
        <f>IFERROR(__xludf.DUMMYFUNCTION("""COMPUTED_VALUE"""),"#VALUE!")</f>
        <v>#VALUE!</v>
      </c>
      <c r="H693" s="10" t="str">
        <f>IFERROR(__xludf.DUMMYFUNCTION("""COMPUTED_VALUE"""),"")</f>
        <v/>
      </c>
    </row>
    <row r="694">
      <c r="E694" s="10" t="str">
        <f>IFERROR(__xludf.DUMMYFUNCTION("""COMPUTED_VALUE"""),"#VALUE!")</f>
        <v>#VALUE!</v>
      </c>
      <c r="F694" s="10" t="str">
        <f>IFERROR(__xludf.DUMMYFUNCTION("""COMPUTED_VALUE"""),"")</f>
        <v/>
      </c>
      <c r="G694" s="10" t="str">
        <f>IFERROR(__xludf.DUMMYFUNCTION("""COMPUTED_VALUE"""),"#VALUE!")</f>
        <v>#VALUE!</v>
      </c>
      <c r="H694" s="10" t="str">
        <f>IFERROR(__xludf.DUMMYFUNCTION("""COMPUTED_VALUE"""),"")</f>
        <v/>
      </c>
    </row>
    <row r="695">
      <c r="E695" s="10" t="str">
        <f>IFERROR(__xludf.DUMMYFUNCTION("""COMPUTED_VALUE"""),"#VALUE!")</f>
        <v>#VALUE!</v>
      </c>
      <c r="F695" s="10" t="str">
        <f>IFERROR(__xludf.DUMMYFUNCTION("""COMPUTED_VALUE"""),"")</f>
        <v/>
      </c>
      <c r="G695" s="10" t="str">
        <f>IFERROR(__xludf.DUMMYFUNCTION("""COMPUTED_VALUE"""),"#VALUE!")</f>
        <v>#VALUE!</v>
      </c>
      <c r="H695" s="10" t="str">
        <f>IFERROR(__xludf.DUMMYFUNCTION("""COMPUTED_VALUE"""),"")</f>
        <v/>
      </c>
    </row>
    <row r="696">
      <c r="E696" s="10" t="str">
        <f>IFERROR(__xludf.DUMMYFUNCTION("""COMPUTED_VALUE"""),"#VALUE!")</f>
        <v>#VALUE!</v>
      </c>
      <c r="F696" s="10" t="str">
        <f>IFERROR(__xludf.DUMMYFUNCTION("""COMPUTED_VALUE"""),"")</f>
        <v/>
      </c>
      <c r="G696" s="10" t="str">
        <f>IFERROR(__xludf.DUMMYFUNCTION("""COMPUTED_VALUE"""),"#VALUE!")</f>
        <v>#VALUE!</v>
      </c>
      <c r="H696" s="10" t="str">
        <f>IFERROR(__xludf.DUMMYFUNCTION("""COMPUTED_VALUE"""),"")</f>
        <v/>
      </c>
    </row>
    <row r="697">
      <c r="E697" s="10" t="str">
        <f>IFERROR(__xludf.DUMMYFUNCTION("""COMPUTED_VALUE"""),"#VALUE!")</f>
        <v>#VALUE!</v>
      </c>
      <c r="F697" s="10" t="str">
        <f>IFERROR(__xludf.DUMMYFUNCTION("""COMPUTED_VALUE"""),"")</f>
        <v/>
      </c>
      <c r="G697" s="10" t="str">
        <f>IFERROR(__xludf.DUMMYFUNCTION("""COMPUTED_VALUE"""),"#VALUE!")</f>
        <v>#VALUE!</v>
      </c>
      <c r="H697" s="10" t="str">
        <f>IFERROR(__xludf.DUMMYFUNCTION("""COMPUTED_VALUE"""),"")</f>
        <v/>
      </c>
    </row>
    <row r="698">
      <c r="E698" s="10" t="str">
        <f>IFERROR(__xludf.DUMMYFUNCTION("""COMPUTED_VALUE"""),"#VALUE!")</f>
        <v>#VALUE!</v>
      </c>
      <c r="F698" s="10" t="str">
        <f>IFERROR(__xludf.DUMMYFUNCTION("""COMPUTED_VALUE"""),"")</f>
        <v/>
      </c>
      <c r="G698" s="10" t="str">
        <f>IFERROR(__xludf.DUMMYFUNCTION("""COMPUTED_VALUE"""),"#VALUE!")</f>
        <v>#VALUE!</v>
      </c>
      <c r="H698" s="10" t="str">
        <f>IFERROR(__xludf.DUMMYFUNCTION("""COMPUTED_VALUE"""),"")</f>
        <v/>
      </c>
    </row>
    <row r="699">
      <c r="E699" s="10" t="str">
        <f>IFERROR(__xludf.DUMMYFUNCTION("""COMPUTED_VALUE"""),"#VALUE!")</f>
        <v>#VALUE!</v>
      </c>
      <c r="F699" s="10" t="str">
        <f>IFERROR(__xludf.DUMMYFUNCTION("""COMPUTED_VALUE"""),"")</f>
        <v/>
      </c>
      <c r="G699" s="10" t="str">
        <f>IFERROR(__xludf.DUMMYFUNCTION("""COMPUTED_VALUE"""),"#VALUE!")</f>
        <v>#VALUE!</v>
      </c>
      <c r="H699" s="10" t="str">
        <f>IFERROR(__xludf.DUMMYFUNCTION("""COMPUTED_VALUE"""),"")</f>
        <v/>
      </c>
    </row>
    <row r="700">
      <c r="E700" s="10" t="str">
        <f>IFERROR(__xludf.DUMMYFUNCTION("""COMPUTED_VALUE"""),"#VALUE!")</f>
        <v>#VALUE!</v>
      </c>
      <c r="F700" s="10" t="str">
        <f>IFERROR(__xludf.DUMMYFUNCTION("""COMPUTED_VALUE"""),"")</f>
        <v/>
      </c>
      <c r="G700" s="10" t="str">
        <f>IFERROR(__xludf.DUMMYFUNCTION("""COMPUTED_VALUE"""),"#VALUE!")</f>
        <v>#VALUE!</v>
      </c>
      <c r="H700" s="10" t="str">
        <f>IFERROR(__xludf.DUMMYFUNCTION("""COMPUTED_VALUE"""),"")</f>
        <v/>
      </c>
    </row>
    <row r="701">
      <c r="E701" s="10" t="str">
        <f>IFERROR(__xludf.DUMMYFUNCTION("""COMPUTED_VALUE"""),"#VALUE!")</f>
        <v>#VALUE!</v>
      </c>
      <c r="F701" s="10" t="str">
        <f>IFERROR(__xludf.DUMMYFUNCTION("""COMPUTED_VALUE"""),"")</f>
        <v/>
      </c>
      <c r="G701" s="10" t="str">
        <f>IFERROR(__xludf.DUMMYFUNCTION("""COMPUTED_VALUE"""),"#VALUE!")</f>
        <v>#VALUE!</v>
      </c>
      <c r="H701" s="10" t="str">
        <f>IFERROR(__xludf.DUMMYFUNCTION("""COMPUTED_VALUE"""),"")</f>
        <v/>
      </c>
    </row>
    <row r="702">
      <c r="E702" s="10" t="str">
        <f>IFERROR(__xludf.DUMMYFUNCTION("""COMPUTED_VALUE"""),"#VALUE!")</f>
        <v>#VALUE!</v>
      </c>
      <c r="F702" s="10" t="str">
        <f>IFERROR(__xludf.DUMMYFUNCTION("""COMPUTED_VALUE"""),"")</f>
        <v/>
      </c>
      <c r="G702" s="10" t="str">
        <f>IFERROR(__xludf.DUMMYFUNCTION("""COMPUTED_VALUE"""),"#VALUE!")</f>
        <v>#VALUE!</v>
      </c>
      <c r="H702" s="10" t="str">
        <f>IFERROR(__xludf.DUMMYFUNCTION("""COMPUTED_VALUE"""),"")</f>
        <v/>
      </c>
    </row>
    <row r="703">
      <c r="E703" s="10" t="str">
        <f>IFERROR(__xludf.DUMMYFUNCTION("""COMPUTED_VALUE"""),"#VALUE!")</f>
        <v>#VALUE!</v>
      </c>
      <c r="F703" s="10" t="str">
        <f>IFERROR(__xludf.DUMMYFUNCTION("""COMPUTED_VALUE"""),"")</f>
        <v/>
      </c>
      <c r="G703" s="10" t="str">
        <f>IFERROR(__xludf.DUMMYFUNCTION("""COMPUTED_VALUE"""),"#VALUE!")</f>
        <v>#VALUE!</v>
      </c>
      <c r="H703" s="10" t="str">
        <f>IFERROR(__xludf.DUMMYFUNCTION("""COMPUTED_VALUE"""),"")</f>
        <v/>
      </c>
    </row>
    <row r="704">
      <c r="E704" s="10" t="str">
        <f>IFERROR(__xludf.DUMMYFUNCTION("""COMPUTED_VALUE"""),"#VALUE!")</f>
        <v>#VALUE!</v>
      </c>
      <c r="F704" s="10" t="str">
        <f>IFERROR(__xludf.DUMMYFUNCTION("""COMPUTED_VALUE"""),"")</f>
        <v/>
      </c>
      <c r="G704" s="10" t="str">
        <f>IFERROR(__xludf.DUMMYFUNCTION("""COMPUTED_VALUE"""),"#VALUE!")</f>
        <v>#VALUE!</v>
      </c>
      <c r="H704" s="10" t="str">
        <f>IFERROR(__xludf.DUMMYFUNCTION("""COMPUTED_VALUE"""),"")</f>
        <v/>
      </c>
    </row>
    <row r="705">
      <c r="E705" s="10" t="str">
        <f>IFERROR(__xludf.DUMMYFUNCTION("""COMPUTED_VALUE"""),"#VALUE!")</f>
        <v>#VALUE!</v>
      </c>
      <c r="F705" s="10" t="str">
        <f>IFERROR(__xludf.DUMMYFUNCTION("""COMPUTED_VALUE"""),"")</f>
        <v/>
      </c>
      <c r="G705" s="10" t="str">
        <f>IFERROR(__xludf.DUMMYFUNCTION("""COMPUTED_VALUE"""),"#VALUE!")</f>
        <v>#VALUE!</v>
      </c>
      <c r="H705" s="10" t="str">
        <f>IFERROR(__xludf.DUMMYFUNCTION("""COMPUTED_VALUE"""),"")</f>
        <v/>
      </c>
    </row>
    <row r="706">
      <c r="E706" s="10" t="str">
        <f>IFERROR(__xludf.DUMMYFUNCTION("""COMPUTED_VALUE"""),"#VALUE!")</f>
        <v>#VALUE!</v>
      </c>
      <c r="F706" s="10" t="str">
        <f>IFERROR(__xludf.DUMMYFUNCTION("""COMPUTED_VALUE"""),"")</f>
        <v/>
      </c>
      <c r="G706" s="10" t="str">
        <f>IFERROR(__xludf.DUMMYFUNCTION("""COMPUTED_VALUE"""),"#VALUE!")</f>
        <v>#VALUE!</v>
      </c>
      <c r="H706" s="10" t="str">
        <f>IFERROR(__xludf.DUMMYFUNCTION("""COMPUTED_VALUE"""),"")</f>
        <v/>
      </c>
    </row>
    <row r="707">
      <c r="E707" s="10" t="str">
        <f>IFERROR(__xludf.DUMMYFUNCTION("""COMPUTED_VALUE"""),"#VALUE!")</f>
        <v>#VALUE!</v>
      </c>
      <c r="F707" s="10" t="str">
        <f>IFERROR(__xludf.DUMMYFUNCTION("""COMPUTED_VALUE"""),"")</f>
        <v/>
      </c>
      <c r="G707" s="10" t="str">
        <f>IFERROR(__xludf.DUMMYFUNCTION("""COMPUTED_VALUE"""),"#VALUE!")</f>
        <v>#VALUE!</v>
      </c>
      <c r="H707" s="10" t="str">
        <f>IFERROR(__xludf.DUMMYFUNCTION("""COMPUTED_VALUE"""),"")</f>
        <v/>
      </c>
    </row>
    <row r="708">
      <c r="E708" s="10" t="str">
        <f>IFERROR(__xludf.DUMMYFUNCTION("""COMPUTED_VALUE"""),"#VALUE!")</f>
        <v>#VALUE!</v>
      </c>
      <c r="F708" s="10" t="str">
        <f>IFERROR(__xludf.DUMMYFUNCTION("""COMPUTED_VALUE"""),"")</f>
        <v/>
      </c>
      <c r="G708" s="10" t="str">
        <f>IFERROR(__xludf.DUMMYFUNCTION("""COMPUTED_VALUE"""),"#VALUE!")</f>
        <v>#VALUE!</v>
      </c>
      <c r="H708" s="10" t="str">
        <f>IFERROR(__xludf.DUMMYFUNCTION("""COMPUTED_VALUE"""),"")</f>
        <v/>
      </c>
    </row>
    <row r="709">
      <c r="E709" s="10" t="str">
        <f>IFERROR(__xludf.DUMMYFUNCTION("""COMPUTED_VALUE"""),"#VALUE!")</f>
        <v>#VALUE!</v>
      </c>
      <c r="F709" s="10" t="str">
        <f>IFERROR(__xludf.DUMMYFUNCTION("""COMPUTED_VALUE"""),"")</f>
        <v/>
      </c>
      <c r="G709" s="10" t="str">
        <f>IFERROR(__xludf.DUMMYFUNCTION("""COMPUTED_VALUE"""),"#VALUE!")</f>
        <v>#VALUE!</v>
      </c>
      <c r="H709" s="10" t="str">
        <f>IFERROR(__xludf.DUMMYFUNCTION("""COMPUTED_VALUE"""),"")</f>
        <v/>
      </c>
    </row>
    <row r="710">
      <c r="E710" s="10" t="str">
        <f>IFERROR(__xludf.DUMMYFUNCTION("""COMPUTED_VALUE"""),"#VALUE!")</f>
        <v>#VALUE!</v>
      </c>
      <c r="F710" s="10" t="str">
        <f>IFERROR(__xludf.DUMMYFUNCTION("""COMPUTED_VALUE"""),"")</f>
        <v/>
      </c>
      <c r="G710" s="10" t="str">
        <f>IFERROR(__xludf.DUMMYFUNCTION("""COMPUTED_VALUE"""),"#VALUE!")</f>
        <v>#VALUE!</v>
      </c>
      <c r="H710" s="10" t="str">
        <f>IFERROR(__xludf.DUMMYFUNCTION("""COMPUTED_VALUE"""),"")</f>
        <v/>
      </c>
    </row>
    <row r="711">
      <c r="E711" s="10" t="str">
        <f>IFERROR(__xludf.DUMMYFUNCTION("""COMPUTED_VALUE"""),"#VALUE!")</f>
        <v>#VALUE!</v>
      </c>
      <c r="F711" s="10" t="str">
        <f>IFERROR(__xludf.DUMMYFUNCTION("""COMPUTED_VALUE"""),"")</f>
        <v/>
      </c>
      <c r="G711" s="10" t="str">
        <f>IFERROR(__xludf.DUMMYFUNCTION("""COMPUTED_VALUE"""),"#VALUE!")</f>
        <v>#VALUE!</v>
      </c>
      <c r="H711" s="10" t="str">
        <f>IFERROR(__xludf.DUMMYFUNCTION("""COMPUTED_VALUE"""),"")</f>
        <v/>
      </c>
    </row>
    <row r="712">
      <c r="E712" s="10" t="str">
        <f>IFERROR(__xludf.DUMMYFUNCTION("""COMPUTED_VALUE"""),"#VALUE!")</f>
        <v>#VALUE!</v>
      </c>
      <c r="F712" s="10" t="str">
        <f>IFERROR(__xludf.DUMMYFUNCTION("""COMPUTED_VALUE"""),"")</f>
        <v/>
      </c>
      <c r="G712" s="10" t="str">
        <f>IFERROR(__xludf.DUMMYFUNCTION("""COMPUTED_VALUE"""),"#VALUE!")</f>
        <v>#VALUE!</v>
      </c>
      <c r="H712" s="10" t="str">
        <f>IFERROR(__xludf.DUMMYFUNCTION("""COMPUTED_VALUE"""),"")</f>
        <v/>
      </c>
    </row>
    <row r="713">
      <c r="E713" s="10" t="str">
        <f>IFERROR(__xludf.DUMMYFUNCTION("""COMPUTED_VALUE"""),"#VALUE!")</f>
        <v>#VALUE!</v>
      </c>
      <c r="F713" s="10" t="str">
        <f>IFERROR(__xludf.DUMMYFUNCTION("""COMPUTED_VALUE"""),"")</f>
        <v/>
      </c>
      <c r="G713" s="10" t="str">
        <f>IFERROR(__xludf.DUMMYFUNCTION("""COMPUTED_VALUE"""),"#VALUE!")</f>
        <v>#VALUE!</v>
      </c>
      <c r="H713" s="10" t="str">
        <f>IFERROR(__xludf.DUMMYFUNCTION("""COMPUTED_VALUE"""),"")</f>
        <v/>
      </c>
    </row>
    <row r="714">
      <c r="E714" s="10" t="str">
        <f>IFERROR(__xludf.DUMMYFUNCTION("""COMPUTED_VALUE"""),"#VALUE!")</f>
        <v>#VALUE!</v>
      </c>
      <c r="F714" s="10" t="str">
        <f>IFERROR(__xludf.DUMMYFUNCTION("""COMPUTED_VALUE"""),"")</f>
        <v/>
      </c>
      <c r="G714" s="10" t="str">
        <f>IFERROR(__xludf.DUMMYFUNCTION("""COMPUTED_VALUE"""),"#VALUE!")</f>
        <v>#VALUE!</v>
      </c>
      <c r="H714" s="10" t="str">
        <f>IFERROR(__xludf.DUMMYFUNCTION("""COMPUTED_VALUE"""),"")</f>
        <v/>
      </c>
    </row>
    <row r="715">
      <c r="E715" s="10" t="str">
        <f>IFERROR(__xludf.DUMMYFUNCTION("""COMPUTED_VALUE"""),"#VALUE!")</f>
        <v>#VALUE!</v>
      </c>
      <c r="F715" s="10" t="str">
        <f>IFERROR(__xludf.DUMMYFUNCTION("""COMPUTED_VALUE"""),"")</f>
        <v/>
      </c>
      <c r="G715" s="10" t="str">
        <f>IFERROR(__xludf.DUMMYFUNCTION("""COMPUTED_VALUE"""),"#VALUE!")</f>
        <v>#VALUE!</v>
      </c>
      <c r="H715" s="10" t="str">
        <f>IFERROR(__xludf.DUMMYFUNCTION("""COMPUTED_VALUE"""),"")</f>
        <v/>
      </c>
    </row>
    <row r="716">
      <c r="E716" s="10" t="str">
        <f>IFERROR(__xludf.DUMMYFUNCTION("""COMPUTED_VALUE"""),"#VALUE!")</f>
        <v>#VALUE!</v>
      </c>
      <c r="F716" s="10" t="str">
        <f>IFERROR(__xludf.DUMMYFUNCTION("""COMPUTED_VALUE"""),"")</f>
        <v/>
      </c>
      <c r="G716" s="10" t="str">
        <f>IFERROR(__xludf.DUMMYFUNCTION("""COMPUTED_VALUE"""),"#VALUE!")</f>
        <v>#VALUE!</v>
      </c>
      <c r="H716" s="10" t="str">
        <f>IFERROR(__xludf.DUMMYFUNCTION("""COMPUTED_VALUE"""),"")</f>
        <v/>
      </c>
    </row>
    <row r="717">
      <c r="E717" s="10" t="str">
        <f>IFERROR(__xludf.DUMMYFUNCTION("""COMPUTED_VALUE"""),"#VALUE!")</f>
        <v>#VALUE!</v>
      </c>
      <c r="F717" s="10" t="str">
        <f>IFERROR(__xludf.DUMMYFUNCTION("""COMPUTED_VALUE"""),"")</f>
        <v/>
      </c>
      <c r="G717" s="10" t="str">
        <f>IFERROR(__xludf.DUMMYFUNCTION("""COMPUTED_VALUE"""),"#VALUE!")</f>
        <v>#VALUE!</v>
      </c>
      <c r="H717" s="10" t="str">
        <f>IFERROR(__xludf.DUMMYFUNCTION("""COMPUTED_VALUE"""),"")</f>
        <v/>
      </c>
    </row>
    <row r="718">
      <c r="E718" s="10" t="str">
        <f>IFERROR(__xludf.DUMMYFUNCTION("""COMPUTED_VALUE"""),"#VALUE!")</f>
        <v>#VALUE!</v>
      </c>
      <c r="F718" s="10" t="str">
        <f>IFERROR(__xludf.DUMMYFUNCTION("""COMPUTED_VALUE"""),"")</f>
        <v/>
      </c>
      <c r="G718" s="10" t="str">
        <f>IFERROR(__xludf.DUMMYFUNCTION("""COMPUTED_VALUE"""),"#VALUE!")</f>
        <v>#VALUE!</v>
      </c>
      <c r="H718" s="10" t="str">
        <f>IFERROR(__xludf.DUMMYFUNCTION("""COMPUTED_VALUE"""),"")</f>
        <v/>
      </c>
    </row>
    <row r="719">
      <c r="E719" s="10" t="str">
        <f>IFERROR(__xludf.DUMMYFUNCTION("""COMPUTED_VALUE"""),"#VALUE!")</f>
        <v>#VALUE!</v>
      </c>
      <c r="F719" s="10" t="str">
        <f>IFERROR(__xludf.DUMMYFUNCTION("""COMPUTED_VALUE"""),"")</f>
        <v/>
      </c>
      <c r="G719" s="10" t="str">
        <f>IFERROR(__xludf.DUMMYFUNCTION("""COMPUTED_VALUE"""),"#VALUE!")</f>
        <v>#VALUE!</v>
      </c>
      <c r="H719" s="10" t="str">
        <f>IFERROR(__xludf.DUMMYFUNCTION("""COMPUTED_VALUE"""),"")</f>
        <v/>
      </c>
    </row>
    <row r="720">
      <c r="E720" s="10" t="str">
        <f>IFERROR(__xludf.DUMMYFUNCTION("""COMPUTED_VALUE"""),"#VALUE!")</f>
        <v>#VALUE!</v>
      </c>
      <c r="F720" s="10" t="str">
        <f>IFERROR(__xludf.DUMMYFUNCTION("""COMPUTED_VALUE"""),"")</f>
        <v/>
      </c>
      <c r="G720" s="10" t="str">
        <f>IFERROR(__xludf.DUMMYFUNCTION("""COMPUTED_VALUE"""),"#VALUE!")</f>
        <v>#VALUE!</v>
      </c>
      <c r="H720" s="10" t="str">
        <f>IFERROR(__xludf.DUMMYFUNCTION("""COMPUTED_VALUE"""),"")</f>
        <v/>
      </c>
    </row>
    <row r="721">
      <c r="E721" s="10" t="str">
        <f>IFERROR(__xludf.DUMMYFUNCTION("""COMPUTED_VALUE"""),"#VALUE!")</f>
        <v>#VALUE!</v>
      </c>
      <c r="F721" s="10" t="str">
        <f>IFERROR(__xludf.DUMMYFUNCTION("""COMPUTED_VALUE"""),"")</f>
        <v/>
      </c>
      <c r="G721" s="10" t="str">
        <f>IFERROR(__xludf.DUMMYFUNCTION("""COMPUTED_VALUE"""),"#VALUE!")</f>
        <v>#VALUE!</v>
      </c>
      <c r="H721" s="10" t="str">
        <f>IFERROR(__xludf.DUMMYFUNCTION("""COMPUTED_VALUE"""),"")</f>
        <v/>
      </c>
    </row>
    <row r="722">
      <c r="E722" s="10" t="str">
        <f>IFERROR(__xludf.DUMMYFUNCTION("""COMPUTED_VALUE"""),"#VALUE!")</f>
        <v>#VALUE!</v>
      </c>
      <c r="F722" s="10" t="str">
        <f>IFERROR(__xludf.DUMMYFUNCTION("""COMPUTED_VALUE"""),"")</f>
        <v/>
      </c>
      <c r="G722" s="10" t="str">
        <f>IFERROR(__xludf.DUMMYFUNCTION("""COMPUTED_VALUE"""),"#VALUE!")</f>
        <v>#VALUE!</v>
      </c>
      <c r="H722" s="10" t="str">
        <f>IFERROR(__xludf.DUMMYFUNCTION("""COMPUTED_VALUE"""),"")</f>
        <v/>
      </c>
    </row>
    <row r="723">
      <c r="E723" s="10" t="str">
        <f>IFERROR(__xludf.DUMMYFUNCTION("""COMPUTED_VALUE"""),"#VALUE!")</f>
        <v>#VALUE!</v>
      </c>
      <c r="F723" s="10" t="str">
        <f>IFERROR(__xludf.DUMMYFUNCTION("""COMPUTED_VALUE"""),"")</f>
        <v/>
      </c>
      <c r="G723" s="10" t="str">
        <f>IFERROR(__xludf.DUMMYFUNCTION("""COMPUTED_VALUE"""),"#VALUE!")</f>
        <v>#VALUE!</v>
      </c>
      <c r="H723" s="10" t="str">
        <f>IFERROR(__xludf.DUMMYFUNCTION("""COMPUTED_VALUE"""),"")</f>
        <v/>
      </c>
    </row>
    <row r="724">
      <c r="E724" s="10" t="str">
        <f>IFERROR(__xludf.DUMMYFUNCTION("""COMPUTED_VALUE"""),"#VALUE!")</f>
        <v>#VALUE!</v>
      </c>
      <c r="F724" s="10" t="str">
        <f>IFERROR(__xludf.DUMMYFUNCTION("""COMPUTED_VALUE"""),"")</f>
        <v/>
      </c>
      <c r="G724" s="10" t="str">
        <f>IFERROR(__xludf.DUMMYFUNCTION("""COMPUTED_VALUE"""),"#VALUE!")</f>
        <v>#VALUE!</v>
      </c>
      <c r="H724" s="10" t="str">
        <f>IFERROR(__xludf.DUMMYFUNCTION("""COMPUTED_VALUE"""),"")</f>
        <v/>
      </c>
    </row>
    <row r="725">
      <c r="E725" s="10" t="str">
        <f>IFERROR(__xludf.DUMMYFUNCTION("""COMPUTED_VALUE"""),"#VALUE!")</f>
        <v>#VALUE!</v>
      </c>
      <c r="F725" s="10" t="str">
        <f>IFERROR(__xludf.DUMMYFUNCTION("""COMPUTED_VALUE"""),"")</f>
        <v/>
      </c>
      <c r="G725" s="10" t="str">
        <f>IFERROR(__xludf.DUMMYFUNCTION("""COMPUTED_VALUE"""),"#VALUE!")</f>
        <v>#VALUE!</v>
      </c>
      <c r="H725" s="10" t="str">
        <f>IFERROR(__xludf.DUMMYFUNCTION("""COMPUTED_VALUE"""),"")</f>
        <v/>
      </c>
    </row>
    <row r="726">
      <c r="E726" s="10" t="str">
        <f>IFERROR(__xludf.DUMMYFUNCTION("""COMPUTED_VALUE"""),"#VALUE!")</f>
        <v>#VALUE!</v>
      </c>
      <c r="F726" s="10" t="str">
        <f>IFERROR(__xludf.DUMMYFUNCTION("""COMPUTED_VALUE"""),"")</f>
        <v/>
      </c>
      <c r="G726" s="10" t="str">
        <f>IFERROR(__xludf.DUMMYFUNCTION("""COMPUTED_VALUE"""),"#VALUE!")</f>
        <v>#VALUE!</v>
      </c>
      <c r="H726" s="10" t="str">
        <f>IFERROR(__xludf.DUMMYFUNCTION("""COMPUTED_VALUE"""),"")</f>
        <v/>
      </c>
    </row>
    <row r="727">
      <c r="E727" s="10" t="str">
        <f>IFERROR(__xludf.DUMMYFUNCTION("""COMPUTED_VALUE"""),"#VALUE!")</f>
        <v>#VALUE!</v>
      </c>
      <c r="F727" s="10" t="str">
        <f>IFERROR(__xludf.DUMMYFUNCTION("""COMPUTED_VALUE"""),"")</f>
        <v/>
      </c>
      <c r="G727" s="10" t="str">
        <f>IFERROR(__xludf.DUMMYFUNCTION("""COMPUTED_VALUE"""),"#VALUE!")</f>
        <v>#VALUE!</v>
      </c>
      <c r="H727" s="10" t="str">
        <f>IFERROR(__xludf.DUMMYFUNCTION("""COMPUTED_VALUE"""),"")</f>
        <v/>
      </c>
    </row>
    <row r="728">
      <c r="E728" s="10" t="str">
        <f>IFERROR(__xludf.DUMMYFUNCTION("""COMPUTED_VALUE"""),"#VALUE!")</f>
        <v>#VALUE!</v>
      </c>
      <c r="F728" s="10" t="str">
        <f>IFERROR(__xludf.DUMMYFUNCTION("""COMPUTED_VALUE"""),"")</f>
        <v/>
      </c>
      <c r="G728" s="10" t="str">
        <f>IFERROR(__xludf.DUMMYFUNCTION("""COMPUTED_VALUE"""),"#VALUE!")</f>
        <v>#VALUE!</v>
      </c>
      <c r="H728" s="10" t="str">
        <f>IFERROR(__xludf.DUMMYFUNCTION("""COMPUTED_VALUE"""),"")</f>
        <v/>
      </c>
    </row>
    <row r="729">
      <c r="E729" s="10" t="str">
        <f>IFERROR(__xludf.DUMMYFUNCTION("""COMPUTED_VALUE"""),"#VALUE!")</f>
        <v>#VALUE!</v>
      </c>
      <c r="F729" s="10" t="str">
        <f>IFERROR(__xludf.DUMMYFUNCTION("""COMPUTED_VALUE"""),"")</f>
        <v/>
      </c>
      <c r="G729" s="10" t="str">
        <f>IFERROR(__xludf.DUMMYFUNCTION("""COMPUTED_VALUE"""),"#VALUE!")</f>
        <v>#VALUE!</v>
      </c>
      <c r="H729" s="10" t="str">
        <f>IFERROR(__xludf.DUMMYFUNCTION("""COMPUTED_VALUE"""),"")</f>
        <v/>
      </c>
    </row>
    <row r="730">
      <c r="E730" s="10" t="str">
        <f>IFERROR(__xludf.DUMMYFUNCTION("""COMPUTED_VALUE"""),"#VALUE!")</f>
        <v>#VALUE!</v>
      </c>
      <c r="F730" s="10" t="str">
        <f>IFERROR(__xludf.DUMMYFUNCTION("""COMPUTED_VALUE"""),"")</f>
        <v/>
      </c>
      <c r="G730" s="10" t="str">
        <f>IFERROR(__xludf.DUMMYFUNCTION("""COMPUTED_VALUE"""),"#VALUE!")</f>
        <v>#VALUE!</v>
      </c>
      <c r="H730" s="10" t="str">
        <f>IFERROR(__xludf.DUMMYFUNCTION("""COMPUTED_VALUE"""),"")</f>
        <v/>
      </c>
    </row>
    <row r="731">
      <c r="E731" s="10" t="str">
        <f>IFERROR(__xludf.DUMMYFUNCTION("""COMPUTED_VALUE"""),"#VALUE!")</f>
        <v>#VALUE!</v>
      </c>
      <c r="F731" s="10" t="str">
        <f>IFERROR(__xludf.DUMMYFUNCTION("""COMPUTED_VALUE"""),"")</f>
        <v/>
      </c>
      <c r="G731" s="10" t="str">
        <f>IFERROR(__xludf.DUMMYFUNCTION("""COMPUTED_VALUE"""),"#VALUE!")</f>
        <v>#VALUE!</v>
      </c>
      <c r="H731" s="10" t="str">
        <f>IFERROR(__xludf.DUMMYFUNCTION("""COMPUTED_VALUE"""),"")</f>
        <v/>
      </c>
    </row>
    <row r="732">
      <c r="E732" s="10" t="str">
        <f>IFERROR(__xludf.DUMMYFUNCTION("""COMPUTED_VALUE"""),"#VALUE!")</f>
        <v>#VALUE!</v>
      </c>
      <c r="F732" s="10" t="str">
        <f>IFERROR(__xludf.DUMMYFUNCTION("""COMPUTED_VALUE"""),"")</f>
        <v/>
      </c>
      <c r="G732" s="10" t="str">
        <f>IFERROR(__xludf.DUMMYFUNCTION("""COMPUTED_VALUE"""),"#VALUE!")</f>
        <v>#VALUE!</v>
      </c>
      <c r="H732" s="10" t="str">
        <f>IFERROR(__xludf.DUMMYFUNCTION("""COMPUTED_VALUE"""),"")</f>
        <v/>
      </c>
    </row>
    <row r="733">
      <c r="E733" s="10" t="str">
        <f>IFERROR(__xludf.DUMMYFUNCTION("""COMPUTED_VALUE"""),"#VALUE!")</f>
        <v>#VALUE!</v>
      </c>
      <c r="F733" s="10" t="str">
        <f>IFERROR(__xludf.DUMMYFUNCTION("""COMPUTED_VALUE"""),"")</f>
        <v/>
      </c>
      <c r="G733" s="10" t="str">
        <f>IFERROR(__xludf.DUMMYFUNCTION("""COMPUTED_VALUE"""),"#VALUE!")</f>
        <v>#VALUE!</v>
      </c>
      <c r="H733" s="10" t="str">
        <f>IFERROR(__xludf.DUMMYFUNCTION("""COMPUTED_VALUE"""),"")</f>
        <v/>
      </c>
    </row>
    <row r="734">
      <c r="E734" s="10" t="str">
        <f>IFERROR(__xludf.DUMMYFUNCTION("""COMPUTED_VALUE"""),"#VALUE!")</f>
        <v>#VALUE!</v>
      </c>
      <c r="F734" s="10" t="str">
        <f>IFERROR(__xludf.DUMMYFUNCTION("""COMPUTED_VALUE"""),"")</f>
        <v/>
      </c>
      <c r="G734" s="10" t="str">
        <f>IFERROR(__xludf.DUMMYFUNCTION("""COMPUTED_VALUE"""),"#VALUE!")</f>
        <v>#VALUE!</v>
      </c>
      <c r="H734" s="10" t="str">
        <f>IFERROR(__xludf.DUMMYFUNCTION("""COMPUTED_VALUE"""),"")</f>
        <v/>
      </c>
    </row>
    <row r="735">
      <c r="E735" s="10" t="str">
        <f>IFERROR(__xludf.DUMMYFUNCTION("""COMPUTED_VALUE"""),"#VALUE!")</f>
        <v>#VALUE!</v>
      </c>
      <c r="F735" s="10" t="str">
        <f>IFERROR(__xludf.DUMMYFUNCTION("""COMPUTED_VALUE"""),"")</f>
        <v/>
      </c>
      <c r="G735" s="10" t="str">
        <f>IFERROR(__xludf.DUMMYFUNCTION("""COMPUTED_VALUE"""),"#VALUE!")</f>
        <v>#VALUE!</v>
      </c>
      <c r="H735" s="10" t="str">
        <f>IFERROR(__xludf.DUMMYFUNCTION("""COMPUTED_VALUE"""),"")</f>
        <v/>
      </c>
    </row>
    <row r="736">
      <c r="E736" s="10" t="str">
        <f>IFERROR(__xludf.DUMMYFUNCTION("""COMPUTED_VALUE"""),"#VALUE!")</f>
        <v>#VALUE!</v>
      </c>
      <c r="F736" s="10" t="str">
        <f>IFERROR(__xludf.DUMMYFUNCTION("""COMPUTED_VALUE"""),"")</f>
        <v/>
      </c>
      <c r="G736" s="10" t="str">
        <f>IFERROR(__xludf.DUMMYFUNCTION("""COMPUTED_VALUE"""),"#VALUE!")</f>
        <v>#VALUE!</v>
      </c>
      <c r="H736" s="10" t="str">
        <f>IFERROR(__xludf.DUMMYFUNCTION("""COMPUTED_VALUE"""),"")</f>
        <v/>
      </c>
    </row>
    <row r="737">
      <c r="E737" s="10" t="str">
        <f>IFERROR(__xludf.DUMMYFUNCTION("""COMPUTED_VALUE"""),"#VALUE!")</f>
        <v>#VALUE!</v>
      </c>
      <c r="F737" s="10" t="str">
        <f>IFERROR(__xludf.DUMMYFUNCTION("""COMPUTED_VALUE"""),"")</f>
        <v/>
      </c>
      <c r="G737" s="10" t="str">
        <f>IFERROR(__xludf.DUMMYFUNCTION("""COMPUTED_VALUE"""),"#VALUE!")</f>
        <v>#VALUE!</v>
      </c>
      <c r="H737" s="10" t="str">
        <f>IFERROR(__xludf.DUMMYFUNCTION("""COMPUTED_VALUE"""),"")</f>
        <v/>
      </c>
    </row>
    <row r="738">
      <c r="E738" s="10" t="str">
        <f>IFERROR(__xludf.DUMMYFUNCTION("""COMPUTED_VALUE"""),"#VALUE!")</f>
        <v>#VALUE!</v>
      </c>
      <c r="F738" s="10" t="str">
        <f>IFERROR(__xludf.DUMMYFUNCTION("""COMPUTED_VALUE"""),"")</f>
        <v/>
      </c>
      <c r="G738" s="10" t="str">
        <f>IFERROR(__xludf.DUMMYFUNCTION("""COMPUTED_VALUE"""),"#VALUE!")</f>
        <v>#VALUE!</v>
      </c>
      <c r="H738" s="10" t="str">
        <f>IFERROR(__xludf.DUMMYFUNCTION("""COMPUTED_VALUE"""),"")</f>
        <v/>
      </c>
    </row>
    <row r="739">
      <c r="E739" s="10" t="str">
        <f>IFERROR(__xludf.DUMMYFUNCTION("""COMPUTED_VALUE"""),"#VALUE!")</f>
        <v>#VALUE!</v>
      </c>
      <c r="F739" s="10" t="str">
        <f>IFERROR(__xludf.DUMMYFUNCTION("""COMPUTED_VALUE"""),"")</f>
        <v/>
      </c>
      <c r="G739" s="10" t="str">
        <f>IFERROR(__xludf.DUMMYFUNCTION("""COMPUTED_VALUE"""),"#VALUE!")</f>
        <v>#VALUE!</v>
      </c>
      <c r="H739" s="10" t="str">
        <f>IFERROR(__xludf.DUMMYFUNCTION("""COMPUTED_VALUE"""),"")</f>
        <v/>
      </c>
    </row>
    <row r="740">
      <c r="E740" s="10" t="str">
        <f>IFERROR(__xludf.DUMMYFUNCTION("""COMPUTED_VALUE"""),"#VALUE!")</f>
        <v>#VALUE!</v>
      </c>
      <c r="F740" s="10" t="str">
        <f>IFERROR(__xludf.DUMMYFUNCTION("""COMPUTED_VALUE"""),"")</f>
        <v/>
      </c>
      <c r="G740" s="10" t="str">
        <f>IFERROR(__xludf.DUMMYFUNCTION("""COMPUTED_VALUE"""),"#VALUE!")</f>
        <v>#VALUE!</v>
      </c>
      <c r="H740" s="10" t="str">
        <f>IFERROR(__xludf.DUMMYFUNCTION("""COMPUTED_VALUE"""),"")</f>
        <v/>
      </c>
    </row>
    <row r="741">
      <c r="E741" s="10" t="str">
        <f>IFERROR(__xludf.DUMMYFUNCTION("""COMPUTED_VALUE"""),"#VALUE!")</f>
        <v>#VALUE!</v>
      </c>
      <c r="F741" s="10" t="str">
        <f>IFERROR(__xludf.DUMMYFUNCTION("""COMPUTED_VALUE"""),"")</f>
        <v/>
      </c>
      <c r="G741" s="10" t="str">
        <f>IFERROR(__xludf.DUMMYFUNCTION("""COMPUTED_VALUE"""),"#VALUE!")</f>
        <v>#VALUE!</v>
      </c>
      <c r="H741" s="10" t="str">
        <f>IFERROR(__xludf.DUMMYFUNCTION("""COMPUTED_VALUE"""),"")</f>
        <v/>
      </c>
    </row>
    <row r="742">
      <c r="E742" s="10" t="str">
        <f>IFERROR(__xludf.DUMMYFUNCTION("""COMPUTED_VALUE"""),"#VALUE!")</f>
        <v>#VALUE!</v>
      </c>
      <c r="F742" s="10" t="str">
        <f>IFERROR(__xludf.DUMMYFUNCTION("""COMPUTED_VALUE"""),"")</f>
        <v/>
      </c>
      <c r="G742" s="10" t="str">
        <f>IFERROR(__xludf.DUMMYFUNCTION("""COMPUTED_VALUE"""),"#VALUE!")</f>
        <v>#VALUE!</v>
      </c>
      <c r="H742" s="10" t="str">
        <f>IFERROR(__xludf.DUMMYFUNCTION("""COMPUTED_VALUE"""),"")</f>
        <v/>
      </c>
    </row>
    <row r="743">
      <c r="E743" s="10" t="str">
        <f>IFERROR(__xludf.DUMMYFUNCTION("""COMPUTED_VALUE"""),"#VALUE!")</f>
        <v>#VALUE!</v>
      </c>
      <c r="F743" s="10" t="str">
        <f>IFERROR(__xludf.DUMMYFUNCTION("""COMPUTED_VALUE"""),"")</f>
        <v/>
      </c>
      <c r="G743" s="10" t="str">
        <f>IFERROR(__xludf.DUMMYFUNCTION("""COMPUTED_VALUE"""),"#VALUE!")</f>
        <v>#VALUE!</v>
      </c>
      <c r="H743" s="10" t="str">
        <f>IFERROR(__xludf.DUMMYFUNCTION("""COMPUTED_VALUE"""),"")</f>
        <v/>
      </c>
    </row>
    <row r="744">
      <c r="E744" s="10" t="str">
        <f>IFERROR(__xludf.DUMMYFUNCTION("""COMPUTED_VALUE"""),"#VALUE!")</f>
        <v>#VALUE!</v>
      </c>
      <c r="F744" s="10" t="str">
        <f>IFERROR(__xludf.DUMMYFUNCTION("""COMPUTED_VALUE"""),"")</f>
        <v/>
      </c>
      <c r="G744" s="10" t="str">
        <f>IFERROR(__xludf.DUMMYFUNCTION("""COMPUTED_VALUE"""),"#VALUE!")</f>
        <v>#VALUE!</v>
      </c>
      <c r="H744" s="10" t="str">
        <f>IFERROR(__xludf.DUMMYFUNCTION("""COMPUTED_VALUE"""),"")</f>
        <v/>
      </c>
    </row>
    <row r="745">
      <c r="E745" s="10" t="str">
        <f>IFERROR(__xludf.DUMMYFUNCTION("""COMPUTED_VALUE"""),"#VALUE!")</f>
        <v>#VALUE!</v>
      </c>
      <c r="F745" s="10" t="str">
        <f>IFERROR(__xludf.DUMMYFUNCTION("""COMPUTED_VALUE"""),"")</f>
        <v/>
      </c>
      <c r="G745" s="10" t="str">
        <f>IFERROR(__xludf.DUMMYFUNCTION("""COMPUTED_VALUE"""),"#VALUE!")</f>
        <v>#VALUE!</v>
      </c>
      <c r="H745" s="10" t="str">
        <f>IFERROR(__xludf.DUMMYFUNCTION("""COMPUTED_VALUE"""),"")</f>
        <v/>
      </c>
    </row>
    <row r="746">
      <c r="E746" s="10" t="str">
        <f>IFERROR(__xludf.DUMMYFUNCTION("""COMPUTED_VALUE"""),"#VALUE!")</f>
        <v>#VALUE!</v>
      </c>
      <c r="F746" s="10" t="str">
        <f>IFERROR(__xludf.DUMMYFUNCTION("""COMPUTED_VALUE"""),"")</f>
        <v/>
      </c>
      <c r="G746" s="10" t="str">
        <f>IFERROR(__xludf.DUMMYFUNCTION("""COMPUTED_VALUE"""),"#VALUE!")</f>
        <v>#VALUE!</v>
      </c>
      <c r="H746" s="10" t="str">
        <f>IFERROR(__xludf.DUMMYFUNCTION("""COMPUTED_VALUE"""),"")</f>
        <v/>
      </c>
    </row>
    <row r="747">
      <c r="E747" s="10" t="str">
        <f>IFERROR(__xludf.DUMMYFUNCTION("""COMPUTED_VALUE"""),"#VALUE!")</f>
        <v>#VALUE!</v>
      </c>
      <c r="F747" s="10" t="str">
        <f>IFERROR(__xludf.DUMMYFUNCTION("""COMPUTED_VALUE"""),"")</f>
        <v/>
      </c>
      <c r="G747" s="10" t="str">
        <f>IFERROR(__xludf.DUMMYFUNCTION("""COMPUTED_VALUE"""),"#VALUE!")</f>
        <v>#VALUE!</v>
      </c>
      <c r="H747" s="10" t="str">
        <f>IFERROR(__xludf.DUMMYFUNCTION("""COMPUTED_VALUE"""),"")</f>
        <v/>
      </c>
    </row>
    <row r="748">
      <c r="E748" s="10" t="str">
        <f>IFERROR(__xludf.DUMMYFUNCTION("""COMPUTED_VALUE"""),"#VALUE!")</f>
        <v>#VALUE!</v>
      </c>
      <c r="F748" s="10" t="str">
        <f>IFERROR(__xludf.DUMMYFUNCTION("""COMPUTED_VALUE"""),"")</f>
        <v/>
      </c>
      <c r="G748" s="10" t="str">
        <f>IFERROR(__xludf.DUMMYFUNCTION("""COMPUTED_VALUE"""),"#VALUE!")</f>
        <v>#VALUE!</v>
      </c>
      <c r="H748" s="10" t="str">
        <f>IFERROR(__xludf.DUMMYFUNCTION("""COMPUTED_VALUE"""),"")</f>
        <v/>
      </c>
    </row>
    <row r="749">
      <c r="E749" s="10" t="str">
        <f>IFERROR(__xludf.DUMMYFUNCTION("""COMPUTED_VALUE"""),"#VALUE!")</f>
        <v>#VALUE!</v>
      </c>
      <c r="F749" s="10" t="str">
        <f>IFERROR(__xludf.DUMMYFUNCTION("""COMPUTED_VALUE"""),"")</f>
        <v/>
      </c>
      <c r="G749" s="10" t="str">
        <f>IFERROR(__xludf.DUMMYFUNCTION("""COMPUTED_VALUE"""),"#VALUE!")</f>
        <v>#VALUE!</v>
      </c>
      <c r="H749" s="10" t="str">
        <f>IFERROR(__xludf.DUMMYFUNCTION("""COMPUTED_VALUE"""),"")</f>
        <v/>
      </c>
    </row>
    <row r="750">
      <c r="E750" s="10" t="str">
        <f>IFERROR(__xludf.DUMMYFUNCTION("""COMPUTED_VALUE"""),"#VALUE!")</f>
        <v>#VALUE!</v>
      </c>
      <c r="F750" s="10" t="str">
        <f>IFERROR(__xludf.DUMMYFUNCTION("""COMPUTED_VALUE"""),"")</f>
        <v/>
      </c>
      <c r="G750" s="10" t="str">
        <f>IFERROR(__xludf.DUMMYFUNCTION("""COMPUTED_VALUE"""),"#VALUE!")</f>
        <v>#VALUE!</v>
      </c>
      <c r="H750" s="10" t="str">
        <f>IFERROR(__xludf.DUMMYFUNCTION("""COMPUTED_VALUE"""),"")</f>
        <v/>
      </c>
    </row>
    <row r="751">
      <c r="E751" s="10" t="str">
        <f>IFERROR(__xludf.DUMMYFUNCTION("""COMPUTED_VALUE"""),"#VALUE!")</f>
        <v>#VALUE!</v>
      </c>
      <c r="F751" s="10" t="str">
        <f>IFERROR(__xludf.DUMMYFUNCTION("""COMPUTED_VALUE"""),"")</f>
        <v/>
      </c>
      <c r="G751" s="10" t="str">
        <f>IFERROR(__xludf.DUMMYFUNCTION("""COMPUTED_VALUE"""),"#VALUE!")</f>
        <v>#VALUE!</v>
      </c>
      <c r="H751" s="10" t="str">
        <f>IFERROR(__xludf.DUMMYFUNCTION("""COMPUTED_VALUE"""),"")</f>
        <v/>
      </c>
    </row>
    <row r="752">
      <c r="E752" s="10" t="str">
        <f>IFERROR(__xludf.DUMMYFUNCTION("""COMPUTED_VALUE"""),"#VALUE!")</f>
        <v>#VALUE!</v>
      </c>
      <c r="F752" s="10" t="str">
        <f>IFERROR(__xludf.DUMMYFUNCTION("""COMPUTED_VALUE"""),"")</f>
        <v/>
      </c>
      <c r="G752" s="10" t="str">
        <f>IFERROR(__xludf.DUMMYFUNCTION("""COMPUTED_VALUE"""),"#VALUE!")</f>
        <v>#VALUE!</v>
      </c>
      <c r="H752" s="10" t="str">
        <f>IFERROR(__xludf.DUMMYFUNCTION("""COMPUTED_VALUE"""),"")</f>
        <v/>
      </c>
    </row>
    <row r="753">
      <c r="E753" s="10" t="str">
        <f>IFERROR(__xludf.DUMMYFUNCTION("""COMPUTED_VALUE"""),"#VALUE!")</f>
        <v>#VALUE!</v>
      </c>
      <c r="F753" s="10" t="str">
        <f>IFERROR(__xludf.DUMMYFUNCTION("""COMPUTED_VALUE"""),"")</f>
        <v/>
      </c>
      <c r="G753" s="10" t="str">
        <f>IFERROR(__xludf.DUMMYFUNCTION("""COMPUTED_VALUE"""),"#VALUE!")</f>
        <v>#VALUE!</v>
      </c>
      <c r="H753" s="10" t="str">
        <f>IFERROR(__xludf.DUMMYFUNCTION("""COMPUTED_VALUE"""),"")</f>
        <v/>
      </c>
    </row>
    <row r="754">
      <c r="E754" s="10" t="str">
        <f>IFERROR(__xludf.DUMMYFUNCTION("""COMPUTED_VALUE"""),"#VALUE!")</f>
        <v>#VALUE!</v>
      </c>
      <c r="F754" s="10" t="str">
        <f>IFERROR(__xludf.DUMMYFUNCTION("""COMPUTED_VALUE"""),"")</f>
        <v/>
      </c>
      <c r="G754" s="10" t="str">
        <f>IFERROR(__xludf.DUMMYFUNCTION("""COMPUTED_VALUE"""),"#VALUE!")</f>
        <v>#VALUE!</v>
      </c>
      <c r="H754" s="10" t="str">
        <f>IFERROR(__xludf.DUMMYFUNCTION("""COMPUTED_VALUE"""),"")</f>
        <v/>
      </c>
    </row>
    <row r="755">
      <c r="E755" s="10" t="str">
        <f>IFERROR(__xludf.DUMMYFUNCTION("""COMPUTED_VALUE"""),"#VALUE!")</f>
        <v>#VALUE!</v>
      </c>
      <c r="F755" s="10" t="str">
        <f>IFERROR(__xludf.DUMMYFUNCTION("""COMPUTED_VALUE"""),"")</f>
        <v/>
      </c>
      <c r="G755" s="10" t="str">
        <f>IFERROR(__xludf.DUMMYFUNCTION("""COMPUTED_VALUE"""),"#VALUE!")</f>
        <v>#VALUE!</v>
      </c>
      <c r="H755" s="10" t="str">
        <f>IFERROR(__xludf.DUMMYFUNCTION("""COMPUTED_VALUE"""),"")</f>
        <v/>
      </c>
    </row>
    <row r="756">
      <c r="E756" s="10" t="str">
        <f>IFERROR(__xludf.DUMMYFUNCTION("""COMPUTED_VALUE"""),"#VALUE!")</f>
        <v>#VALUE!</v>
      </c>
      <c r="F756" s="10" t="str">
        <f>IFERROR(__xludf.DUMMYFUNCTION("""COMPUTED_VALUE"""),"")</f>
        <v/>
      </c>
      <c r="G756" s="10" t="str">
        <f>IFERROR(__xludf.DUMMYFUNCTION("""COMPUTED_VALUE"""),"#VALUE!")</f>
        <v>#VALUE!</v>
      </c>
      <c r="H756" s="10" t="str">
        <f>IFERROR(__xludf.DUMMYFUNCTION("""COMPUTED_VALUE"""),"")</f>
        <v/>
      </c>
    </row>
    <row r="757">
      <c r="E757" s="10" t="str">
        <f>IFERROR(__xludf.DUMMYFUNCTION("""COMPUTED_VALUE"""),"#VALUE!")</f>
        <v>#VALUE!</v>
      </c>
      <c r="F757" s="10" t="str">
        <f>IFERROR(__xludf.DUMMYFUNCTION("""COMPUTED_VALUE"""),"")</f>
        <v/>
      </c>
      <c r="G757" s="10" t="str">
        <f>IFERROR(__xludf.DUMMYFUNCTION("""COMPUTED_VALUE"""),"#VALUE!")</f>
        <v>#VALUE!</v>
      </c>
      <c r="H757" s="10" t="str">
        <f>IFERROR(__xludf.DUMMYFUNCTION("""COMPUTED_VALUE"""),"")</f>
        <v/>
      </c>
    </row>
    <row r="758">
      <c r="E758" s="10" t="str">
        <f>IFERROR(__xludf.DUMMYFUNCTION("""COMPUTED_VALUE"""),"#VALUE!")</f>
        <v>#VALUE!</v>
      </c>
      <c r="F758" s="10" t="str">
        <f>IFERROR(__xludf.DUMMYFUNCTION("""COMPUTED_VALUE"""),"")</f>
        <v/>
      </c>
      <c r="G758" s="10" t="str">
        <f>IFERROR(__xludf.DUMMYFUNCTION("""COMPUTED_VALUE"""),"#VALUE!")</f>
        <v>#VALUE!</v>
      </c>
      <c r="H758" s="10" t="str">
        <f>IFERROR(__xludf.DUMMYFUNCTION("""COMPUTED_VALUE"""),"")</f>
        <v/>
      </c>
    </row>
    <row r="759">
      <c r="E759" s="10" t="str">
        <f>IFERROR(__xludf.DUMMYFUNCTION("""COMPUTED_VALUE"""),"#VALUE!")</f>
        <v>#VALUE!</v>
      </c>
      <c r="F759" s="10" t="str">
        <f>IFERROR(__xludf.DUMMYFUNCTION("""COMPUTED_VALUE"""),"")</f>
        <v/>
      </c>
      <c r="G759" s="10" t="str">
        <f>IFERROR(__xludf.DUMMYFUNCTION("""COMPUTED_VALUE"""),"#VALUE!")</f>
        <v>#VALUE!</v>
      </c>
      <c r="H759" s="10" t="str">
        <f>IFERROR(__xludf.DUMMYFUNCTION("""COMPUTED_VALUE"""),"")</f>
        <v/>
      </c>
    </row>
    <row r="760">
      <c r="E760" s="10" t="str">
        <f>IFERROR(__xludf.DUMMYFUNCTION("""COMPUTED_VALUE"""),"#VALUE!")</f>
        <v>#VALUE!</v>
      </c>
      <c r="F760" s="10" t="str">
        <f>IFERROR(__xludf.DUMMYFUNCTION("""COMPUTED_VALUE"""),"")</f>
        <v/>
      </c>
      <c r="G760" s="10" t="str">
        <f>IFERROR(__xludf.DUMMYFUNCTION("""COMPUTED_VALUE"""),"#VALUE!")</f>
        <v>#VALUE!</v>
      </c>
      <c r="H760" s="10" t="str">
        <f>IFERROR(__xludf.DUMMYFUNCTION("""COMPUTED_VALUE"""),"")</f>
        <v/>
      </c>
    </row>
    <row r="761">
      <c r="E761" s="10" t="str">
        <f>IFERROR(__xludf.DUMMYFUNCTION("""COMPUTED_VALUE"""),"#VALUE!")</f>
        <v>#VALUE!</v>
      </c>
      <c r="F761" s="10" t="str">
        <f>IFERROR(__xludf.DUMMYFUNCTION("""COMPUTED_VALUE"""),"")</f>
        <v/>
      </c>
      <c r="G761" s="10" t="str">
        <f>IFERROR(__xludf.DUMMYFUNCTION("""COMPUTED_VALUE"""),"#VALUE!")</f>
        <v>#VALUE!</v>
      </c>
      <c r="H761" s="10" t="str">
        <f>IFERROR(__xludf.DUMMYFUNCTION("""COMPUTED_VALUE"""),"")</f>
        <v/>
      </c>
    </row>
    <row r="762">
      <c r="E762" s="10" t="str">
        <f>IFERROR(__xludf.DUMMYFUNCTION("""COMPUTED_VALUE"""),"#VALUE!")</f>
        <v>#VALUE!</v>
      </c>
      <c r="F762" s="10" t="str">
        <f>IFERROR(__xludf.DUMMYFUNCTION("""COMPUTED_VALUE"""),"")</f>
        <v/>
      </c>
      <c r="G762" s="10" t="str">
        <f>IFERROR(__xludf.DUMMYFUNCTION("""COMPUTED_VALUE"""),"#VALUE!")</f>
        <v>#VALUE!</v>
      </c>
      <c r="H762" s="10" t="str">
        <f>IFERROR(__xludf.DUMMYFUNCTION("""COMPUTED_VALUE"""),"")</f>
        <v/>
      </c>
    </row>
    <row r="763">
      <c r="E763" s="10" t="str">
        <f>IFERROR(__xludf.DUMMYFUNCTION("""COMPUTED_VALUE"""),"#VALUE!")</f>
        <v>#VALUE!</v>
      </c>
      <c r="F763" s="10" t="str">
        <f>IFERROR(__xludf.DUMMYFUNCTION("""COMPUTED_VALUE"""),"")</f>
        <v/>
      </c>
      <c r="G763" s="10" t="str">
        <f>IFERROR(__xludf.DUMMYFUNCTION("""COMPUTED_VALUE"""),"#VALUE!")</f>
        <v>#VALUE!</v>
      </c>
      <c r="H763" s="10" t="str">
        <f>IFERROR(__xludf.DUMMYFUNCTION("""COMPUTED_VALUE"""),"")</f>
        <v/>
      </c>
    </row>
    <row r="764">
      <c r="E764" s="10" t="str">
        <f>IFERROR(__xludf.DUMMYFUNCTION("""COMPUTED_VALUE"""),"#VALUE!")</f>
        <v>#VALUE!</v>
      </c>
      <c r="F764" s="10" t="str">
        <f>IFERROR(__xludf.DUMMYFUNCTION("""COMPUTED_VALUE"""),"")</f>
        <v/>
      </c>
      <c r="G764" s="10" t="str">
        <f>IFERROR(__xludf.DUMMYFUNCTION("""COMPUTED_VALUE"""),"#VALUE!")</f>
        <v>#VALUE!</v>
      </c>
      <c r="H764" s="10" t="str">
        <f>IFERROR(__xludf.DUMMYFUNCTION("""COMPUTED_VALUE"""),"")</f>
        <v/>
      </c>
    </row>
    <row r="765">
      <c r="E765" s="10" t="str">
        <f>IFERROR(__xludf.DUMMYFUNCTION("""COMPUTED_VALUE"""),"#VALUE!")</f>
        <v>#VALUE!</v>
      </c>
      <c r="F765" s="10" t="str">
        <f>IFERROR(__xludf.DUMMYFUNCTION("""COMPUTED_VALUE"""),"")</f>
        <v/>
      </c>
      <c r="G765" s="10" t="str">
        <f>IFERROR(__xludf.DUMMYFUNCTION("""COMPUTED_VALUE"""),"#VALUE!")</f>
        <v>#VALUE!</v>
      </c>
      <c r="H765" s="10" t="str">
        <f>IFERROR(__xludf.DUMMYFUNCTION("""COMPUTED_VALUE"""),"")</f>
        <v/>
      </c>
    </row>
    <row r="766">
      <c r="E766" s="10" t="str">
        <f>IFERROR(__xludf.DUMMYFUNCTION("""COMPUTED_VALUE"""),"#VALUE!")</f>
        <v>#VALUE!</v>
      </c>
      <c r="F766" s="10" t="str">
        <f>IFERROR(__xludf.DUMMYFUNCTION("""COMPUTED_VALUE"""),"")</f>
        <v/>
      </c>
      <c r="G766" s="10" t="str">
        <f>IFERROR(__xludf.DUMMYFUNCTION("""COMPUTED_VALUE"""),"#VALUE!")</f>
        <v>#VALUE!</v>
      </c>
      <c r="H766" s="10" t="str">
        <f>IFERROR(__xludf.DUMMYFUNCTION("""COMPUTED_VALUE"""),"")</f>
        <v/>
      </c>
    </row>
    <row r="767">
      <c r="E767" s="10" t="str">
        <f>IFERROR(__xludf.DUMMYFUNCTION("""COMPUTED_VALUE"""),"#VALUE!")</f>
        <v>#VALUE!</v>
      </c>
      <c r="F767" s="10" t="str">
        <f>IFERROR(__xludf.DUMMYFUNCTION("""COMPUTED_VALUE"""),"")</f>
        <v/>
      </c>
      <c r="G767" s="10" t="str">
        <f>IFERROR(__xludf.DUMMYFUNCTION("""COMPUTED_VALUE"""),"#VALUE!")</f>
        <v>#VALUE!</v>
      </c>
      <c r="H767" s="10" t="str">
        <f>IFERROR(__xludf.DUMMYFUNCTION("""COMPUTED_VALUE"""),"")</f>
        <v/>
      </c>
    </row>
    <row r="768">
      <c r="E768" s="10" t="str">
        <f>IFERROR(__xludf.DUMMYFUNCTION("""COMPUTED_VALUE"""),"#VALUE!")</f>
        <v>#VALUE!</v>
      </c>
      <c r="F768" s="10" t="str">
        <f>IFERROR(__xludf.DUMMYFUNCTION("""COMPUTED_VALUE"""),"")</f>
        <v/>
      </c>
      <c r="G768" s="10" t="str">
        <f>IFERROR(__xludf.DUMMYFUNCTION("""COMPUTED_VALUE"""),"#VALUE!")</f>
        <v>#VALUE!</v>
      </c>
      <c r="H768" s="10" t="str">
        <f>IFERROR(__xludf.DUMMYFUNCTION("""COMPUTED_VALUE"""),"")</f>
        <v/>
      </c>
    </row>
    <row r="769">
      <c r="E769" s="10" t="str">
        <f>IFERROR(__xludf.DUMMYFUNCTION("""COMPUTED_VALUE"""),"#VALUE!")</f>
        <v>#VALUE!</v>
      </c>
      <c r="F769" s="10" t="str">
        <f>IFERROR(__xludf.DUMMYFUNCTION("""COMPUTED_VALUE"""),"")</f>
        <v/>
      </c>
      <c r="G769" s="10" t="str">
        <f>IFERROR(__xludf.DUMMYFUNCTION("""COMPUTED_VALUE"""),"#VALUE!")</f>
        <v>#VALUE!</v>
      </c>
      <c r="H769" s="10" t="str">
        <f>IFERROR(__xludf.DUMMYFUNCTION("""COMPUTED_VALUE"""),"")</f>
        <v/>
      </c>
    </row>
    <row r="770">
      <c r="E770" s="10" t="str">
        <f>IFERROR(__xludf.DUMMYFUNCTION("""COMPUTED_VALUE"""),"#VALUE!")</f>
        <v>#VALUE!</v>
      </c>
      <c r="F770" s="10" t="str">
        <f>IFERROR(__xludf.DUMMYFUNCTION("""COMPUTED_VALUE"""),"")</f>
        <v/>
      </c>
      <c r="G770" s="10" t="str">
        <f>IFERROR(__xludf.DUMMYFUNCTION("""COMPUTED_VALUE"""),"#VALUE!")</f>
        <v>#VALUE!</v>
      </c>
      <c r="H770" s="10" t="str">
        <f>IFERROR(__xludf.DUMMYFUNCTION("""COMPUTED_VALUE"""),"")</f>
        <v/>
      </c>
    </row>
    <row r="771">
      <c r="E771" s="10" t="str">
        <f>IFERROR(__xludf.DUMMYFUNCTION("""COMPUTED_VALUE"""),"#VALUE!")</f>
        <v>#VALUE!</v>
      </c>
      <c r="F771" s="10" t="str">
        <f>IFERROR(__xludf.DUMMYFUNCTION("""COMPUTED_VALUE"""),"")</f>
        <v/>
      </c>
      <c r="G771" s="10" t="str">
        <f>IFERROR(__xludf.DUMMYFUNCTION("""COMPUTED_VALUE"""),"#VALUE!")</f>
        <v>#VALUE!</v>
      </c>
      <c r="H771" s="10" t="str">
        <f>IFERROR(__xludf.DUMMYFUNCTION("""COMPUTED_VALUE"""),"")</f>
        <v/>
      </c>
    </row>
    <row r="772">
      <c r="E772" s="10" t="str">
        <f>IFERROR(__xludf.DUMMYFUNCTION("""COMPUTED_VALUE"""),"#VALUE!")</f>
        <v>#VALUE!</v>
      </c>
      <c r="F772" s="10" t="str">
        <f>IFERROR(__xludf.DUMMYFUNCTION("""COMPUTED_VALUE"""),"")</f>
        <v/>
      </c>
      <c r="G772" s="10" t="str">
        <f>IFERROR(__xludf.DUMMYFUNCTION("""COMPUTED_VALUE"""),"#VALUE!")</f>
        <v>#VALUE!</v>
      </c>
      <c r="H772" s="10" t="str">
        <f>IFERROR(__xludf.DUMMYFUNCTION("""COMPUTED_VALUE"""),"")</f>
        <v/>
      </c>
    </row>
    <row r="773">
      <c r="E773" s="10" t="str">
        <f>IFERROR(__xludf.DUMMYFUNCTION("""COMPUTED_VALUE"""),"#VALUE!")</f>
        <v>#VALUE!</v>
      </c>
      <c r="F773" s="10" t="str">
        <f>IFERROR(__xludf.DUMMYFUNCTION("""COMPUTED_VALUE"""),"")</f>
        <v/>
      </c>
      <c r="G773" s="10" t="str">
        <f>IFERROR(__xludf.DUMMYFUNCTION("""COMPUTED_VALUE"""),"#VALUE!")</f>
        <v>#VALUE!</v>
      </c>
      <c r="H773" s="10" t="str">
        <f>IFERROR(__xludf.DUMMYFUNCTION("""COMPUTED_VALUE"""),"")</f>
        <v/>
      </c>
    </row>
    <row r="774">
      <c r="E774" s="10" t="str">
        <f>IFERROR(__xludf.DUMMYFUNCTION("""COMPUTED_VALUE"""),"#VALUE!")</f>
        <v>#VALUE!</v>
      </c>
      <c r="F774" s="10" t="str">
        <f>IFERROR(__xludf.DUMMYFUNCTION("""COMPUTED_VALUE"""),"")</f>
        <v/>
      </c>
      <c r="G774" s="10" t="str">
        <f>IFERROR(__xludf.DUMMYFUNCTION("""COMPUTED_VALUE"""),"#VALUE!")</f>
        <v>#VALUE!</v>
      </c>
      <c r="H774" s="10" t="str">
        <f>IFERROR(__xludf.DUMMYFUNCTION("""COMPUTED_VALUE"""),"")</f>
        <v/>
      </c>
    </row>
    <row r="775">
      <c r="E775" s="10" t="str">
        <f>IFERROR(__xludf.DUMMYFUNCTION("""COMPUTED_VALUE"""),"#VALUE!")</f>
        <v>#VALUE!</v>
      </c>
      <c r="F775" s="10" t="str">
        <f>IFERROR(__xludf.DUMMYFUNCTION("""COMPUTED_VALUE"""),"")</f>
        <v/>
      </c>
      <c r="G775" s="10" t="str">
        <f>IFERROR(__xludf.DUMMYFUNCTION("""COMPUTED_VALUE"""),"#VALUE!")</f>
        <v>#VALUE!</v>
      </c>
      <c r="H775" s="10" t="str">
        <f>IFERROR(__xludf.DUMMYFUNCTION("""COMPUTED_VALUE"""),"")</f>
        <v/>
      </c>
    </row>
    <row r="776">
      <c r="E776" s="10" t="str">
        <f>IFERROR(__xludf.DUMMYFUNCTION("""COMPUTED_VALUE"""),"#VALUE!")</f>
        <v>#VALUE!</v>
      </c>
      <c r="F776" s="10" t="str">
        <f>IFERROR(__xludf.DUMMYFUNCTION("""COMPUTED_VALUE"""),"")</f>
        <v/>
      </c>
      <c r="G776" s="10" t="str">
        <f>IFERROR(__xludf.DUMMYFUNCTION("""COMPUTED_VALUE"""),"#VALUE!")</f>
        <v>#VALUE!</v>
      </c>
      <c r="H776" s="10" t="str">
        <f>IFERROR(__xludf.DUMMYFUNCTION("""COMPUTED_VALUE"""),"")</f>
        <v/>
      </c>
    </row>
    <row r="777">
      <c r="E777" s="10" t="str">
        <f>IFERROR(__xludf.DUMMYFUNCTION("""COMPUTED_VALUE"""),"#VALUE!")</f>
        <v>#VALUE!</v>
      </c>
      <c r="F777" s="10" t="str">
        <f>IFERROR(__xludf.DUMMYFUNCTION("""COMPUTED_VALUE"""),"")</f>
        <v/>
      </c>
      <c r="G777" s="10" t="str">
        <f>IFERROR(__xludf.DUMMYFUNCTION("""COMPUTED_VALUE"""),"#VALUE!")</f>
        <v>#VALUE!</v>
      </c>
      <c r="H777" s="10" t="str">
        <f>IFERROR(__xludf.DUMMYFUNCTION("""COMPUTED_VALUE"""),"")</f>
        <v/>
      </c>
    </row>
    <row r="778">
      <c r="E778" s="10" t="str">
        <f>IFERROR(__xludf.DUMMYFUNCTION("""COMPUTED_VALUE"""),"#VALUE!")</f>
        <v>#VALUE!</v>
      </c>
      <c r="F778" s="10" t="str">
        <f>IFERROR(__xludf.DUMMYFUNCTION("""COMPUTED_VALUE"""),"")</f>
        <v/>
      </c>
      <c r="G778" s="10" t="str">
        <f>IFERROR(__xludf.DUMMYFUNCTION("""COMPUTED_VALUE"""),"#VALUE!")</f>
        <v>#VALUE!</v>
      </c>
      <c r="H778" s="10" t="str">
        <f>IFERROR(__xludf.DUMMYFUNCTION("""COMPUTED_VALUE"""),"")</f>
        <v/>
      </c>
    </row>
    <row r="779">
      <c r="E779" s="10" t="str">
        <f>IFERROR(__xludf.DUMMYFUNCTION("""COMPUTED_VALUE"""),"#VALUE!")</f>
        <v>#VALUE!</v>
      </c>
      <c r="F779" s="10" t="str">
        <f>IFERROR(__xludf.DUMMYFUNCTION("""COMPUTED_VALUE"""),"")</f>
        <v/>
      </c>
      <c r="G779" s="10" t="str">
        <f>IFERROR(__xludf.DUMMYFUNCTION("""COMPUTED_VALUE"""),"#VALUE!")</f>
        <v>#VALUE!</v>
      </c>
      <c r="H779" s="10" t="str">
        <f>IFERROR(__xludf.DUMMYFUNCTION("""COMPUTED_VALUE"""),"")</f>
        <v/>
      </c>
    </row>
    <row r="780">
      <c r="E780" s="10" t="str">
        <f>IFERROR(__xludf.DUMMYFUNCTION("""COMPUTED_VALUE"""),"#VALUE!")</f>
        <v>#VALUE!</v>
      </c>
      <c r="F780" s="10" t="str">
        <f>IFERROR(__xludf.DUMMYFUNCTION("""COMPUTED_VALUE"""),"")</f>
        <v/>
      </c>
      <c r="G780" s="10" t="str">
        <f>IFERROR(__xludf.DUMMYFUNCTION("""COMPUTED_VALUE"""),"#VALUE!")</f>
        <v>#VALUE!</v>
      </c>
      <c r="H780" s="10" t="str">
        <f>IFERROR(__xludf.DUMMYFUNCTION("""COMPUTED_VALUE"""),"")</f>
        <v/>
      </c>
    </row>
    <row r="781">
      <c r="E781" s="10" t="str">
        <f>IFERROR(__xludf.DUMMYFUNCTION("""COMPUTED_VALUE"""),"#VALUE!")</f>
        <v>#VALUE!</v>
      </c>
      <c r="F781" s="10" t="str">
        <f>IFERROR(__xludf.DUMMYFUNCTION("""COMPUTED_VALUE"""),"")</f>
        <v/>
      </c>
      <c r="G781" s="10" t="str">
        <f>IFERROR(__xludf.DUMMYFUNCTION("""COMPUTED_VALUE"""),"#VALUE!")</f>
        <v>#VALUE!</v>
      </c>
      <c r="H781" s="10" t="str">
        <f>IFERROR(__xludf.DUMMYFUNCTION("""COMPUTED_VALUE"""),"")</f>
        <v/>
      </c>
    </row>
    <row r="782">
      <c r="E782" s="10" t="str">
        <f>IFERROR(__xludf.DUMMYFUNCTION("""COMPUTED_VALUE"""),"#VALUE!")</f>
        <v>#VALUE!</v>
      </c>
      <c r="F782" s="10" t="str">
        <f>IFERROR(__xludf.DUMMYFUNCTION("""COMPUTED_VALUE"""),"")</f>
        <v/>
      </c>
      <c r="G782" s="10" t="str">
        <f>IFERROR(__xludf.DUMMYFUNCTION("""COMPUTED_VALUE"""),"#VALUE!")</f>
        <v>#VALUE!</v>
      </c>
      <c r="H782" s="10" t="str">
        <f>IFERROR(__xludf.DUMMYFUNCTION("""COMPUTED_VALUE"""),"")</f>
        <v/>
      </c>
    </row>
    <row r="783">
      <c r="E783" s="10" t="str">
        <f>IFERROR(__xludf.DUMMYFUNCTION("""COMPUTED_VALUE"""),"#VALUE!")</f>
        <v>#VALUE!</v>
      </c>
      <c r="F783" s="10" t="str">
        <f>IFERROR(__xludf.DUMMYFUNCTION("""COMPUTED_VALUE"""),"")</f>
        <v/>
      </c>
      <c r="G783" s="10" t="str">
        <f>IFERROR(__xludf.DUMMYFUNCTION("""COMPUTED_VALUE"""),"#VALUE!")</f>
        <v>#VALUE!</v>
      </c>
      <c r="H783" s="10" t="str">
        <f>IFERROR(__xludf.DUMMYFUNCTION("""COMPUTED_VALUE"""),"")</f>
        <v/>
      </c>
    </row>
    <row r="784">
      <c r="E784" s="10" t="str">
        <f>IFERROR(__xludf.DUMMYFUNCTION("""COMPUTED_VALUE"""),"#VALUE!")</f>
        <v>#VALUE!</v>
      </c>
      <c r="F784" s="10" t="str">
        <f>IFERROR(__xludf.DUMMYFUNCTION("""COMPUTED_VALUE"""),"")</f>
        <v/>
      </c>
      <c r="G784" s="10" t="str">
        <f>IFERROR(__xludf.DUMMYFUNCTION("""COMPUTED_VALUE"""),"#VALUE!")</f>
        <v>#VALUE!</v>
      </c>
      <c r="H784" s="10" t="str">
        <f>IFERROR(__xludf.DUMMYFUNCTION("""COMPUTED_VALUE"""),"")</f>
        <v/>
      </c>
    </row>
    <row r="785">
      <c r="E785" s="10" t="str">
        <f>IFERROR(__xludf.DUMMYFUNCTION("""COMPUTED_VALUE"""),"#VALUE!")</f>
        <v>#VALUE!</v>
      </c>
      <c r="F785" s="10" t="str">
        <f>IFERROR(__xludf.DUMMYFUNCTION("""COMPUTED_VALUE"""),"")</f>
        <v/>
      </c>
      <c r="G785" s="10" t="str">
        <f>IFERROR(__xludf.DUMMYFUNCTION("""COMPUTED_VALUE"""),"#VALUE!")</f>
        <v>#VALUE!</v>
      </c>
      <c r="H785" s="10" t="str">
        <f>IFERROR(__xludf.DUMMYFUNCTION("""COMPUTED_VALUE"""),"")</f>
        <v/>
      </c>
    </row>
    <row r="786">
      <c r="E786" s="10" t="str">
        <f>IFERROR(__xludf.DUMMYFUNCTION("""COMPUTED_VALUE"""),"#VALUE!")</f>
        <v>#VALUE!</v>
      </c>
      <c r="F786" s="10" t="str">
        <f>IFERROR(__xludf.DUMMYFUNCTION("""COMPUTED_VALUE"""),"")</f>
        <v/>
      </c>
      <c r="G786" s="10" t="str">
        <f>IFERROR(__xludf.DUMMYFUNCTION("""COMPUTED_VALUE"""),"#VALUE!")</f>
        <v>#VALUE!</v>
      </c>
      <c r="H786" s="10" t="str">
        <f>IFERROR(__xludf.DUMMYFUNCTION("""COMPUTED_VALUE"""),"")</f>
        <v/>
      </c>
    </row>
    <row r="787">
      <c r="E787" s="10" t="str">
        <f>IFERROR(__xludf.DUMMYFUNCTION("""COMPUTED_VALUE"""),"#VALUE!")</f>
        <v>#VALUE!</v>
      </c>
      <c r="F787" s="10" t="str">
        <f>IFERROR(__xludf.DUMMYFUNCTION("""COMPUTED_VALUE"""),"")</f>
        <v/>
      </c>
      <c r="G787" s="10" t="str">
        <f>IFERROR(__xludf.DUMMYFUNCTION("""COMPUTED_VALUE"""),"#VALUE!")</f>
        <v>#VALUE!</v>
      </c>
      <c r="H787" s="10" t="str">
        <f>IFERROR(__xludf.DUMMYFUNCTION("""COMPUTED_VALUE"""),"")</f>
        <v/>
      </c>
    </row>
    <row r="788">
      <c r="E788" s="10" t="str">
        <f>IFERROR(__xludf.DUMMYFUNCTION("""COMPUTED_VALUE"""),"#VALUE!")</f>
        <v>#VALUE!</v>
      </c>
      <c r="F788" s="10" t="str">
        <f>IFERROR(__xludf.DUMMYFUNCTION("""COMPUTED_VALUE"""),"")</f>
        <v/>
      </c>
      <c r="G788" s="10" t="str">
        <f>IFERROR(__xludf.DUMMYFUNCTION("""COMPUTED_VALUE"""),"#VALUE!")</f>
        <v>#VALUE!</v>
      </c>
      <c r="H788" s="10" t="str">
        <f>IFERROR(__xludf.DUMMYFUNCTION("""COMPUTED_VALUE"""),"")</f>
        <v/>
      </c>
    </row>
    <row r="789">
      <c r="E789" s="10" t="str">
        <f>IFERROR(__xludf.DUMMYFUNCTION("""COMPUTED_VALUE"""),"#VALUE!")</f>
        <v>#VALUE!</v>
      </c>
      <c r="F789" s="10" t="str">
        <f>IFERROR(__xludf.DUMMYFUNCTION("""COMPUTED_VALUE"""),"")</f>
        <v/>
      </c>
      <c r="G789" s="10" t="str">
        <f>IFERROR(__xludf.DUMMYFUNCTION("""COMPUTED_VALUE"""),"#VALUE!")</f>
        <v>#VALUE!</v>
      </c>
      <c r="H789" s="10" t="str">
        <f>IFERROR(__xludf.DUMMYFUNCTION("""COMPUTED_VALUE"""),"")</f>
        <v/>
      </c>
    </row>
    <row r="790">
      <c r="E790" s="10" t="str">
        <f>IFERROR(__xludf.DUMMYFUNCTION("""COMPUTED_VALUE"""),"#VALUE!")</f>
        <v>#VALUE!</v>
      </c>
      <c r="F790" s="10" t="str">
        <f>IFERROR(__xludf.DUMMYFUNCTION("""COMPUTED_VALUE"""),"")</f>
        <v/>
      </c>
      <c r="G790" s="10" t="str">
        <f>IFERROR(__xludf.DUMMYFUNCTION("""COMPUTED_VALUE"""),"#VALUE!")</f>
        <v>#VALUE!</v>
      </c>
      <c r="H790" s="10" t="str">
        <f>IFERROR(__xludf.DUMMYFUNCTION("""COMPUTED_VALUE"""),"")</f>
        <v/>
      </c>
    </row>
    <row r="791">
      <c r="E791" s="10" t="str">
        <f>IFERROR(__xludf.DUMMYFUNCTION("""COMPUTED_VALUE"""),"#VALUE!")</f>
        <v>#VALUE!</v>
      </c>
      <c r="F791" s="10" t="str">
        <f>IFERROR(__xludf.DUMMYFUNCTION("""COMPUTED_VALUE"""),"")</f>
        <v/>
      </c>
      <c r="G791" s="10" t="str">
        <f>IFERROR(__xludf.DUMMYFUNCTION("""COMPUTED_VALUE"""),"#VALUE!")</f>
        <v>#VALUE!</v>
      </c>
      <c r="H791" s="10" t="str">
        <f>IFERROR(__xludf.DUMMYFUNCTION("""COMPUTED_VALUE"""),"")</f>
        <v/>
      </c>
    </row>
    <row r="792">
      <c r="E792" s="10" t="str">
        <f>IFERROR(__xludf.DUMMYFUNCTION("""COMPUTED_VALUE"""),"#VALUE!")</f>
        <v>#VALUE!</v>
      </c>
      <c r="F792" s="10" t="str">
        <f>IFERROR(__xludf.DUMMYFUNCTION("""COMPUTED_VALUE"""),"")</f>
        <v/>
      </c>
      <c r="G792" s="10" t="str">
        <f>IFERROR(__xludf.DUMMYFUNCTION("""COMPUTED_VALUE"""),"#VALUE!")</f>
        <v>#VALUE!</v>
      </c>
      <c r="H792" s="10" t="str">
        <f>IFERROR(__xludf.DUMMYFUNCTION("""COMPUTED_VALUE"""),"")</f>
        <v/>
      </c>
    </row>
    <row r="793">
      <c r="E793" s="10" t="str">
        <f>IFERROR(__xludf.DUMMYFUNCTION("""COMPUTED_VALUE"""),"#VALUE!")</f>
        <v>#VALUE!</v>
      </c>
      <c r="F793" s="10" t="str">
        <f>IFERROR(__xludf.DUMMYFUNCTION("""COMPUTED_VALUE"""),"")</f>
        <v/>
      </c>
      <c r="G793" s="10" t="str">
        <f>IFERROR(__xludf.DUMMYFUNCTION("""COMPUTED_VALUE"""),"#VALUE!")</f>
        <v>#VALUE!</v>
      </c>
      <c r="H793" s="10" t="str">
        <f>IFERROR(__xludf.DUMMYFUNCTION("""COMPUTED_VALUE"""),"")</f>
        <v/>
      </c>
    </row>
    <row r="794">
      <c r="E794" s="10" t="str">
        <f>IFERROR(__xludf.DUMMYFUNCTION("""COMPUTED_VALUE"""),"#VALUE!")</f>
        <v>#VALUE!</v>
      </c>
      <c r="F794" s="10" t="str">
        <f>IFERROR(__xludf.DUMMYFUNCTION("""COMPUTED_VALUE"""),"")</f>
        <v/>
      </c>
      <c r="G794" s="10" t="str">
        <f>IFERROR(__xludf.DUMMYFUNCTION("""COMPUTED_VALUE"""),"#VALUE!")</f>
        <v>#VALUE!</v>
      </c>
      <c r="H794" s="10" t="str">
        <f>IFERROR(__xludf.DUMMYFUNCTION("""COMPUTED_VALUE"""),"")</f>
        <v/>
      </c>
    </row>
    <row r="795">
      <c r="E795" s="10" t="str">
        <f>IFERROR(__xludf.DUMMYFUNCTION("""COMPUTED_VALUE"""),"#VALUE!")</f>
        <v>#VALUE!</v>
      </c>
      <c r="F795" s="10" t="str">
        <f>IFERROR(__xludf.DUMMYFUNCTION("""COMPUTED_VALUE"""),"")</f>
        <v/>
      </c>
      <c r="G795" s="10" t="str">
        <f>IFERROR(__xludf.DUMMYFUNCTION("""COMPUTED_VALUE"""),"#VALUE!")</f>
        <v>#VALUE!</v>
      </c>
      <c r="H795" s="10" t="str">
        <f>IFERROR(__xludf.DUMMYFUNCTION("""COMPUTED_VALUE"""),"")</f>
        <v/>
      </c>
    </row>
    <row r="796">
      <c r="E796" s="10" t="str">
        <f>IFERROR(__xludf.DUMMYFUNCTION("""COMPUTED_VALUE"""),"#VALUE!")</f>
        <v>#VALUE!</v>
      </c>
      <c r="F796" s="10" t="str">
        <f>IFERROR(__xludf.DUMMYFUNCTION("""COMPUTED_VALUE"""),"")</f>
        <v/>
      </c>
      <c r="G796" s="10" t="str">
        <f>IFERROR(__xludf.DUMMYFUNCTION("""COMPUTED_VALUE"""),"#VALUE!")</f>
        <v>#VALUE!</v>
      </c>
      <c r="H796" s="10" t="str">
        <f>IFERROR(__xludf.DUMMYFUNCTION("""COMPUTED_VALUE"""),"")</f>
        <v/>
      </c>
    </row>
    <row r="797">
      <c r="E797" s="10" t="str">
        <f>IFERROR(__xludf.DUMMYFUNCTION("""COMPUTED_VALUE"""),"#VALUE!")</f>
        <v>#VALUE!</v>
      </c>
      <c r="F797" s="10" t="str">
        <f>IFERROR(__xludf.DUMMYFUNCTION("""COMPUTED_VALUE"""),"")</f>
        <v/>
      </c>
      <c r="G797" s="10" t="str">
        <f>IFERROR(__xludf.DUMMYFUNCTION("""COMPUTED_VALUE"""),"#VALUE!")</f>
        <v>#VALUE!</v>
      </c>
      <c r="H797" s="10" t="str">
        <f>IFERROR(__xludf.DUMMYFUNCTION("""COMPUTED_VALUE"""),"")</f>
        <v/>
      </c>
    </row>
    <row r="798">
      <c r="E798" s="10" t="str">
        <f>IFERROR(__xludf.DUMMYFUNCTION("""COMPUTED_VALUE"""),"#VALUE!")</f>
        <v>#VALUE!</v>
      </c>
      <c r="F798" s="10" t="str">
        <f>IFERROR(__xludf.DUMMYFUNCTION("""COMPUTED_VALUE"""),"")</f>
        <v/>
      </c>
      <c r="G798" s="10" t="str">
        <f>IFERROR(__xludf.DUMMYFUNCTION("""COMPUTED_VALUE"""),"#VALUE!")</f>
        <v>#VALUE!</v>
      </c>
      <c r="H798" s="10" t="str">
        <f>IFERROR(__xludf.DUMMYFUNCTION("""COMPUTED_VALUE"""),"")</f>
        <v/>
      </c>
    </row>
    <row r="799">
      <c r="E799" s="10" t="str">
        <f>IFERROR(__xludf.DUMMYFUNCTION("""COMPUTED_VALUE"""),"#VALUE!")</f>
        <v>#VALUE!</v>
      </c>
      <c r="F799" s="10" t="str">
        <f>IFERROR(__xludf.DUMMYFUNCTION("""COMPUTED_VALUE"""),"")</f>
        <v/>
      </c>
      <c r="G799" s="10" t="str">
        <f>IFERROR(__xludf.DUMMYFUNCTION("""COMPUTED_VALUE"""),"#VALUE!")</f>
        <v>#VALUE!</v>
      </c>
      <c r="H799" s="10" t="str">
        <f>IFERROR(__xludf.DUMMYFUNCTION("""COMPUTED_VALUE"""),"")</f>
        <v/>
      </c>
    </row>
    <row r="800">
      <c r="E800" s="10" t="str">
        <f>IFERROR(__xludf.DUMMYFUNCTION("""COMPUTED_VALUE"""),"#VALUE!")</f>
        <v>#VALUE!</v>
      </c>
      <c r="F800" s="10" t="str">
        <f>IFERROR(__xludf.DUMMYFUNCTION("""COMPUTED_VALUE"""),"")</f>
        <v/>
      </c>
      <c r="G800" s="10" t="str">
        <f>IFERROR(__xludf.DUMMYFUNCTION("""COMPUTED_VALUE"""),"#VALUE!")</f>
        <v>#VALUE!</v>
      </c>
      <c r="H800" s="10" t="str">
        <f>IFERROR(__xludf.DUMMYFUNCTION("""COMPUTED_VALUE"""),"")</f>
        <v/>
      </c>
    </row>
    <row r="801">
      <c r="E801" s="10" t="str">
        <f>IFERROR(__xludf.DUMMYFUNCTION("""COMPUTED_VALUE"""),"#VALUE!")</f>
        <v>#VALUE!</v>
      </c>
      <c r="F801" s="10" t="str">
        <f>IFERROR(__xludf.DUMMYFUNCTION("""COMPUTED_VALUE"""),"")</f>
        <v/>
      </c>
      <c r="G801" s="10" t="str">
        <f>IFERROR(__xludf.DUMMYFUNCTION("""COMPUTED_VALUE"""),"#VALUE!")</f>
        <v>#VALUE!</v>
      </c>
      <c r="H801" s="10" t="str">
        <f>IFERROR(__xludf.DUMMYFUNCTION("""COMPUTED_VALUE"""),"")</f>
        <v/>
      </c>
    </row>
    <row r="802">
      <c r="E802" s="10" t="str">
        <f>IFERROR(__xludf.DUMMYFUNCTION("""COMPUTED_VALUE"""),"#VALUE!")</f>
        <v>#VALUE!</v>
      </c>
      <c r="F802" s="10" t="str">
        <f>IFERROR(__xludf.DUMMYFUNCTION("""COMPUTED_VALUE"""),"")</f>
        <v/>
      </c>
      <c r="G802" s="10" t="str">
        <f>IFERROR(__xludf.DUMMYFUNCTION("""COMPUTED_VALUE"""),"#VALUE!")</f>
        <v>#VALUE!</v>
      </c>
      <c r="H802" s="10" t="str">
        <f>IFERROR(__xludf.DUMMYFUNCTION("""COMPUTED_VALUE"""),"")</f>
        <v/>
      </c>
    </row>
    <row r="803">
      <c r="E803" s="10" t="str">
        <f>IFERROR(__xludf.DUMMYFUNCTION("""COMPUTED_VALUE"""),"#VALUE!")</f>
        <v>#VALUE!</v>
      </c>
      <c r="F803" s="10" t="str">
        <f>IFERROR(__xludf.DUMMYFUNCTION("""COMPUTED_VALUE"""),"")</f>
        <v/>
      </c>
      <c r="G803" s="10" t="str">
        <f>IFERROR(__xludf.DUMMYFUNCTION("""COMPUTED_VALUE"""),"#VALUE!")</f>
        <v>#VALUE!</v>
      </c>
      <c r="H803" s="10" t="str">
        <f>IFERROR(__xludf.DUMMYFUNCTION("""COMPUTED_VALUE"""),"")</f>
        <v/>
      </c>
    </row>
    <row r="804">
      <c r="E804" s="10" t="str">
        <f>IFERROR(__xludf.DUMMYFUNCTION("""COMPUTED_VALUE"""),"#VALUE!")</f>
        <v>#VALUE!</v>
      </c>
      <c r="F804" s="10" t="str">
        <f>IFERROR(__xludf.DUMMYFUNCTION("""COMPUTED_VALUE"""),"")</f>
        <v/>
      </c>
      <c r="G804" s="10" t="str">
        <f>IFERROR(__xludf.DUMMYFUNCTION("""COMPUTED_VALUE"""),"#VALUE!")</f>
        <v>#VALUE!</v>
      </c>
      <c r="H804" s="10" t="str">
        <f>IFERROR(__xludf.DUMMYFUNCTION("""COMPUTED_VALUE"""),"")</f>
        <v/>
      </c>
    </row>
    <row r="805">
      <c r="E805" s="10" t="str">
        <f>IFERROR(__xludf.DUMMYFUNCTION("""COMPUTED_VALUE"""),"#VALUE!")</f>
        <v>#VALUE!</v>
      </c>
      <c r="F805" s="10" t="str">
        <f>IFERROR(__xludf.DUMMYFUNCTION("""COMPUTED_VALUE"""),"")</f>
        <v/>
      </c>
      <c r="G805" s="10" t="str">
        <f>IFERROR(__xludf.DUMMYFUNCTION("""COMPUTED_VALUE"""),"#VALUE!")</f>
        <v>#VALUE!</v>
      </c>
      <c r="H805" s="10" t="str">
        <f>IFERROR(__xludf.DUMMYFUNCTION("""COMPUTED_VALUE"""),"")</f>
        <v/>
      </c>
    </row>
    <row r="806">
      <c r="E806" s="10" t="str">
        <f>IFERROR(__xludf.DUMMYFUNCTION("""COMPUTED_VALUE"""),"#VALUE!")</f>
        <v>#VALUE!</v>
      </c>
      <c r="F806" s="10" t="str">
        <f>IFERROR(__xludf.DUMMYFUNCTION("""COMPUTED_VALUE"""),"")</f>
        <v/>
      </c>
      <c r="G806" s="10" t="str">
        <f>IFERROR(__xludf.DUMMYFUNCTION("""COMPUTED_VALUE"""),"#VALUE!")</f>
        <v>#VALUE!</v>
      </c>
      <c r="H806" s="10" t="str">
        <f>IFERROR(__xludf.DUMMYFUNCTION("""COMPUTED_VALUE"""),"")</f>
        <v/>
      </c>
    </row>
    <row r="807">
      <c r="E807" s="10" t="str">
        <f>IFERROR(__xludf.DUMMYFUNCTION("""COMPUTED_VALUE"""),"#VALUE!")</f>
        <v>#VALUE!</v>
      </c>
      <c r="F807" s="10" t="str">
        <f>IFERROR(__xludf.DUMMYFUNCTION("""COMPUTED_VALUE"""),"")</f>
        <v/>
      </c>
      <c r="G807" s="10" t="str">
        <f>IFERROR(__xludf.DUMMYFUNCTION("""COMPUTED_VALUE"""),"#VALUE!")</f>
        <v>#VALUE!</v>
      </c>
      <c r="H807" s="10" t="str">
        <f>IFERROR(__xludf.DUMMYFUNCTION("""COMPUTED_VALUE"""),"")</f>
        <v/>
      </c>
    </row>
    <row r="808">
      <c r="E808" s="10" t="str">
        <f>IFERROR(__xludf.DUMMYFUNCTION("""COMPUTED_VALUE"""),"#VALUE!")</f>
        <v>#VALUE!</v>
      </c>
      <c r="F808" s="10" t="str">
        <f>IFERROR(__xludf.DUMMYFUNCTION("""COMPUTED_VALUE"""),"")</f>
        <v/>
      </c>
      <c r="G808" s="10" t="str">
        <f>IFERROR(__xludf.DUMMYFUNCTION("""COMPUTED_VALUE"""),"#VALUE!")</f>
        <v>#VALUE!</v>
      </c>
      <c r="H808" s="10" t="str">
        <f>IFERROR(__xludf.DUMMYFUNCTION("""COMPUTED_VALUE"""),"")</f>
        <v/>
      </c>
    </row>
    <row r="809">
      <c r="E809" s="10" t="str">
        <f>IFERROR(__xludf.DUMMYFUNCTION("""COMPUTED_VALUE"""),"#VALUE!")</f>
        <v>#VALUE!</v>
      </c>
      <c r="F809" s="10" t="str">
        <f>IFERROR(__xludf.DUMMYFUNCTION("""COMPUTED_VALUE"""),"")</f>
        <v/>
      </c>
      <c r="G809" s="10" t="str">
        <f>IFERROR(__xludf.DUMMYFUNCTION("""COMPUTED_VALUE"""),"#VALUE!")</f>
        <v>#VALUE!</v>
      </c>
      <c r="H809" s="10" t="str">
        <f>IFERROR(__xludf.DUMMYFUNCTION("""COMPUTED_VALUE"""),"")</f>
        <v/>
      </c>
    </row>
    <row r="810">
      <c r="E810" s="10" t="str">
        <f>IFERROR(__xludf.DUMMYFUNCTION("""COMPUTED_VALUE"""),"#VALUE!")</f>
        <v>#VALUE!</v>
      </c>
      <c r="F810" s="10" t="str">
        <f>IFERROR(__xludf.DUMMYFUNCTION("""COMPUTED_VALUE"""),"")</f>
        <v/>
      </c>
      <c r="G810" s="10" t="str">
        <f>IFERROR(__xludf.DUMMYFUNCTION("""COMPUTED_VALUE"""),"#VALUE!")</f>
        <v>#VALUE!</v>
      </c>
      <c r="H810" s="10" t="str">
        <f>IFERROR(__xludf.DUMMYFUNCTION("""COMPUTED_VALUE"""),"")</f>
        <v/>
      </c>
    </row>
    <row r="811">
      <c r="E811" s="10" t="str">
        <f>IFERROR(__xludf.DUMMYFUNCTION("""COMPUTED_VALUE"""),"#VALUE!")</f>
        <v>#VALUE!</v>
      </c>
      <c r="F811" s="10" t="str">
        <f>IFERROR(__xludf.DUMMYFUNCTION("""COMPUTED_VALUE"""),"")</f>
        <v/>
      </c>
      <c r="G811" s="10" t="str">
        <f>IFERROR(__xludf.DUMMYFUNCTION("""COMPUTED_VALUE"""),"#VALUE!")</f>
        <v>#VALUE!</v>
      </c>
      <c r="H811" s="10" t="str">
        <f>IFERROR(__xludf.DUMMYFUNCTION("""COMPUTED_VALUE"""),"")</f>
        <v/>
      </c>
    </row>
    <row r="812">
      <c r="E812" s="10" t="str">
        <f>IFERROR(__xludf.DUMMYFUNCTION("""COMPUTED_VALUE"""),"#VALUE!")</f>
        <v>#VALUE!</v>
      </c>
      <c r="F812" s="10" t="str">
        <f>IFERROR(__xludf.DUMMYFUNCTION("""COMPUTED_VALUE"""),"")</f>
        <v/>
      </c>
      <c r="G812" s="10" t="str">
        <f>IFERROR(__xludf.DUMMYFUNCTION("""COMPUTED_VALUE"""),"#VALUE!")</f>
        <v>#VALUE!</v>
      </c>
      <c r="H812" s="10" t="str">
        <f>IFERROR(__xludf.DUMMYFUNCTION("""COMPUTED_VALUE"""),"")</f>
        <v/>
      </c>
    </row>
    <row r="813">
      <c r="E813" s="10" t="str">
        <f>IFERROR(__xludf.DUMMYFUNCTION("""COMPUTED_VALUE"""),"#VALUE!")</f>
        <v>#VALUE!</v>
      </c>
      <c r="F813" s="10" t="str">
        <f>IFERROR(__xludf.DUMMYFUNCTION("""COMPUTED_VALUE"""),"")</f>
        <v/>
      </c>
      <c r="G813" s="10" t="str">
        <f>IFERROR(__xludf.DUMMYFUNCTION("""COMPUTED_VALUE"""),"#VALUE!")</f>
        <v>#VALUE!</v>
      </c>
      <c r="H813" s="10" t="str">
        <f>IFERROR(__xludf.DUMMYFUNCTION("""COMPUTED_VALUE"""),"")</f>
        <v/>
      </c>
    </row>
    <row r="814">
      <c r="E814" s="10" t="str">
        <f>IFERROR(__xludf.DUMMYFUNCTION("""COMPUTED_VALUE"""),"#VALUE!")</f>
        <v>#VALUE!</v>
      </c>
      <c r="F814" s="10" t="str">
        <f>IFERROR(__xludf.DUMMYFUNCTION("""COMPUTED_VALUE"""),"")</f>
        <v/>
      </c>
      <c r="G814" s="10" t="str">
        <f>IFERROR(__xludf.DUMMYFUNCTION("""COMPUTED_VALUE"""),"#VALUE!")</f>
        <v>#VALUE!</v>
      </c>
      <c r="H814" s="10" t="str">
        <f>IFERROR(__xludf.DUMMYFUNCTION("""COMPUTED_VALUE"""),"")</f>
        <v/>
      </c>
    </row>
    <row r="815">
      <c r="E815" s="10" t="str">
        <f>IFERROR(__xludf.DUMMYFUNCTION("""COMPUTED_VALUE"""),"#VALUE!")</f>
        <v>#VALUE!</v>
      </c>
      <c r="F815" s="10" t="str">
        <f>IFERROR(__xludf.DUMMYFUNCTION("""COMPUTED_VALUE"""),"")</f>
        <v/>
      </c>
      <c r="G815" s="10" t="str">
        <f>IFERROR(__xludf.DUMMYFUNCTION("""COMPUTED_VALUE"""),"#VALUE!")</f>
        <v>#VALUE!</v>
      </c>
      <c r="H815" s="10" t="str">
        <f>IFERROR(__xludf.DUMMYFUNCTION("""COMPUTED_VALUE"""),"")</f>
        <v/>
      </c>
    </row>
    <row r="816">
      <c r="E816" s="10" t="str">
        <f>IFERROR(__xludf.DUMMYFUNCTION("""COMPUTED_VALUE"""),"#VALUE!")</f>
        <v>#VALUE!</v>
      </c>
      <c r="F816" s="10" t="str">
        <f>IFERROR(__xludf.DUMMYFUNCTION("""COMPUTED_VALUE"""),"")</f>
        <v/>
      </c>
      <c r="G816" s="10" t="str">
        <f>IFERROR(__xludf.DUMMYFUNCTION("""COMPUTED_VALUE"""),"#VALUE!")</f>
        <v>#VALUE!</v>
      </c>
      <c r="H816" s="10" t="str">
        <f>IFERROR(__xludf.DUMMYFUNCTION("""COMPUTED_VALUE"""),"")</f>
        <v/>
      </c>
    </row>
    <row r="817">
      <c r="E817" s="10" t="str">
        <f>IFERROR(__xludf.DUMMYFUNCTION("""COMPUTED_VALUE"""),"#VALUE!")</f>
        <v>#VALUE!</v>
      </c>
      <c r="F817" s="10" t="str">
        <f>IFERROR(__xludf.DUMMYFUNCTION("""COMPUTED_VALUE"""),"")</f>
        <v/>
      </c>
      <c r="G817" s="10" t="str">
        <f>IFERROR(__xludf.DUMMYFUNCTION("""COMPUTED_VALUE"""),"#VALUE!")</f>
        <v>#VALUE!</v>
      </c>
      <c r="H817" s="10" t="str">
        <f>IFERROR(__xludf.DUMMYFUNCTION("""COMPUTED_VALUE"""),"")</f>
        <v/>
      </c>
    </row>
    <row r="818">
      <c r="E818" s="10" t="str">
        <f>IFERROR(__xludf.DUMMYFUNCTION("""COMPUTED_VALUE"""),"#VALUE!")</f>
        <v>#VALUE!</v>
      </c>
      <c r="F818" s="10" t="str">
        <f>IFERROR(__xludf.DUMMYFUNCTION("""COMPUTED_VALUE"""),"")</f>
        <v/>
      </c>
      <c r="G818" s="10" t="str">
        <f>IFERROR(__xludf.DUMMYFUNCTION("""COMPUTED_VALUE"""),"#VALUE!")</f>
        <v>#VALUE!</v>
      </c>
      <c r="H818" s="10" t="str">
        <f>IFERROR(__xludf.DUMMYFUNCTION("""COMPUTED_VALUE"""),"")</f>
        <v/>
      </c>
    </row>
    <row r="819">
      <c r="E819" s="10" t="str">
        <f>IFERROR(__xludf.DUMMYFUNCTION("""COMPUTED_VALUE"""),"#VALUE!")</f>
        <v>#VALUE!</v>
      </c>
      <c r="F819" s="10" t="str">
        <f>IFERROR(__xludf.DUMMYFUNCTION("""COMPUTED_VALUE"""),"")</f>
        <v/>
      </c>
      <c r="G819" s="10" t="str">
        <f>IFERROR(__xludf.DUMMYFUNCTION("""COMPUTED_VALUE"""),"#VALUE!")</f>
        <v>#VALUE!</v>
      </c>
      <c r="H819" s="10" t="str">
        <f>IFERROR(__xludf.DUMMYFUNCTION("""COMPUTED_VALUE"""),"")</f>
        <v/>
      </c>
    </row>
    <row r="820">
      <c r="E820" s="10" t="str">
        <f>IFERROR(__xludf.DUMMYFUNCTION("""COMPUTED_VALUE"""),"#VALUE!")</f>
        <v>#VALUE!</v>
      </c>
      <c r="F820" s="10" t="str">
        <f>IFERROR(__xludf.DUMMYFUNCTION("""COMPUTED_VALUE"""),"")</f>
        <v/>
      </c>
      <c r="G820" s="10" t="str">
        <f>IFERROR(__xludf.DUMMYFUNCTION("""COMPUTED_VALUE"""),"#VALUE!")</f>
        <v>#VALUE!</v>
      </c>
      <c r="H820" s="10" t="str">
        <f>IFERROR(__xludf.DUMMYFUNCTION("""COMPUTED_VALUE"""),"")</f>
        <v/>
      </c>
    </row>
    <row r="821">
      <c r="E821" s="10" t="str">
        <f>IFERROR(__xludf.DUMMYFUNCTION("""COMPUTED_VALUE"""),"#VALUE!")</f>
        <v>#VALUE!</v>
      </c>
      <c r="F821" s="10" t="str">
        <f>IFERROR(__xludf.DUMMYFUNCTION("""COMPUTED_VALUE"""),"")</f>
        <v/>
      </c>
      <c r="G821" s="10" t="str">
        <f>IFERROR(__xludf.DUMMYFUNCTION("""COMPUTED_VALUE"""),"#VALUE!")</f>
        <v>#VALUE!</v>
      </c>
      <c r="H821" s="10" t="str">
        <f>IFERROR(__xludf.DUMMYFUNCTION("""COMPUTED_VALUE"""),"")</f>
        <v/>
      </c>
    </row>
    <row r="822">
      <c r="E822" s="10" t="str">
        <f>IFERROR(__xludf.DUMMYFUNCTION("""COMPUTED_VALUE"""),"#VALUE!")</f>
        <v>#VALUE!</v>
      </c>
      <c r="F822" s="10" t="str">
        <f>IFERROR(__xludf.DUMMYFUNCTION("""COMPUTED_VALUE"""),"")</f>
        <v/>
      </c>
      <c r="G822" s="10" t="str">
        <f>IFERROR(__xludf.DUMMYFUNCTION("""COMPUTED_VALUE"""),"#VALUE!")</f>
        <v>#VALUE!</v>
      </c>
      <c r="H822" s="10" t="str">
        <f>IFERROR(__xludf.DUMMYFUNCTION("""COMPUTED_VALUE"""),"")</f>
        <v/>
      </c>
    </row>
    <row r="823">
      <c r="E823" s="10" t="str">
        <f>IFERROR(__xludf.DUMMYFUNCTION("""COMPUTED_VALUE"""),"#VALUE!")</f>
        <v>#VALUE!</v>
      </c>
      <c r="F823" s="10" t="str">
        <f>IFERROR(__xludf.DUMMYFUNCTION("""COMPUTED_VALUE"""),"")</f>
        <v/>
      </c>
      <c r="G823" s="10" t="str">
        <f>IFERROR(__xludf.DUMMYFUNCTION("""COMPUTED_VALUE"""),"#VALUE!")</f>
        <v>#VALUE!</v>
      </c>
      <c r="H823" s="10" t="str">
        <f>IFERROR(__xludf.DUMMYFUNCTION("""COMPUTED_VALUE"""),"")</f>
        <v/>
      </c>
    </row>
    <row r="824">
      <c r="E824" s="10" t="str">
        <f>IFERROR(__xludf.DUMMYFUNCTION("""COMPUTED_VALUE"""),"#VALUE!")</f>
        <v>#VALUE!</v>
      </c>
      <c r="F824" s="10" t="str">
        <f>IFERROR(__xludf.DUMMYFUNCTION("""COMPUTED_VALUE"""),"")</f>
        <v/>
      </c>
      <c r="G824" s="10" t="str">
        <f>IFERROR(__xludf.DUMMYFUNCTION("""COMPUTED_VALUE"""),"#VALUE!")</f>
        <v>#VALUE!</v>
      </c>
      <c r="H824" s="10" t="str">
        <f>IFERROR(__xludf.DUMMYFUNCTION("""COMPUTED_VALUE"""),"")</f>
        <v/>
      </c>
    </row>
    <row r="825">
      <c r="E825" s="10" t="str">
        <f>IFERROR(__xludf.DUMMYFUNCTION("""COMPUTED_VALUE"""),"#VALUE!")</f>
        <v>#VALUE!</v>
      </c>
      <c r="F825" s="10" t="str">
        <f>IFERROR(__xludf.DUMMYFUNCTION("""COMPUTED_VALUE"""),"")</f>
        <v/>
      </c>
      <c r="G825" s="10" t="str">
        <f>IFERROR(__xludf.DUMMYFUNCTION("""COMPUTED_VALUE"""),"#VALUE!")</f>
        <v>#VALUE!</v>
      </c>
      <c r="H825" s="10" t="str">
        <f>IFERROR(__xludf.DUMMYFUNCTION("""COMPUTED_VALUE"""),"")</f>
        <v/>
      </c>
    </row>
    <row r="826">
      <c r="E826" s="10" t="str">
        <f>IFERROR(__xludf.DUMMYFUNCTION("""COMPUTED_VALUE"""),"#VALUE!")</f>
        <v>#VALUE!</v>
      </c>
      <c r="F826" s="10" t="str">
        <f>IFERROR(__xludf.DUMMYFUNCTION("""COMPUTED_VALUE"""),"")</f>
        <v/>
      </c>
      <c r="G826" s="10" t="str">
        <f>IFERROR(__xludf.DUMMYFUNCTION("""COMPUTED_VALUE"""),"#VALUE!")</f>
        <v>#VALUE!</v>
      </c>
      <c r="H826" s="10" t="str">
        <f>IFERROR(__xludf.DUMMYFUNCTION("""COMPUTED_VALUE"""),"")</f>
        <v/>
      </c>
    </row>
    <row r="827">
      <c r="E827" s="10" t="str">
        <f>IFERROR(__xludf.DUMMYFUNCTION("""COMPUTED_VALUE"""),"#VALUE!")</f>
        <v>#VALUE!</v>
      </c>
      <c r="F827" s="10" t="str">
        <f>IFERROR(__xludf.DUMMYFUNCTION("""COMPUTED_VALUE"""),"")</f>
        <v/>
      </c>
      <c r="G827" s="10" t="str">
        <f>IFERROR(__xludf.DUMMYFUNCTION("""COMPUTED_VALUE"""),"#VALUE!")</f>
        <v>#VALUE!</v>
      </c>
      <c r="H827" s="10" t="str">
        <f>IFERROR(__xludf.DUMMYFUNCTION("""COMPUTED_VALUE"""),"")</f>
        <v/>
      </c>
    </row>
    <row r="828">
      <c r="E828" s="10" t="str">
        <f>IFERROR(__xludf.DUMMYFUNCTION("""COMPUTED_VALUE"""),"#VALUE!")</f>
        <v>#VALUE!</v>
      </c>
      <c r="F828" s="10" t="str">
        <f>IFERROR(__xludf.DUMMYFUNCTION("""COMPUTED_VALUE"""),"")</f>
        <v/>
      </c>
      <c r="G828" s="10" t="str">
        <f>IFERROR(__xludf.DUMMYFUNCTION("""COMPUTED_VALUE"""),"#VALUE!")</f>
        <v>#VALUE!</v>
      </c>
      <c r="H828" s="10" t="str">
        <f>IFERROR(__xludf.DUMMYFUNCTION("""COMPUTED_VALUE"""),"")</f>
        <v/>
      </c>
    </row>
    <row r="829">
      <c r="E829" s="10" t="str">
        <f>IFERROR(__xludf.DUMMYFUNCTION("""COMPUTED_VALUE"""),"#VALUE!")</f>
        <v>#VALUE!</v>
      </c>
      <c r="F829" s="10" t="str">
        <f>IFERROR(__xludf.DUMMYFUNCTION("""COMPUTED_VALUE"""),"")</f>
        <v/>
      </c>
      <c r="G829" s="10" t="str">
        <f>IFERROR(__xludf.DUMMYFUNCTION("""COMPUTED_VALUE"""),"#VALUE!")</f>
        <v>#VALUE!</v>
      </c>
      <c r="H829" s="10" t="str">
        <f>IFERROR(__xludf.DUMMYFUNCTION("""COMPUTED_VALUE"""),"")</f>
        <v/>
      </c>
    </row>
    <row r="830">
      <c r="E830" s="10" t="str">
        <f>IFERROR(__xludf.DUMMYFUNCTION("""COMPUTED_VALUE"""),"#VALUE!")</f>
        <v>#VALUE!</v>
      </c>
      <c r="F830" s="10" t="str">
        <f>IFERROR(__xludf.DUMMYFUNCTION("""COMPUTED_VALUE"""),"")</f>
        <v/>
      </c>
      <c r="G830" s="10" t="str">
        <f>IFERROR(__xludf.DUMMYFUNCTION("""COMPUTED_VALUE"""),"#VALUE!")</f>
        <v>#VALUE!</v>
      </c>
      <c r="H830" s="10" t="str">
        <f>IFERROR(__xludf.DUMMYFUNCTION("""COMPUTED_VALUE"""),"")</f>
        <v/>
      </c>
    </row>
    <row r="831">
      <c r="E831" s="10" t="str">
        <f>IFERROR(__xludf.DUMMYFUNCTION("""COMPUTED_VALUE"""),"#VALUE!")</f>
        <v>#VALUE!</v>
      </c>
      <c r="F831" s="10" t="str">
        <f>IFERROR(__xludf.DUMMYFUNCTION("""COMPUTED_VALUE"""),"")</f>
        <v/>
      </c>
      <c r="G831" s="10" t="str">
        <f>IFERROR(__xludf.DUMMYFUNCTION("""COMPUTED_VALUE"""),"#VALUE!")</f>
        <v>#VALUE!</v>
      </c>
      <c r="H831" s="10" t="str">
        <f>IFERROR(__xludf.DUMMYFUNCTION("""COMPUTED_VALUE"""),"")</f>
        <v/>
      </c>
    </row>
    <row r="832">
      <c r="E832" s="10" t="str">
        <f>IFERROR(__xludf.DUMMYFUNCTION("""COMPUTED_VALUE"""),"#VALUE!")</f>
        <v>#VALUE!</v>
      </c>
      <c r="F832" s="10" t="str">
        <f>IFERROR(__xludf.DUMMYFUNCTION("""COMPUTED_VALUE"""),"")</f>
        <v/>
      </c>
      <c r="G832" s="10" t="str">
        <f>IFERROR(__xludf.DUMMYFUNCTION("""COMPUTED_VALUE"""),"#VALUE!")</f>
        <v>#VALUE!</v>
      </c>
      <c r="H832" s="10" t="str">
        <f>IFERROR(__xludf.DUMMYFUNCTION("""COMPUTED_VALUE"""),"")</f>
        <v/>
      </c>
    </row>
    <row r="833">
      <c r="E833" s="10" t="str">
        <f>IFERROR(__xludf.DUMMYFUNCTION("""COMPUTED_VALUE"""),"#VALUE!")</f>
        <v>#VALUE!</v>
      </c>
      <c r="F833" s="10" t="str">
        <f>IFERROR(__xludf.DUMMYFUNCTION("""COMPUTED_VALUE"""),"")</f>
        <v/>
      </c>
      <c r="G833" s="10" t="str">
        <f>IFERROR(__xludf.DUMMYFUNCTION("""COMPUTED_VALUE"""),"#VALUE!")</f>
        <v>#VALUE!</v>
      </c>
      <c r="H833" s="10" t="str">
        <f>IFERROR(__xludf.DUMMYFUNCTION("""COMPUTED_VALUE"""),"")</f>
        <v/>
      </c>
    </row>
    <row r="834">
      <c r="E834" s="10" t="str">
        <f>IFERROR(__xludf.DUMMYFUNCTION("""COMPUTED_VALUE"""),"#VALUE!")</f>
        <v>#VALUE!</v>
      </c>
      <c r="F834" s="10" t="str">
        <f>IFERROR(__xludf.DUMMYFUNCTION("""COMPUTED_VALUE"""),"")</f>
        <v/>
      </c>
      <c r="G834" s="10" t="str">
        <f>IFERROR(__xludf.DUMMYFUNCTION("""COMPUTED_VALUE"""),"#VALUE!")</f>
        <v>#VALUE!</v>
      </c>
      <c r="H834" s="10" t="str">
        <f>IFERROR(__xludf.DUMMYFUNCTION("""COMPUTED_VALUE"""),"")</f>
        <v/>
      </c>
    </row>
    <row r="835">
      <c r="E835" s="10" t="str">
        <f>IFERROR(__xludf.DUMMYFUNCTION("""COMPUTED_VALUE"""),"#VALUE!")</f>
        <v>#VALUE!</v>
      </c>
      <c r="F835" s="10" t="str">
        <f>IFERROR(__xludf.DUMMYFUNCTION("""COMPUTED_VALUE"""),"")</f>
        <v/>
      </c>
      <c r="G835" s="10" t="str">
        <f>IFERROR(__xludf.DUMMYFUNCTION("""COMPUTED_VALUE"""),"#VALUE!")</f>
        <v>#VALUE!</v>
      </c>
      <c r="H835" s="10" t="str">
        <f>IFERROR(__xludf.DUMMYFUNCTION("""COMPUTED_VALUE"""),"")</f>
        <v/>
      </c>
    </row>
    <row r="836">
      <c r="E836" s="10" t="str">
        <f>IFERROR(__xludf.DUMMYFUNCTION("""COMPUTED_VALUE"""),"#VALUE!")</f>
        <v>#VALUE!</v>
      </c>
      <c r="F836" s="10" t="str">
        <f>IFERROR(__xludf.DUMMYFUNCTION("""COMPUTED_VALUE"""),"")</f>
        <v/>
      </c>
      <c r="G836" s="10" t="str">
        <f>IFERROR(__xludf.DUMMYFUNCTION("""COMPUTED_VALUE"""),"#VALUE!")</f>
        <v>#VALUE!</v>
      </c>
      <c r="H836" s="10" t="str">
        <f>IFERROR(__xludf.DUMMYFUNCTION("""COMPUTED_VALUE"""),"")</f>
        <v/>
      </c>
    </row>
    <row r="837">
      <c r="E837" s="10" t="str">
        <f>IFERROR(__xludf.DUMMYFUNCTION("""COMPUTED_VALUE"""),"#VALUE!")</f>
        <v>#VALUE!</v>
      </c>
      <c r="F837" s="10" t="str">
        <f>IFERROR(__xludf.DUMMYFUNCTION("""COMPUTED_VALUE"""),"")</f>
        <v/>
      </c>
      <c r="G837" s="10" t="str">
        <f>IFERROR(__xludf.DUMMYFUNCTION("""COMPUTED_VALUE"""),"#VALUE!")</f>
        <v>#VALUE!</v>
      </c>
      <c r="H837" s="10" t="str">
        <f>IFERROR(__xludf.DUMMYFUNCTION("""COMPUTED_VALUE"""),"")</f>
        <v/>
      </c>
    </row>
    <row r="838">
      <c r="E838" s="10" t="str">
        <f>IFERROR(__xludf.DUMMYFUNCTION("""COMPUTED_VALUE"""),"#VALUE!")</f>
        <v>#VALUE!</v>
      </c>
      <c r="F838" s="10" t="str">
        <f>IFERROR(__xludf.DUMMYFUNCTION("""COMPUTED_VALUE"""),"")</f>
        <v/>
      </c>
      <c r="G838" s="10" t="str">
        <f>IFERROR(__xludf.DUMMYFUNCTION("""COMPUTED_VALUE"""),"#VALUE!")</f>
        <v>#VALUE!</v>
      </c>
      <c r="H838" s="10" t="str">
        <f>IFERROR(__xludf.DUMMYFUNCTION("""COMPUTED_VALUE"""),"")</f>
        <v/>
      </c>
    </row>
    <row r="839">
      <c r="E839" s="10" t="str">
        <f>IFERROR(__xludf.DUMMYFUNCTION("""COMPUTED_VALUE"""),"#VALUE!")</f>
        <v>#VALUE!</v>
      </c>
      <c r="F839" s="10" t="str">
        <f>IFERROR(__xludf.DUMMYFUNCTION("""COMPUTED_VALUE"""),"")</f>
        <v/>
      </c>
      <c r="G839" s="10" t="str">
        <f>IFERROR(__xludf.DUMMYFUNCTION("""COMPUTED_VALUE"""),"#VALUE!")</f>
        <v>#VALUE!</v>
      </c>
      <c r="H839" s="10" t="str">
        <f>IFERROR(__xludf.DUMMYFUNCTION("""COMPUTED_VALUE"""),"")</f>
        <v/>
      </c>
    </row>
    <row r="840">
      <c r="E840" s="10" t="str">
        <f>IFERROR(__xludf.DUMMYFUNCTION("""COMPUTED_VALUE"""),"#VALUE!")</f>
        <v>#VALUE!</v>
      </c>
      <c r="F840" s="10" t="str">
        <f>IFERROR(__xludf.DUMMYFUNCTION("""COMPUTED_VALUE"""),"")</f>
        <v/>
      </c>
      <c r="G840" s="10" t="str">
        <f>IFERROR(__xludf.DUMMYFUNCTION("""COMPUTED_VALUE"""),"#VALUE!")</f>
        <v>#VALUE!</v>
      </c>
      <c r="H840" s="10" t="str">
        <f>IFERROR(__xludf.DUMMYFUNCTION("""COMPUTED_VALUE"""),"")</f>
        <v/>
      </c>
    </row>
    <row r="841">
      <c r="E841" s="10" t="str">
        <f>IFERROR(__xludf.DUMMYFUNCTION("""COMPUTED_VALUE"""),"#VALUE!")</f>
        <v>#VALUE!</v>
      </c>
      <c r="F841" s="10" t="str">
        <f>IFERROR(__xludf.DUMMYFUNCTION("""COMPUTED_VALUE"""),"")</f>
        <v/>
      </c>
      <c r="G841" s="10" t="str">
        <f>IFERROR(__xludf.DUMMYFUNCTION("""COMPUTED_VALUE"""),"#VALUE!")</f>
        <v>#VALUE!</v>
      </c>
      <c r="H841" s="10" t="str">
        <f>IFERROR(__xludf.DUMMYFUNCTION("""COMPUTED_VALUE"""),"")</f>
        <v/>
      </c>
    </row>
    <row r="842">
      <c r="E842" s="10" t="str">
        <f>IFERROR(__xludf.DUMMYFUNCTION("""COMPUTED_VALUE"""),"#VALUE!")</f>
        <v>#VALUE!</v>
      </c>
      <c r="F842" s="10" t="str">
        <f>IFERROR(__xludf.DUMMYFUNCTION("""COMPUTED_VALUE"""),"")</f>
        <v/>
      </c>
      <c r="G842" s="10" t="str">
        <f>IFERROR(__xludf.DUMMYFUNCTION("""COMPUTED_VALUE"""),"#VALUE!")</f>
        <v>#VALUE!</v>
      </c>
      <c r="H842" s="10" t="str">
        <f>IFERROR(__xludf.DUMMYFUNCTION("""COMPUTED_VALUE"""),"")</f>
        <v/>
      </c>
    </row>
    <row r="843">
      <c r="E843" s="10" t="str">
        <f>IFERROR(__xludf.DUMMYFUNCTION("""COMPUTED_VALUE"""),"#VALUE!")</f>
        <v>#VALUE!</v>
      </c>
      <c r="F843" s="10" t="str">
        <f>IFERROR(__xludf.DUMMYFUNCTION("""COMPUTED_VALUE"""),"")</f>
        <v/>
      </c>
      <c r="G843" s="10" t="str">
        <f>IFERROR(__xludf.DUMMYFUNCTION("""COMPUTED_VALUE"""),"#VALUE!")</f>
        <v>#VALUE!</v>
      </c>
      <c r="H843" s="10" t="str">
        <f>IFERROR(__xludf.DUMMYFUNCTION("""COMPUTED_VALUE"""),"")</f>
        <v/>
      </c>
    </row>
    <row r="844">
      <c r="E844" s="10" t="str">
        <f>IFERROR(__xludf.DUMMYFUNCTION("""COMPUTED_VALUE"""),"#VALUE!")</f>
        <v>#VALUE!</v>
      </c>
      <c r="F844" s="10" t="str">
        <f>IFERROR(__xludf.DUMMYFUNCTION("""COMPUTED_VALUE"""),"")</f>
        <v/>
      </c>
      <c r="G844" s="10" t="str">
        <f>IFERROR(__xludf.DUMMYFUNCTION("""COMPUTED_VALUE"""),"#VALUE!")</f>
        <v>#VALUE!</v>
      </c>
      <c r="H844" s="10" t="str">
        <f>IFERROR(__xludf.DUMMYFUNCTION("""COMPUTED_VALUE"""),"")</f>
        <v/>
      </c>
    </row>
    <row r="845">
      <c r="E845" s="10" t="str">
        <f>IFERROR(__xludf.DUMMYFUNCTION("""COMPUTED_VALUE"""),"#VALUE!")</f>
        <v>#VALUE!</v>
      </c>
      <c r="F845" s="10" t="str">
        <f>IFERROR(__xludf.DUMMYFUNCTION("""COMPUTED_VALUE"""),"")</f>
        <v/>
      </c>
      <c r="G845" s="10" t="str">
        <f>IFERROR(__xludf.DUMMYFUNCTION("""COMPUTED_VALUE"""),"#VALUE!")</f>
        <v>#VALUE!</v>
      </c>
      <c r="H845" s="10" t="str">
        <f>IFERROR(__xludf.DUMMYFUNCTION("""COMPUTED_VALUE"""),"")</f>
        <v/>
      </c>
    </row>
    <row r="846">
      <c r="E846" s="10" t="str">
        <f>IFERROR(__xludf.DUMMYFUNCTION("""COMPUTED_VALUE"""),"#VALUE!")</f>
        <v>#VALUE!</v>
      </c>
      <c r="F846" s="10" t="str">
        <f>IFERROR(__xludf.DUMMYFUNCTION("""COMPUTED_VALUE"""),"")</f>
        <v/>
      </c>
      <c r="G846" s="10" t="str">
        <f>IFERROR(__xludf.DUMMYFUNCTION("""COMPUTED_VALUE"""),"#VALUE!")</f>
        <v>#VALUE!</v>
      </c>
      <c r="H846" s="10" t="str">
        <f>IFERROR(__xludf.DUMMYFUNCTION("""COMPUTED_VALUE"""),"")</f>
        <v/>
      </c>
    </row>
    <row r="847">
      <c r="E847" s="10" t="str">
        <f>IFERROR(__xludf.DUMMYFUNCTION("""COMPUTED_VALUE"""),"#VALUE!")</f>
        <v>#VALUE!</v>
      </c>
      <c r="F847" s="10" t="str">
        <f>IFERROR(__xludf.DUMMYFUNCTION("""COMPUTED_VALUE"""),"")</f>
        <v/>
      </c>
      <c r="G847" s="10" t="str">
        <f>IFERROR(__xludf.DUMMYFUNCTION("""COMPUTED_VALUE"""),"#VALUE!")</f>
        <v>#VALUE!</v>
      </c>
      <c r="H847" s="10" t="str">
        <f>IFERROR(__xludf.DUMMYFUNCTION("""COMPUTED_VALUE"""),"")</f>
        <v/>
      </c>
    </row>
    <row r="848">
      <c r="E848" s="10" t="str">
        <f>IFERROR(__xludf.DUMMYFUNCTION("""COMPUTED_VALUE"""),"#VALUE!")</f>
        <v>#VALUE!</v>
      </c>
      <c r="F848" s="10" t="str">
        <f>IFERROR(__xludf.DUMMYFUNCTION("""COMPUTED_VALUE"""),"")</f>
        <v/>
      </c>
      <c r="G848" s="10" t="str">
        <f>IFERROR(__xludf.DUMMYFUNCTION("""COMPUTED_VALUE"""),"#VALUE!")</f>
        <v>#VALUE!</v>
      </c>
      <c r="H848" s="10" t="str">
        <f>IFERROR(__xludf.DUMMYFUNCTION("""COMPUTED_VALUE"""),"")</f>
        <v/>
      </c>
    </row>
    <row r="849">
      <c r="E849" s="10" t="str">
        <f>IFERROR(__xludf.DUMMYFUNCTION("""COMPUTED_VALUE"""),"#VALUE!")</f>
        <v>#VALUE!</v>
      </c>
      <c r="F849" s="10" t="str">
        <f>IFERROR(__xludf.DUMMYFUNCTION("""COMPUTED_VALUE"""),"")</f>
        <v/>
      </c>
      <c r="G849" s="10" t="str">
        <f>IFERROR(__xludf.DUMMYFUNCTION("""COMPUTED_VALUE"""),"#VALUE!")</f>
        <v>#VALUE!</v>
      </c>
      <c r="H849" s="10" t="str">
        <f>IFERROR(__xludf.DUMMYFUNCTION("""COMPUTED_VALUE"""),"")</f>
        <v/>
      </c>
    </row>
    <row r="850">
      <c r="E850" s="10" t="str">
        <f>IFERROR(__xludf.DUMMYFUNCTION("""COMPUTED_VALUE"""),"#VALUE!")</f>
        <v>#VALUE!</v>
      </c>
      <c r="F850" s="10" t="str">
        <f>IFERROR(__xludf.DUMMYFUNCTION("""COMPUTED_VALUE"""),"")</f>
        <v/>
      </c>
      <c r="G850" s="10" t="str">
        <f>IFERROR(__xludf.DUMMYFUNCTION("""COMPUTED_VALUE"""),"#VALUE!")</f>
        <v>#VALUE!</v>
      </c>
      <c r="H850" s="10" t="str">
        <f>IFERROR(__xludf.DUMMYFUNCTION("""COMPUTED_VALUE"""),"")</f>
        <v/>
      </c>
    </row>
    <row r="851">
      <c r="E851" s="10" t="str">
        <f>IFERROR(__xludf.DUMMYFUNCTION("""COMPUTED_VALUE"""),"#VALUE!")</f>
        <v>#VALUE!</v>
      </c>
      <c r="F851" s="10" t="str">
        <f>IFERROR(__xludf.DUMMYFUNCTION("""COMPUTED_VALUE"""),"")</f>
        <v/>
      </c>
      <c r="G851" s="10" t="str">
        <f>IFERROR(__xludf.DUMMYFUNCTION("""COMPUTED_VALUE"""),"#VALUE!")</f>
        <v>#VALUE!</v>
      </c>
      <c r="H851" s="10" t="str">
        <f>IFERROR(__xludf.DUMMYFUNCTION("""COMPUTED_VALUE"""),"")</f>
        <v/>
      </c>
    </row>
    <row r="852">
      <c r="E852" s="10" t="str">
        <f>IFERROR(__xludf.DUMMYFUNCTION("""COMPUTED_VALUE"""),"#VALUE!")</f>
        <v>#VALUE!</v>
      </c>
      <c r="F852" s="10" t="str">
        <f>IFERROR(__xludf.DUMMYFUNCTION("""COMPUTED_VALUE"""),"")</f>
        <v/>
      </c>
      <c r="G852" s="10" t="str">
        <f>IFERROR(__xludf.DUMMYFUNCTION("""COMPUTED_VALUE"""),"#VALUE!")</f>
        <v>#VALUE!</v>
      </c>
      <c r="H852" s="10" t="str">
        <f>IFERROR(__xludf.DUMMYFUNCTION("""COMPUTED_VALUE"""),"")</f>
        <v/>
      </c>
    </row>
    <row r="853">
      <c r="E853" s="10" t="str">
        <f>IFERROR(__xludf.DUMMYFUNCTION("""COMPUTED_VALUE"""),"#VALUE!")</f>
        <v>#VALUE!</v>
      </c>
      <c r="F853" s="10" t="str">
        <f>IFERROR(__xludf.DUMMYFUNCTION("""COMPUTED_VALUE"""),"")</f>
        <v/>
      </c>
      <c r="G853" s="10" t="str">
        <f>IFERROR(__xludf.DUMMYFUNCTION("""COMPUTED_VALUE"""),"#VALUE!")</f>
        <v>#VALUE!</v>
      </c>
      <c r="H853" s="10" t="str">
        <f>IFERROR(__xludf.DUMMYFUNCTION("""COMPUTED_VALUE"""),"")</f>
        <v/>
      </c>
    </row>
    <row r="854">
      <c r="E854" s="10" t="str">
        <f>IFERROR(__xludf.DUMMYFUNCTION("""COMPUTED_VALUE"""),"#VALUE!")</f>
        <v>#VALUE!</v>
      </c>
      <c r="F854" s="10" t="str">
        <f>IFERROR(__xludf.DUMMYFUNCTION("""COMPUTED_VALUE"""),"")</f>
        <v/>
      </c>
      <c r="G854" s="10" t="str">
        <f>IFERROR(__xludf.DUMMYFUNCTION("""COMPUTED_VALUE"""),"#VALUE!")</f>
        <v>#VALUE!</v>
      </c>
      <c r="H854" s="10" t="str">
        <f>IFERROR(__xludf.DUMMYFUNCTION("""COMPUTED_VALUE"""),"")</f>
        <v/>
      </c>
    </row>
    <row r="855">
      <c r="E855" s="10" t="str">
        <f>IFERROR(__xludf.DUMMYFUNCTION("""COMPUTED_VALUE"""),"#VALUE!")</f>
        <v>#VALUE!</v>
      </c>
      <c r="F855" s="10" t="str">
        <f>IFERROR(__xludf.DUMMYFUNCTION("""COMPUTED_VALUE"""),"")</f>
        <v/>
      </c>
      <c r="G855" s="10" t="str">
        <f>IFERROR(__xludf.DUMMYFUNCTION("""COMPUTED_VALUE"""),"#VALUE!")</f>
        <v>#VALUE!</v>
      </c>
      <c r="H855" s="10" t="str">
        <f>IFERROR(__xludf.DUMMYFUNCTION("""COMPUTED_VALUE"""),"")</f>
        <v/>
      </c>
    </row>
    <row r="856">
      <c r="E856" s="10" t="str">
        <f>IFERROR(__xludf.DUMMYFUNCTION("""COMPUTED_VALUE"""),"#VALUE!")</f>
        <v>#VALUE!</v>
      </c>
      <c r="F856" s="10" t="str">
        <f>IFERROR(__xludf.DUMMYFUNCTION("""COMPUTED_VALUE"""),"")</f>
        <v/>
      </c>
      <c r="G856" s="10" t="str">
        <f>IFERROR(__xludf.DUMMYFUNCTION("""COMPUTED_VALUE"""),"#VALUE!")</f>
        <v>#VALUE!</v>
      </c>
      <c r="H856" s="10" t="str">
        <f>IFERROR(__xludf.DUMMYFUNCTION("""COMPUTED_VALUE"""),"")</f>
        <v/>
      </c>
    </row>
    <row r="857">
      <c r="E857" s="10" t="str">
        <f>IFERROR(__xludf.DUMMYFUNCTION("""COMPUTED_VALUE"""),"#VALUE!")</f>
        <v>#VALUE!</v>
      </c>
      <c r="F857" s="10" t="str">
        <f>IFERROR(__xludf.DUMMYFUNCTION("""COMPUTED_VALUE"""),"")</f>
        <v/>
      </c>
      <c r="G857" s="10" t="str">
        <f>IFERROR(__xludf.DUMMYFUNCTION("""COMPUTED_VALUE"""),"#VALUE!")</f>
        <v>#VALUE!</v>
      </c>
      <c r="H857" s="10" t="str">
        <f>IFERROR(__xludf.DUMMYFUNCTION("""COMPUTED_VALUE"""),"")</f>
        <v/>
      </c>
    </row>
    <row r="858">
      <c r="E858" s="10" t="str">
        <f>IFERROR(__xludf.DUMMYFUNCTION("""COMPUTED_VALUE"""),"#VALUE!")</f>
        <v>#VALUE!</v>
      </c>
      <c r="F858" s="10" t="str">
        <f>IFERROR(__xludf.DUMMYFUNCTION("""COMPUTED_VALUE"""),"")</f>
        <v/>
      </c>
      <c r="G858" s="10" t="str">
        <f>IFERROR(__xludf.DUMMYFUNCTION("""COMPUTED_VALUE"""),"#VALUE!")</f>
        <v>#VALUE!</v>
      </c>
      <c r="H858" s="10" t="str">
        <f>IFERROR(__xludf.DUMMYFUNCTION("""COMPUTED_VALUE"""),"")</f>
        <v/>
      </c>
    </row>
    <row r="859">
      <c r="E859" s="10" t="str">
        <f>IFERROR(__xludf.DUMMYFUNCTION("""COMPUTED_VALUE"""),"#VALUE!")</f>
        <v>#VALUE!</v>
      </c>
      <c r="F859" s="10" t="str">
        <f>IFERROR(__xludf.DUMMYFUNCTION("""COMPUTED_VALUE"""),"")</f>
        <v/>
      </c>
      <c r="G859" s="10" t="str">
        <f>IFERROR(__xludf.DUMMYFUNCTION("""COMPUTED_VALUE"""),"#VALUE!")</f>
        <v>#VALUE!</v>
      </c>
      <c r="H859" s="10" t="str">
        <f>IFERROR(__xludf.DUMMYFUNCTION("""COMPUTED_VALUE"""),"")</f>
        <v/>
      </c>
    </row>
    <row r="860">
      <c r="E860" s="10" t="str">
        <f>IFERROR(__xludf.DUMMYFUNCTION("""COMPUTED_VALUE"""),"#VALUE!")</f>
        <v>#VALUE!</v>
      </c>
      <c r="F860" s="10" t="str">
        <f>IFERROR(__xludf.DUMMYFUNCTION("""COMPUTED_VALUE"""),"")</f>
        <v/>
      </c>
      <c r="G860" s="10" t="str">
        <f>IFERROR(__xludf.DUMMYFUNCTION("""COMPUTED_VALUE"""),"#VALUE!")</f>
        <v>#VALUE!</v>
      </c>
      <c r="H860" s="10" t="str">
        <f>IFERROR(__xludf.DUMMYFUNCTION("""COMPUTED_VALUE"""),"")</f>
        <v/>
      </c>
    </row>
    <row r="861">
      <c r="E861" s="10" t="str">
        <f>IFERROR(__xludf.DUMMYFUNCTION("""COMPUTED_VALUE"""),"#VALUE!")</f>
        <v>#VALUE!</v>
      </c>
      <c r="F861" s="10" t="str">
        <f>IFERROR(__xludf.DUMMYFUNCTION("""COMPUTED_VALUE"""),"")</f>
        <v/>
      </c>
      <c r="G861" s="10" t="str">
        <f>IFERROR(__xludf.DUMMYFUNCTION("""COMPUTED_VALUE"""),"#VALUE!")</f>
        <v>#VALUE!</v>
      </c>
      <c r="H861" s="10" t="str">
        <f>IFERROR(__xludf.DUMMYFUNCTION("""COMPUTED_VALUE"""),"")</f>
        <v/>
      </c>
    </row>
    <row r="862">
      <c r="E862" s="10" t="str">
        <f>IFERROR(__xludf.DUMMYFUNCTION("""COMPUTED_VALUE"""),"#VALUE!")</f>
        <v>#VALUE!</v>
      </c>
      <c r="F862" s="10" t="str">
        <f>IFERROR(__xludf.DUMMYFUNCTION("""COMPUTED_VALUE"""),"")</f>
        <v/>
      </c>
      <c r="G862" s="10" t="str">
        <f>IFERROR(__xludf.DUMMYFUNCTION("""COMPUTED_VALUE"""),"#VALUE!")</f>
        <v>#VALUE!</v>
      </c>
      <c r="H862" s="10" t="str">
        <f>IFERROR(__xludf.DUMMYFUNCTION("""COMPUTED_VALUE"""),"")</f>
        <v/>
      </c>
    </row>
    <row r="863">
      <c r="E863" s="10" t="str">
        <f>IFERROR(__xludf.DUMMYFUNCTION("""COMPUTED_VALUE"""),"#VALUE!")</f>
        <v>#VALUE!</v>
      </c>
      <c r="F863" s="10" t="str">
        <f>IFERROR(__xludf.DUMMYFUNCTION("""COMPUTED_VALUE"""),"")</f>
        <v/>
      </c>
      <c r="G863" s="10" t="str">
        <f>IFERROR(__xludf.DUMMYFUNCTION("""COMPUTED_VALUE"""),"#VALUE!")</f>
        <v>#VALUE!</v>
      </c>
      <c r="H863" s="10" t="str">
        <f>IFERROR(__xludf.DUMMYFUNCTION("""COMPUTED_VALUE"""),"")</f>
        <v/>
      </c>
    </row>
    <row r="864">
      <c r="E864" s="10" t="str">
        <f>IFERROR(__xludf.DUMMYFUNCTION("""COMPUTED_VALUE"""),"#VALUE!")</f>
        <v>#VALUE!</v>
      </c>
      <c r="F864" s="10" t="str">
        <f>IFERROR(__xludf.DUMMYFUNCTION("""COMPUTED_VALUE"""),"")</f>
        <v/>
      </c>
      <c r="G864" s="10" t="str">
        <f>IFERROR(__xludf.DUMMYFUNCTION("""COMPUTED_VALUE"""),"#VALUE!")</f>
        <v>#VALUE!</v>
      </c>
      <c r="H864" s="10" t="str">
        <f>IFERROR(__xludf.DUMMYFUNCTION("""COMPUTED_VALUE"""),"")</f>
        <v/>
      </c>
    </row>
    <row r="865">
      <c r="E865" s="10" t="str">
        <f>IFERROR(__xludf.DUMMYFUNCTION("""COMPUTED_VALUE"""),"#VALUE!")</f>
        <v>#VALUE!</v>
      </c>
      <c r="F865" s="10" t="str">
        <f>IFERROR(__xludf.DUMMYFUNCTION("""COMPUTED_VALUE"""),"")</f>
        <v/>
      </c>
      <c r="G865" s="10" t="str">
        <f>IFERROR(__xludf.DUMMYFUNCTION("""COMPUTED_VALUE"""),"#VALUE!")</f>
        <v>#VALUE!</v>
      </c>
      <c r="H865" s="10" t="str">
        <f>IFERROR(__xludf.DUMMYFUNCTION("""COMPUTED_VALUE"""),"")</f>
        <v/>
      </c>
    </row>
    <row r="866">
      <c r="E866" s="10" t="str">
        <f>IFERROR(__xludf.DUMMYFUNCTION("""COMPUTED_VALUE"""),"#VALUE!")</f>
        <v>#VALUE!</v>
      </c>
      <c r="F866" s="10" t="str">
        <f>IFERROR(__xludf.DUMMYFUNCTION("""COMPUTED_VALUE"""),"")</f>
        <v/>
      </c>
      <c r="G866" s="10" t="str">
        <f>IFERROR(__xludf.DUMMYFUNCTION("""COMPUTED_VALUE"""),"#VALUE!")</f>
        <v>#VALUE!</v>
      </c>
      <c r="H866" s="10" t="str">
        <f>IFERROR(__xludf.DUMMYFUNCTION("""COMPUTED_VALUE"""),"")</f>
        <v/>
      </c>
    </row>
    <row r="867">
      <c r="E867" s="10" t="str">
        <f>IFERROR(__xludf.DUMMYFUNCTION("""COMPUTED_VALUE"""),"#VALUE!")</f>
        <v>#VALUE!</v>
      </c>
      <c r="F867" s="10" t="str">
        <f>IFERROR(__xludf.DUMMYFUNCTION("""COMPUTED_VALUE"""),"")</f>
        <v/>
      </c>
      <c r="G867" s="10" t="str">
        <f>IFERROR(__xludf.DUMMYFUNCTION("""COMPUTED_VALUE"""),"#VALUE!")</f>
        <v>#VALUE!</v>
      </c>
      <c r="H867" s="10" t="str">
        <f>IFERROR(__xludf.DUMMYFUNCTION("""COMPUTED_VALUE"""),"")</f>
        <v/>
      </c>
    </row>
    <row r="868">
      <c r="E868" s="10" t="str">
        <f>IFERROR(__xludf.DUMMYFUNCTION("""COMPUTED_VALUE"""),"#VALUE!")</f>
        <v>#VALUE!</v>
      </c>
      <c r="F868" s="10" t="str">
        <f>IFERROR(__xludf.DUMMYFUNCTION("""COMPUTED_VALUE"""),"")</f>
        <v/>
      </c>
      <c r="G868" s="10" t="str">
        <f>IFERROR(__xludf.DUMMYFUNCTION("""COMPUTED_VALUE"""),"#VALUE!")</f>
        <v>#VALUE!</v>
      </c>
      <c r="H868" s="10" t="str">
        <f>IFERROR(__xludf.DUMMYFUNCTION("""COMPUTED_VALUE"""),"")</f>
        <v/>
      </c>
    </row>
    <row r="869">
      <c r="E869" s="10" t="str">
        <f>IFERROR(__xludf.DUMMYFUNCTION("""COMPUTED_VALUE"""),"#VALUE!")</f>
        <v>#VALUE!</v>
      </c>
      <c r="F869" s="10" t="str">
        <f>IFERROR(__xludf.DUMMYFUNCTION("""COMPUTED_VALUE"""),"")</f>
        <v/>
      </c>
      <c r="G869" s="10" t="str">
        <f>IFERROR(__xludf.DUMMYFUNCTION("""COMPUTED_VALUE"""),"#VALUE!")</f>
        <v>#VALUE!</v>
      </c>
      <c r="H869" s="10" t="str">
        <f>IFERROR(__xludf.DUMMYFUNCTION("""COMPUTED_VALUE"""),"")</f>
        <v/>
      </c>
    </row>
    <row r="870">
      <c r="E870" s="10" t="str">
        <f>IFERROR(__xludf.DUMMYFUNCTION("""COMPUTED_VALUE"""),"#VALUE!")</f>
        <v>#VALUE!</v>
      </c>
      <c r="F870" s="10" t="str">
        <f>IFERROR(__xludf.DUMMYFUNCTION("""COMPUTED_VALUE"""),"")</f>
        <v/>
      </c>
      <c r="G870" s="10" t="str">
        <f>IFERROR(__xludf.DUMMYFUNCTION("""COMPUTED_VALUE"""),"#VALUE!")</f>
        <v>#VALUE!</v>
      </c>
      <c r="H870" s="10" t="str">
        <f>IFERROR(__xludf.DUMMYFUNCTION("""COMPUTED_VALUE"""),"")</f>
        <v/>
      </c>
    </row>
    <row r="871">
      <c r="E871" s="10" t="str">
        <f>IFERROR(__xludf.DUMMYFUNCTION("""COMPUTED_VALUE"""),"#VALUE!")</f>
        <v>#VALUE!</v>
      </c>
      <c r="F871" s="10" t="str">
        <f>IFERROR(__xludf.DUMMYFUNCTION("""COMPUTED_VALUE"""),"")</f>
        <v/>
      </c>
      <c r="G871" s="10" t="str">
        <f>IFERROR(__xludf.DUMMYFUNCTION("""COMPUTED_VALUE"""),"#VALUE!")</f>
        <v>#VALUE!</v>
      </c>
      <c r="H871" s="10" t="str">
        <f>IFERROR(__xludf.DUMMYFUNCTION("""COMPUTED_VALUE"""),"")</f>
        <v/>
      </c>
    </row>
    <row r="872">
      <c r="E872" s="10" t="str">
        <f>IFERROR(__xludf.DUMMYFUNCTION("""COMPUTED_VALUE"""),"#VALUE!")</f>
        <v>#VALUE!</v>
      </c>
      <c r="F872" s="10" t="str">
        <f>IFERROR(__xludf.DUMMYFUNCTION("""COMPUTED_VALUE"""),"")</f>
        <v/>
      </c>
      <c r="G872" s="10" t="str">
        <f>IFERROR(__xludf.DUMMYFUNCTION("""COMPUTED_VALUE"""),"#VALUE!")</f>
        <v>#VALUE!</v>
      </c>
      <c r="H872" s="10" t="str">
        <f>IFERROR(__xludf.DUMMYFUNCTION("""COMPUTED_VALUE"""),"")</f>
        <v/>
      </c>
    </row>
    <row r="873">
      <c r="E873" s="10" t="str">
        <f>IFERROR(__xludf.DUMMYFUNCTION("""COMPUTED_VALUE"""),"#VALUE!")</f>
        <v>#VALUE!</v>
      </c>
      <c r="F873" s="10" t="str">
        <f>IFERROR(__xludf.DUMMYFUNCTION("""COMPUTED_VALUE"""),"")</f>
        <v/>
      </c>
      <c r="G873" s="10" t="str">
        <f>IFERROR(__xludf.DUMMYFUNCTION("""COMPUTED_VALUE"""),"#VALUE!")</f>
        <v>#VALUE!</v>
      </c>
      <c r="H873" s="10" t="str">
        <f>IFERROR(__xludf.DUMMYFUNCTION("""COMPUTED_VALUE"""),"")</f>
        <v/>
      </c>
    </row>
    <row r="874">
      <c r="E874" s="10" t="str">
        <f>IFERROR(__xludf.DUMMYFUNCTION("""COMPUTED_VALUE"""),"#VALUE!")</f>
        <v>#VALUE!</v>
      </c>
      <c r="F874" s="10" t="str">
        <f>IFERROR(__xludf.DUMMYFUNCTION("""COMPUTED_VALUE"""),"")</f>
        <v/>
      </c>
      <c r="G874" s="10" t="str">
        <f>IFERROR(__xludf.DUMMYFUNCTION("""COMPUTED_VALUE"""),"#VALUE!")</f>
        <v>#VALUE!</v>
      </c>
      <c r="H874" s="10" t="str">
        <f>IFERROR(__xludf.DUMMYFUNCTION("""COMPUTED_VALUE"""),"")</f>
        <v/>
      </c>
    </row>
    <row r="875">
      <c r="E875" s="10" t="str">
        <f>IFERROR(__xludf.DUMMYFUNCTION("""COMPUTED_VALUE"""),"#VALUE!")</f>
        <v>#VALUE!</v>
      </c>
      <c r="F875" s="10" t="str">
        <f>IFERROR(__xludf.DUMMYFUNCTION("""COMPUTED_VALUE"""),"")</f>
        <v/>
      </c>
      <c r="G875" s="10" t="str">
        <f>IFERROR(__xludf.DUMMYFUNCTION("""COMPUTED_VALUE"""),"#VALUE!")</f>
        <v>#VALUE!</v>
      </c>
      <c r="H875" s="10" t="str">
        <f>IFERROR(__xludf.DUMMYFUNCTION("""COMPUTED_VALUE"""),"")</f>
        <v/>
      </c>
    </row>
    <row r="876">
      <c r="E876" s="10" t="str">
        <f>IFERROR(__xludf.DUMMYFUNCTION("""COMPUTED_VALUE"""),"#VALUE!")</f>
        <v>#VALUE!</v>
      </c>
      <c r="F876" s="10" t="str">
        <f>IFERROR(__xludf.DUMMYFUNCTION("""COMPUTED_VALUE"""),"")</f>
        <v/>
      </c>
      <c r="G876" s="10" t="str">
        <f>IFERROR(__xludf.DUMMYFUNCTION("""COMPUTED_VALUE"""),"#VALUE!")</f>
        <v>#VALUE!</v>
      </c>
      <c r="H876" s="10" t="str">
        <f>IFERROR(__xludf.DUMMYFUNCTION("""COMPUTED_VALUE"""),"")</f>
        <v/>
      </c>
    </row>
    <row r="877">
      <c r="E877" s="10" t="str">
        <f>IFERROR(__xludf.DUMMYFUNCTION("""COMPUTED_VALUE"""),"#VALUE!")</f>
        <v>#VALUE!</v>
      </c>
      <c r="F877" s="10" t="str">
        <f>IFERROR(__xludf.DUMMYFUNCTION("""COMPUTED_VALUE"""),"")</f>
        <v/>
      </c>
      <c r="G877" s="10" t="str">
        <f>IFERROR(__xludf.DUMMYFUNCTION("""COMPUTED_VALUE"""),"#VALUE!")</f>
        <v>#VALUE!</v>
      </c>
      <c r="H877" s="10" t="str">
        <f>IFERROR(__xludf.DUMMYFUNCTION("""COMPUTED_VALUE"""),"")</f>
        <v/>
      </c>
    </row>
    <row r="878">
      <c r="E878" s="10" t="str">
        <f>IFERROR(__xludf.DUMMYFUNCTION("""COMPUTED_VALUE"""),"#VALUE!")</f>
        <v>#VALUE!</v>
      </c>
      <c r="F878" s="10" t="str">
        <f>IFERROR(__xludf.DUMMYFUNCTION("""COMPUTED_VALUE"""),"")</f>
        <v/>
      </c>
      <c r="G878" s="10" t="str">
        <f>IFERROR(__xludf.DUMMYFUNCTION("""COMPUTED_VALUE"""),"#VALUE!")</f>
        <v>#VALUE!</v>
      </c>
      <c r="H878" s="10" t="str">
        <f>IFERROR(__xludf.DUMMYFUNCTION("""COMPUTED_VALUE"""),"")</f>
        <v/>
      </c>
    </row>
    <row r="879">
      <c r="E879" s="10" t="str">
        <f>IFERROR(__xludf.DUMMYFUNCTION("""COMPUTED_VALUE"""),"#VALUE!")</f>
        <v>#VALUE!</v>
      </c>
      <c r="F879" s="10" t="str">
        <f>IFERROR(__xludf.DUMMYFUNCTION("""COMPUTED_VALUE"""),"")</f>
        <v/>
      </c>
      <c r="G879" s="10" t="str">
        <f>IFERROR(__xludf.DUMMYFUNCTION("""COMPUTED_VALUE"""),"#VALUE!")</f>
        <v>#VALUE!</v>
      </c>
      <c r="H879" s="10" t="str">
        <f>IFERROR(__xludf.DUMMYFUNCTION("""COMPUTED_VALUE"""),"")</f>
        <v/>
      </c>
    </row>
    <row r="880">
      <c r="E880" s="10" t="str">
        <f>IFERROR(__xludf.DUMMYFUNCTION("""COMPUTED_VALUE"""),"#VALUE!")</f>
        <v>#VALUE!</v>
      </c>
      <c r="F880" s="10" t="str">
        <f>IFERROR(__xludf.DUMMYFUNCTION("""COMPUTED_VALUE"""),"")</f>
        <v/>
      </c>
      <c r="G880" s="10" t="str">
        <f>IFERROR(__xludf.DUMMYFUNCTION("""COMPUTED_VALUE"""),"#VALUE!")</f>
        <v>#VALUE!</v>
      </c>
      <c r="H880" s="10" t="str">
        <f>IFERROR(__xludf.DUMMYFUNCTION("""COMPUTED_VALUE"""),"")</f>
        <v/>
      </c>
    </row>
    <row r="881">
      <c r="E881" s="10" t="str">
        <f>IFERROR(__xludf.DUMMYFUNCTION("""COMPUTED_VALUE"""),"#VALUE!")</f>
        <v>#VALUE!</v>
      </c>
      <c r="F881" s="10" t="str">
        <f>IFERROR(__xludf.DUMMYFUNCTION("""COMPUTED_VALUE"""),"")</f>
        <v/>
      </c>
      <c r="G881" s="10" t="str">
        <f>IFERROR(__xludf.DUMMYFUNCTION("""COMPUTED_VALUE"""),"#VALUE!")</f>
        <v>#VALUE!</v>
      </c>
      <c r="H881" s="10" t="str">
        <f>IFERROR(__xludf.DUMMYFUNCTION("""COMPUTED_VALUE"""),"")</f>
        <v/>
      </c>
    </row>
    <row r="882">
      <c r="E882" s="10" t="str">
        <f>IFERROR(__xludf.DUMMYFUNCTION("""COMPUTED_VALUE"""),"#VALUE!")</f>
        <v>#VALUE!</v>
      </c>
      <c r="F882" s="10" t="str">
        <f>IFERROR(__xludf.DUMMYFUNCTION("""COMPUTED_VALUE"""),"")</f>
        <v/>
      </c>
      <c r="G882" s="10" t="str">
        <f>IFERROR(__xludf.DUMMYFUNCTION("""COMPUTED_VALUE"""),"#VALUE!")</f>
        <v>#VALUE!</v>
      </c>
      <c r="H882" s="10" t="str">
        <f>IFERROR(__xludf.DUMMYFUNCTION("""COMPUTED_VALUE"""),"")</f>
        <v/>
      </c>
    </row>
    <row r="883">
      <c r="E883" s="10" t="str">
        <f>IFERROR(__xludf.DUMMYFUNCTION("""COMPUTED_VALUE"""),"#VALUE!")</f>
        <v>#VALUE!</v>
      </c>
      <c r="F883" s="10" t="str">
        <f>IFERROR(__xludf.DUMMYFUNCTION("""COMPUTED_VALUE"""),"")</f>
        <v/>
      </c>
      <c r="G883" s="10" t="str">
        <f>IFERROR(__xludf.DUMMYFUNCTION("""COMPUTED_VALUE"""),"#VALUE!")</f>
        <v>#VALUE!</v>
      </c>
      <c r="H883" s="10" t="str">
        <f>IFERROR(__xludf.DUMMYFUNCTION("""COMPUTED_VALUE"""),"")</f>
        <v/>
      </c>
    </row>
    <row r="884">
      <c r="E884" s="10" t="str">
        <f>IFERROR(__xludf.DUMMYFUNCTION("""COMPUTED_VALUE"""),"#VALUE!")</f>
        <v>#VALUE!</v>
      </c>
      <c r="F884" s="10" t="str">
        <f>IFERROR(__xludf.DUMMYFUNCTION("""COMPUTED_VALUE"""),"")</f>
        <v/>
      </c>
      <c r="G884" s="10" t="str">
        <f>IFERROR(__xludf.DUMMYFUNCTION("""COMPUTED_VALUE"""),"#VALUE!")</f>
        <v>#VALUE!</v>
      </c>
      <c r="H884" s="10" t="str">
        <f>IFERROR(__xludf.DUMMYFUNCTION("""COMPUTED_VALUE"""),"")</f>
        <v/>
      </c>
    </row>
    <row r="885">
      <c r="E885" s="10" t="str">
        <f>IFERROR(__xludf.DUMMYFUNCTION("""COMPUTED_VALUE"""),"#VALUE!")</f>
        <v>#VALUE!</v>
      </c>
      <c r="F885" s="10" t="str">
        <f>IFERROR(__xludf.DUMMYFUNCTION("""COMPUTED_VALUE"""),"")</f>
        <v/>
      </c>
      <c r="G885" s="10" t="str">
        <f>IFERROR(__xludf.DUMMYFUNCTION("""COMPUTED_VALUE"""),"#VALUE!")</f>
        <v>#VALUE!</v>
      </c>
      <c r="H885" s="10" t="str">
        <f>IFERROR(__xludf.DUMMYFUNCTION("""COMPUTED_VALUE"""),"")</f>
        <v/>
      </c>
    </row>
    <row r="886">
      <c r="E886" s="10" t="str">
        <f>IFERROR(__xludf.DUMMYFUNCTION("""COMPUTED_VALUE"""),"#VALUE!")</f>
        <v>#VALUE!</v>
      </c>
      <c r="F886" s="10" t="str">
        <f>IFERROR(__xludf.DUMMYFUNCTION("""COMPUTED_VALUE"""),"")</f>
        <v/>
      </c>
      <c r="G886" s="10" t="str">
        <f>IFERROR(__xludf.DUMMYFUNCTION("""COMPUTED_VALUE"""),"#VALUE!")</f>
        <v>#VALUE!</v>
      </c>
      <c r="H886" s="10" t="str">
        <f>IFERROR(__xludf.DUMMYFUNCTION("""COMPUTED_VALUE"""),"")</f>
        <v/>
      </c>
    </row>
    <row r="887">
      <c r="E887" s="10" t="str">
        <f>IFERROR(__xludf.DUMMYFUNCTION("""COMPUTED_VALUE"""),"#VALUE!")</f>
        <v>#VALUE!</v>
      </c>
      <c r="F887" s="10" t="str">
        <f>IFERROR(__xludf.DUMMYFUNCTION("""COMPUTED_VALUE"""),"")</f>
        <v/>
      </c>
      <c r="G887" s="10" t="str">
        <f>IFERROR(__xludf.DUMMYFUNCTION("""COMPUTED_VALUE"""),"#VALUE!")</f>
        <v>#VALUE!</v>
      </c>
      <c r="H887" s="10" t="str">
        <f>IFERROR(__xludf.DUMMYFUNCTION("""COMPUTED_VALUE"""),"")</f>
        <v/>
      </c>
    </row>
    <row r="888">
      <c r="E888" s="10" t="str">
        <f>IFERROR(__xludf.DUMMYFUNCTION("""COMPUTED_VALUE"""),"#VALUE!")</f>
        <v>#VALUE!</v>
      </c>
      <c r="F888" s="10" t="str">
        <f>IFERROR(__xludf.DUMMYFUNCTION("""COMPUTED_VALUE"""),"")</f>
        <v/>
      </c>
      <c r="G888" s="10" t="str">
        <f>IFERROR(__xludf.DUMMYFUNCTION("""COMPUTED_VALUE"""),"#VALUE!")</f>
        <v>#VALUE!</v>
      </c>
      <c r="H888" s="10" t="str">
        <f>IFERROR(__xludf.DUMMYFUNCTION("""COMPUTED_VALUE"""),"")</f>
        <v/>
      </c>
    </row>
    <row r="889">
      <c r="E889" s="10" t="str">
        <f>IFERROR(__xludf.DUMMYFUNCTION("""COMPUTED_VALUE"""),"#VALUE!")</f>
        <v>#VALUE!</v>
      </c>
      <c r="F889" s="10" t="str">
        <f>IFERROR(__xludf.DUMMYFUNCTION("""COMPUTED_VALUE"""),"")</f>
        <v/>
      </c>
      <c r="G889" s="10" t="str">
        <f>IFERROR(__xludf.DUMMYFUNCTION("""COMPUTED_VALUE"""),"#VALUE!")</f>
        <v>#VALUE!</v>
      </c>
      <c r="H889" s="10" t="str">
        <f>IFERROR(__xludf.DUMMYFUNCTION("""COMPUTED_VALUE"""),"")</f>
        <v/>
      </c>
    </row>
    <row r="890">
      <c r="E890" s="10" t="str">
        <f>IFERROR(__xludf.DUMMYFUNCTION("""COMPUTED_VALUE"""),"#VALUE!")</f>
        <v>#VALUE!</v>
      </c>
      <c r="F890" s="10" t="str">
        <f>IFERROR(__xludf.DUMMYFUNCTION("""COMPUTED_VALUE"""),"")</f>
        <v/>
      </c>
      <c r="G890" s="10" t="str">
        <f>IFERROR(__xludf.DUMMYFUNCTION("""COMPUTED_VALUE"""),"#VALUE!")</f>
        <v>#VALUE!</v>
      </c>
      <c r="H890" s="10" t="str">
        <f>IFERROR(__xludf.DUMMYFUNCTION("""COMPUTED_VALUE"""),"")</f>
        <v/>
      </c>
    </row>
    <row r="891">
      <c r="E891" s="10" t="str">
        <f>IFERROR(__xludf.DUMMYFUNCTION("""COMPUTED_VALUE"""),"#VALUE!")</f>
        <v>#VALUE!</v>
      </c>
      <c r="F891" s="10" t="str">
        <f>IFERROR(__xludf.DUMMYFUNCTION("""COMPUTED_VALUE"""),"")</f>
        <v/>
      </c>
      <c r="G891" s="10" t="str">
        <f>IFERROR(__xludf.DUMMYFUNCTION("""COMPUTED_VALUE"""),"#VALUE!")</f>
        <v>#VALUE!</v>
      </c>
      <c r="H891" s="10" t="str">
        <f>IFERROR(__xludf.DUMMYFUNCTION("""COMPUTED_VALUE"""),"")</f>
        <v/>
      </c>
    </row>
    <row r="892">
      <c r="E892" s="10" t="str">
        <f>IFERROR(__xludf.DUMMYFUNCTION("""COMPUTED_VALUE"""),"#VALUE!")</f>
        <v>#VALUE!</v>
      </c>
      <c r="F892" s="10" t="str">
        <f>IFERROR(__xludf.DUMMYFUNCTION("""COMPUTED_VALUE"""),"")</f>
        <v/>
      </c>
      <c r="G892" s="10" t="str">
        <f>IFERROR(__xludf.DUMMYFUNCTION("""COMPUTED_VALUE"""),"#VALUE!")</f>
        <v>#VALUE!</v>
      </c>
      <c r="H892" s="10" t="str">
        <f>IFERROR(__xludf.DUMMYFUNCTION("""COMPUTED_VALUE"""),"")</f>
        <v/>
      </c>
    </row>
    <row r="893">
      <c r="E893" s="10" t="str">
        <f>IFERROR(__xludf.DUMMYFUNCTION("""COMPUTED_VALUE"""),"#VALUE!")</f>
        <v>#VALUE!</v>
      </c>
      <c r="F893" s="10" t="str">
        <f>IFERROR(__xludf.DUMMYFUNCTION("""COMPUTED_VALUE"""),"")</f>
        <v/>
      </c>
      <c r="G893" s="10" t="str">
        <f>IFERROR(__xludf.DUMMYFUNCTION("""COMPUTED_VALUE"""),"#VALUE!")</f>
        <v>#VALUE!</v>
      </c>
      <c r="H893" s="10" t="str">
        <f>IFERROR(__xludf.DUMMYFUNCTION("""COMPUTED_VALUE"""),"")</f>
        <v/>
      </c>
    </row>
    <row r="894">
      <c r="E894" s="10" t="str">
        <f>IFERROR(__xludf.DUMMYFUNCTION("""COMPUTED_VALUE"""),"#VALUE!")</f>
        <v>#VALUE!</v>
      </c>
      <c r="F894" s="10" t="str">
        <f>IFERROR(__xludf.DUMMYFUNCTION("""COMPUTED_VALUE"""),"")</f>
        <v/>
      </c>
      <c r="G894" s="10" t="str">
        <f>IFERROR(__xludf.DUMMYFUNCTION("""COMPUTED_VALUE"""),"#VALUE!")</f>
        <v>#VALUE!</v>
      </c>
      <c r="H894" s="10" t="str">
        <f>IFERROR(__xludf.DUMMYFUNCTION("""COMPUTED_VALUE"""),"")</f>
        <v/>
      </c>
    </row>
    <row r="895">
      <c r="E895" s="10" t="str">
        <f>IFERROR(__xludf.DUMMYFUNCTION("""COMPUTED_VALUE"""),"#VALUE!")</f>
        <v>#VALUE!</v>
      </c>
      <c r="F895" s="10" t="str">
        <f>IFERROR(__xludf.DUMMYFUNCTION("""COMPUTED_VALUE"""),"")</f>
        <v/>
      </c>
      <c r="G895" s="10" t="str">
        <f>IFERROR(__xludf.DUMMYFUNCTION("""COMPUTED_VALUE"""),"#VALUE!")</f>
        <v>#VALUE!</v>
      </c>
      <c r="H895" s="10" t="str">
        <f>IFERROR(__xludf.DUMMYFUNCTION("""COMPUTED_VALUE"""),"")</f>
        <v/>
      </c>
    </row>
    <row r="896">
      <c r="E896" s="10" t="str">
        <f>IFERROR(__xludf.DUMMYFUNCTION("""COMPUTED_VALUE"""),"#VALUE!")</f>
        <v>#VALUE!</v>
      </c>
      <c r="F896" s="10" t="str">
        <f>IFERROR(__xludf.DUMMYFUNCTION("""COMPUTED_VALUE"""),"")</f>
        <v/>
      </c>
      <c r="G896" s="10" t="str">
        <f>IFERROR(__xludf.DUMMYFUNCTION("""COMPUTED_VALUE"""),"#VALUE!")</f>
        <v>#VALUE!</v>
      </c>
      <c r="H896" s="10" t="str">
        <f>IFERROR(__xludf.DUMMYFUNCTION("""COMPUTED_VALUE"""),"")</f>
        <v/>
      </c>
    </row>
    <row r="897">
      <c r="E897" s="10" t="str">
        <f>IFERROR(__xludf.DUMMYFUNCTION("""COMPUTED_VALUE"""),"#VALUE!")</f>
        <v>#VALUE!</v>
      </c>
      <c r="F897" s="10" t="str">
        <f>IFERROR(__xludf.DUMMYFUNCTION("""COMPUTED_VALUE"""),"")</f>
        <v/>
      </c>
      <c r="G897" s="10" t="str">
        <f>IFERROR(__xludf.DUMMYFUNCTION("""COMPUTED_VALUE"""),"#VALUE!")</f>
        <v>#VALUE!</v>
      </c>
      <c r="H897" s="10" t="str">
        <f>IFERROR(__xludf.DUMMYFUNCTION("""COMPUTED_VALUE"""),"")</f>
        <v/>
      </c>
    </row>
    <row r="898">
      <c r="E898" s="10" t="str">
        <f>IFERROR(__xludf.DUMMYFUNCTION("""COMPUTED_VALUE"""),"#VALUE!")</f>
        <v>#VALUE!</v>
      </c>
      <c r="F898" s="10" t="str">
        <f>IFERROR(__xludf.DUMMYFUNCTION("""COMPUTED_VALUE"""),"")</f>
        <v/>
      </c>
      <c r="G898" s="10" t="str">
        <f>IFERROR(__xludf.DUMMYFUNCTION("""COMPUTED_VALUE"""),"#VALUE!")</f>
        <v>#VALUE!</v>
      </c>
      <c r="H898" s="10" t="str">
        <f>IFERROR(__xludf.DUMMYFUNCTION("""COMPUTED_VALUE"""),"")</f>
        <v/>
      </c>
    </row>
    <row r="899">
      <c r="E899" s="10" t="str">
        <f>IFERROR(__xludf.DUMMYFUNCTION("""COMPUTED_VALUE"""),"#VALUE!")</f>
        <v>#VALUE!</v>
      </c>
      <c r="F899" s="10" t="str">
        <f>IFERROR(__xludf.DUMMYFUNCTION("""COMPUTED_VALUE"""),"")</f>
        <v/>
      </c>
      <c r="G899" s="10" t="str">
        <f>IFERROR(__xludf.DUMMYFUNCTION("""COMPUTED_VALUE"""),"#VALUE!")</f>
        <v>#VALUE!</v>
      </c>
      <c r="H899" s="10" t="str">
        <f>IFERROR(__xludf.DUMMYFUNCTION("""COMPUTED_VALUE"""),"")</f>
        <v/>
      </c>
    </row>
    <row r="900">
      <c r="E900" s="10" t="str">
        <f>IFERROR(__xludf.DUMMYFUNCTION("""COMPUTED_VALUE"""),"#VALUE!")</f>
        <v>#VALUE!</v>
      </c>
      <c r="F900" s="10" t="str">
        <f>IFERROR(__xludf.DUMMYFUNCTION("""COMPUTED_VALUE"""),"")</f>
        <v/>
      </c>
      <c r="G900" s="10" t="str">
        <f>IFERROR(__xludf.DUMMYFUNCTION("""COMPUTED_VALUE"""),"#VALUE!")</f>
        <v>#VALUE!</v>
      </c>
      <c r="H900" s="10" t="str">
        <f>IFERROR(__xludf.DUMMYFUNCTION("""COMPUTED_VALUE"""),"")</f>
        <v/>
      </c>
    </row>
    <row r="901">
      <c r="E901" s="10" t="str">
        <f>IFERROR(__xludf.DUMMYFUNCTION("""COMPUTED_VALUE"""),"#VALUE!")</f>
        <v>#VALUE!</v>
      </c>
      <c r="F901" s="10" t="str">
        <f>IFERROR(__xludf.DUMMYFUNCTION("""COMPUTED_VALUE"""),"")</f>
        <v/>
      </c>
      <c r="G901" s="10" t="str">
        <f>IFERROR(__xludf.DUMMYFUNCTION("""COMPUTED_VALUE"""),"#VALUE!")</f>
        <v>#VALUE!</v>
      </c>
      <c r="H901" s="10" t="str">
        <f>IFERROR(__xludf.DUMMYFUNCTION("""COMPUTED_VALUE"""),"")</f>
        <v/>
      </c>
    </row>
    <row r="902">
      <c r="E902" s="10" t="str">
        <f>IFERROR(__xludf.DUMMYFUNCTION("""COMPUTED_VALUE"""),"#VALUE!")</f>
        <v>#VALUE!</v>
      </c>
      <c r="F902" s="10" t="str">
        <f>IFERROR(__xludf.DUMMYFUNCTION("""COMPUTED_VALUE"""),"")</f>
        <v/>
      </c>
      <c r="G902" s="10" t="str">
        <f>IFERROR(__xludf.DUMMYFUNCTION("""COMPUTED_VALUE"""),"#VALUE!")</f>
        <v>#VALUE!</v>
      </c>
      <c r="H902" s="10" t="str">
        <f>IFERROR(__xludf.DUMMYFUNCTION("""COMPUTED_VALUE"""),"")</f>
        <v/>
      </c>
    </row>
    <row r="903">
      <c r="E903" s="10" t="str">
        <f>IFERROR(__xludf.DUMMYFUNCTION("""COMPUTED_VALUE"""),"#VALUE!")</f>
        <v>#VALUE!</v>
      </c>
      <c r="F903" s="10" t="str">
        <f>IFERROR(__xludf.DUMMYFUNCTION("""COMPUTED_VALUE"""),"")</f>
        <v/>
      </c>
      <c r="G903" s="10" t="str">
        <f>IFERROR(__xludf.DUMMYFUNCTION("""COMPUTED_VALUE"""),"#VALUE!")</f>
        <v>#VALUE!</v>
      </c>
      <c r="H903" s="10" t="str">
        <f>IFERROR(__xludf.DUMMYFUNCTION("""COMPUTED_VALUE"""),"")</f>
        <v/>
      </c>
    </row>
    <row r="904">
      <c r="E904" s="10" t="str">
        <f>IFERROR(__xludf.DUMMYFUNCTION("""COMPUTED_VALUE"""),"#VALUE!")</f>
        <v>#VALUE!</v>
      </c>
      <c r="F904" s="10" t="str">
        <f>IFERROR(__xludf.DUMMYFUNCTION("""COMPUTED_VALUE"""),"")</f>
        <v/>
      </c>
      <c r="G904" s="10" t="str">
        <f>IFERROR(__xludf.DUMMYFUNCTION("""COMPUTED_VALUE"""),"#VALUE!")</f>
        <v>#VALUE!</v>
      </c>
      <c r="H904" s="10" t="str">
        <f>IFERROR(__xludf.DUMMYFUNCTION("""COMPUTED_VALUE"""),"")</f>
        <v/>
      </c>
    </row>
    <row r="905">
      <c r="E905" s="10" t="str">
        <f>IFERROR(__xludf.DUMMYFUNCTION("""COMPUTED_VALUE"""),"#VALUE!")</f>
        <v>#VALUE!</v>
      </c>
      <c r="F905" s="10" t="str">
        <f>IFERROR(__xludf.DUMMYFUNCTION("""COMPUTED_VALUE"""),"")</f>
        <v/>
      </c>
      <c r="G905" s="10" t="str">
        <f>IFERROR(__xludf.DUMMYFUNCTION("""COMPUTED_VALUE"""),"#VALUE!")</f>
        <v>#VALUE!</v>
      </c>
      <c r="H905" s="10" t="str">
        <f>IFERROR(__xludf.DUMMYFUNCTION("""COMPUTED_VALUE"""),"")</f>
        <v/>
      </c>
    </row>
    <row r="906">
      <c r="E906" s="10" t="str">
        <f>IFERROR(__xludf.DUMMYFUNCTION("""COMPUTED_VALUE"""),"#VALUE!")</f>
        <v>#VALUE!</v>
      </c>
      <c r="F906" s="10" t="str">
        <f>IFERROR(__xludf.DUMMYFUNCTION("""COMPUTED_VALUE"""),"")</f>
        <v/>
      </c>
      <c r="G906" s="10" t="str">
        <f>IFERROR(__xludf.DUMMYFUNCTION("""COMPUTED_VALUE"""),"#VALUE!")</f>
        <v>#VALUE!</v>
      </c>
      <c r="H906" s="10" t="str">
        <f>IFERROR(__xludf.DUMMYFUNCTION("""COMPUTED_VALUE"""),"")</f>
        <v/>
      </c>
    </row>
    <row r="907">
      <c r="E907" s="10" t="str">
        <f>IFERROR(__xludf.DUMMYFUNCTION("""COMPUTED_VALUE"""),"#VALUE!")</f>
        <v>#VALUE!</v>
      </c>
      <c r="F907" s="10" t="str">
        <f>IFERROR(__xludf.DUMMYFUNCTION("""COMPUTED_VALUE"""),"")</f>
        <v/>
      </c>
      <c r="G907" s="10" t="str">
        <f>IFERROR(__xludf.DUMMYFUNCTION("""COMPUTED_VALUE"""),"#VALUE!")</f>
        <v>#VALUE!</v>
      </c>
      <c r="H907" s="10" t="str">
        <f>IFERROR(__xludf.DUMMYFUNCTION("""COMPUTED_VALUE"""),"")</f>
        <v/>
      </c>
    </row>
    <row r="908">
      <c r="E908" s="10" t="str">
        <f>IFERROR(__xludf.DUMMYFUNCTION("""COMPUTED_VALUE"""),"#VALUE!")</f>
        <v>#VALUE!</v>
      </c>
      <c r="F908" s="10" t="str">
        <f>IFERROR(__xludf.DUMMYFUNCTION("""COMPUTED_VALUE"""),"")</f>
        <v/>
      </c>
      <c r="G908" s="10" t="str">
        <f>IFERROR(__xludf.DUMMYFUNCTION("""COMPUTED_VALUE"""),"#VALUE!")</f>
        <v>#VALUE!</v>
      </c>
      <c r="H908" s="10" t="str">
        <f>IFERROR(__xludf.DUMMYFUNCTION("""COMPUTED_VALUE"""),"")</f>
        <v/>
      </c>
    </row>
    <row r="909">
      <c r="E909" s="10" t="str">
        <f>IFERROR(__xludf.DUMMYFUNCTION("""COMPUTED_VALUE"""),"#VALUE!")</f>
        <v>#VALUE!</v>
      </c>
      <c r="F909" s="10" t="str">
        <f>IFERROR(__xludf.DUMMYFUNCTION("""COMPUTED_VALUE"""),"")</f>
        <v/>
      </c>
      <c r="G909" s="10" t="str">
        <f>IFERROR(__xludf.DUMMYFUNCTION("""COMPUTED_VALUE"""),"#VALUE!")</f>
        <v>#VALUE!</v>
      </c>
      <c r="H909" s="10" t="str">
        <f>IFERROR(__xludf.DUMMYFUNCTION("""COMPUTED_VALUE"""),"")</f>
        <v/>
      </c>
    </row>
    <row r="910">
      <c r="E910" s="10" t="str">
        <f>IFERROR(__xludf.DUMMYFUNCTION("""COMPUTED_VALUE"""),"#VALUE!")</f>
        <v>#VALUE!</v>
      </c>
      <c r="F910" s="10" t="str">
        <f>IFERROR(__xludf.DUMMYFUNCTION("""COMPUTED_VALUE"""),"")</f>
        <v/>
      </c>
      <c r="G910" s="10" t="str">
        <f>IFERROR(__xludf.DUMMYFUNCTION("""COMPUTED_VALUE"""),"#VALUE!")</f>
        <v>#VALUE!</v>
      </c>
      <c r="H910" s="10" t="str">
        <f>IFERROR(__xludf.DUMMYFUNCTION("""COMPUTED_VALUE"""),"")</f>
        <v/>
      </c>
    </row>
    <row r="911">
      <c r="E911" s="10" t="str">
        <f>IFERROR(__xludf.DUMMYFUNCTION("""COMPUTED_VALUE"""),"#VALUE!")</f>
        <v>#VALUE!</v>
      </c>
      <c r="F911" s="10" t="str">
        <f>IFERROR(__xludf.DUMMYFUNCTION("""COMPUTED_VALUE"""),"")</f>
        <v/>
      </c>
      <c r="G911" s="10" t="str">
        <f>IFERROR(__xludf.DUMMYFUNCTION("""COMPUTED_VALUE"""),"#VALUE!")</f>
        <v>#VALUE!</v>
      </c>
      <c r="H911" s="10" t="str">
        <f>IFERROR(__xludf.DUMMYFUNCTION("""COMPUTED_VALUE"""),"")</f>
        <v/>
      </c>
    </row>
    <row r="912">
      <c r="E912" s="10" t="str">
        <f>IFERROR(__xludf.DUMMYFUNCTION("""COMPUTED_VALUE"""),"#VALUE!")</f>
        <v>#VALUE!</v>
      </c>
      <c r="F912" s="10" t="str">
        <f>IFERROR(__xludf.DUMMYFUNCTION("""COMPUTED_VALUE"""),"")</f>
        <v/>
      </c>
      <c r="G912" s="10" t="str">
        <f>IFERROR(__xludf.DUMMYFUNCTION("""COMPUTED_VALUE"""),"#VALUE!")</f>
        <v>#VALUE!</v>
      </c>
      <c r="H912" s="10" t="str">
        <f>IFERROR(__xludf.DUMMYFUNCTION("""COMPUTED_VALUE"""),"")</f>
        <v/>
      </c>
    </row>
    <row r="913">
      <c r="E913" s="10" t="str">
        <f>IFERROR(__xludf.DUMMYFUNCTION("""COMPUTED_VALUE"""),"#VALUE!")</f>
        <v>#VALUE!</v>
      </c>
      <c r="F913" s="10" t="str">
        <f>IFERROR(__xludf.DUMMYFUNCTION("""COMPUTED_VALUE"""),"")</f>
        <v/>
      </c>
      <c r="G913" s="10" t="str">
        <f>IFERROR(__xludf.DUMMYFUNCTION("""COMPUTED_VALUE"""),"#VALUE!")</f>
        <v>#VALUE!</v>
      </c>
      <c r="H913" s="10" t="str">
        <f>IFERROR(__xludf.DUMMYFUNCTION("""COMPUTED_VALUE"""),"")</f>
        <v/>
      </c>
    </row>
    <row r="914">
      <c r="E914" s="10" t="str">
        <f>IFERROR(__xludf.DUMMYFUNCTION("""COMPUTED_VALUE"""),"#VALUE!")</f>
        <v>#VALUE!</v>
      </c>
      <c r="F914" s="10" t="str">
        <f>IFERROR(__xludf.DUMMYFUNCTION("""COMPUTED_VALUE"""),"")</f>
        <v/>
      </c>
      <c r="G914" s="10" t="str">
        <f>IFERROR(__xludf.DUMMYFUNCTION("""COMPUTED_VALUE"""),"#VALUE!")</f>
        <v>#VALUE!</v>
      </c>
      <c r="H914" s="10" t="str">
        <f>IFERROR(__xludf.DUMMYFUNCTION("""COMPUTED_VALUE"""),"")</f>
        <v/>
      </c>
    </row>
    <row r="915">
      <c r="E915" s="10" t="str">
        <f>IFERROR(__xludf.DUMMYFUNCTION("""COMPUTED_VALUE"""),"#VALUE!")</f>
        <v>#VALUE!</v>
      </c>
      <c r="F915" s="10" t="str">
        <f>IFERROR(__xludf.DUMMYFUNCTION("""COMPUTED_VALUE"""),"")</f>
        <v/>
      </c>
      <c r="G915" s="10" t="str">
        <f>IFERROR(__xludf.DUMMYFUNCTION("""COMPUTED_VALUE"""),"#VALUE!")</f>
        <v>#VALUE!</v>
      </c>
      <c r="H915" s="10" t="str">
        <f>IFERROR(__xludf.DUMMYFUNCTION("""COMPUTED_VALUE"""),"")</f>
        <v/>
      </c>
    </row>
    <row r="916">
      <c r="E916" s="10" t="str">
        <f>IFERROR(__xludf.DUMMYFUNCTION("""COMPUTED_VALUE"""),"#VALUE!")</f>
        <v>#VALUE!</v>
      </c>
      <c r="F916" s="10" t="str">
        <f>IFERROR(__xludf.DUMMYFUNCTION("""COMPUTED_VALUE"""),"")</f>
        <v/>
      </c>
      <c r="G916" s="10" t="str">
        <f>IFERROR(__xludf.DUMMYFUNCTION("""COMPUTED_VALUE"""),"#VALUE!")</f>
        <v>#VALUE!</v>
      </c>
      <c r="H916" s="10" t="str">
        <f>IFERROR(__xludf.DUMMYFUNCTION("""COMPUTED_VALUE"""),"")</f>
        <v/>
      </c>
    </row>
    <row r="917">
      <c r="E917" s="10" t="str">
        <f>IFERROR(__xludf.DUMMYFUNCTION("""COMPUTED_VALUE"""),"#VALUE!")</f>
        <v>#VALUE!</v>
      </c>
      <c r="F917" s="10" t="str">
        <f>IFERROR(__xludf.DUMMYFUNCTION("""COMPUTED_VALUE"""),"")</f>
        <v/>
      </c>
      <c r="G917" s="10" t="str">
        <f>IFERROR(__xludf.DUMMYFUNCTION("""COMPUTED_VALUE"""),"#VALUE!")</f>
        <v>#VALUE!</v>
      </c>
      <c r="H917" s="10" t="str">
        <f>IFERROR(__xludf.DUMMYFUNCTION("""COMPUTED_VALUE"""),"")</f>
        <v/>
      </c>
    </row>
    <row r="918">
      <c r="E918" s="10" t="str">
        <f>IFERROR(__xludf.DUMMYFUNCTION("""COMPUTED_VALUE"""),"#VALUE!")</f>
        <v>#VALUE!</v>
      </c>
      <c r="F918" s="10" t="str">
        <f>IFERROR(__xludf.DUMMYFUNCTION("""COMPUTED_VALUE"""),"")</f>
        <v/>
      </c>
      <c r="G918" s="10" t="str">
        <f>IFERROR(__xludf.DUMMYFUNCTION("""COMPUTED_VALUE"""),"#VALUE!")</f>
        <v>#VALUE!</v>
      </c>
      <c r="H918" s="10" t="str">
        <f>IFERROR(__xludf.DUMMYFUNCTION("""COMPUTED_VALUE"""),"")</f>
        <v/>
      </c>
    </row>
    <row r="919">
      <c r="E919" s="10" t="str">
        <f>IFERROR(__xludf.DUMMYFUNCTION("""COMPUTED_VALUE"""),"#VALUE!")</f>
        <v>#VALUE!</v>
      </c>
      <c r="F919" s="10" t="str">
        <f>IFERROR(__xludf.DUMMYFUNCTION("""COMPUTED_VALUE"""),"")</f>
        <v/>
      </c>
      <c r="G919" s="10" t="str">
        <f>IFERROR(__xludf.DUMMYFUNCTION("""COMPUTED_VALUE"""),"#VALUE!")</f>
        <v>#VALUE!</v>
      </c>
      <c r="H919" s="10" t="str">
        <f>IFERROR(__xludf.DUMMYFUNCTION("""COMPUTED_VALUE"""),"")</f>
        <v/>
      </c>
    </row>
    <row r="920">
      <c r="E920" s="10" t="str">
        <f>IFERROR(__xludf.DUMMYFUNCTION("""COMPUTED_VALUE"""),"#VALUE!")</f>
        <v>#VALUE!</v>
      </c>
      <c r="F920" s="10" t="str">
        <f>IFERROR(__xludf.DUMMYFUNCTION("""COMPUTED_VALUE"""),"")</f>
        <v/>
      </c>
      <c r="G920" s="10" t="str">
        <f>IFERROR(__xludf.DUMMYFUNCTION("""COMPUTED_VALUE"""),"#VALUE!")</f>
        <v>#VALUE!</v>
      </c>
      <c r="H920" s="10" t="str">
        <f>IFERROR(__xludf.DUMMYFUNCTION("""COMPUTED_VALUE"""),"")</f>
        <v/>
      </c>
    </row>
    <row r="921">
      <c r="E921" s="10" t="str">
        <f>IFERROR(__xludf.DUMMYFUNCTION("""COMPUTED_VALUE"""),"#VALUE!")</f>
        <v>#VALUE!</v>
      </c>
      <c r="F921" s="10" t="str">
        <f>IFERROR(__xludf.DUMMYFUNCTION("""COMPUTED_VALUE"""),"")</f>
        <v/>
      </c>
      <c r="G921" s="10" t="str">
        <f>IFERROR(__xludf.DUMMYFUNCTION("""COMPUTED_VALUE"""),"#VALUE!")</f>
        <v>#VALUE!</v>
      </c>
      <c r="H921" s="10" t="str">
        <f>IFERROR(__xludf.DUMMYFUNCTION("""COMPUTED_VALUE"""),"")</f>
        <v/>
      </c>
    </row>
    <row r="922">
      <c r="E922" s="10" t="str">
        <f>IFERROR(__xludf.DUMMYFUNCTION("""COMPUTED_VALUE"""),"#VALUE!")</f>
        <v>#VALUE!</v>
      </c>
      <c r="F922" s="10" t="str">
        <f>IFERROR(__xludf.DUMMYFUNCTION("""COMPUTED_VALUE"""),"")</f>
        <v/>
      </c>
      <c r="G922" s="10" t="str">
        <f>IFERROR(__xludf.DUMMYFUNCTION("""COMPUTED_VALUE"""),"#VALUE!")</f>
        <v>#VALUE!</v>
      </c>
      <c r="H922" s="10" t="str">
        <f>IFERROR(__xludf.DUMMYFUNCTION("""COMPUTED_VALUE"""),"")</f>
        <v/>
      </c>
    </row>
    <row r="923">
      <c r="E923" s="10" t="str">
        <f>IFERROR(__xludf.DUMMYFUNCTION("""COMPUTED_VALUE"""),"#VALUE!")</f>
        <v>#VALUE!</v>
      </c>
      <c r="F923" s="10" t="str">
        <f>IFERROR(__xludf.DUMMYFUNCTION("""COMPUTED_VALUE"""),"")</f>
        <v/>
      </c>
      <c r="G923" s="10" t="str">
        <f>IFERROR(__xludf.DUMMYFUNCTION("""COMPUTED_VALUE"""),"#VALUE!")</f>
        <v>#VALUE!</v>
      </c>
      <c r="H923" s="10" t="str">
        <f>IFERROR(__xludf.DUMMYFUNCTION("""COMPUTED_VALUE"""),"")</f>
        <v/>
      </c>
    </row>
    <row r="924">
      <c r="E924" s="10" t="str">
        <f>IFERROR(__xludf.DUMMYFUNCTION("""COMPUTED_VALUE"""),"#VALUE!")</f>
        <v>#VALUE!</v>
      </c>
      <c r="F924" s="10" t="str">
        <f>IFERROR(__xludf.DUMMYFUNCTION("""COMPUTED_VALUE"""),"")</f>
        <v/>
      </c>
      <c r="G924" s="10" t="str">
        <f>IFERROR(__xludf.DUMMYFUNCTION("""COMPUTED_VALUE"""),"#VALUE!")</f>
        <v>#VALUE!</v>
      </c>
      <c r="H924" s="10" t="str">
        <f>IFERROR(__xludf.DUMMYFUNCTION("""COMPUTED_VALUE"""),"")</f>
        <v/>
      </c>
    </row>
    <row r="925">
      <c r="E925" s="10" t="str">
        <f>IFERROR(__xludf.DUMMYFUNCTION("""COMPUTED_VALUE"""),"#VALUE!")</f>
        <v>#VALUE!</v>
      </c>
      <c r="F925" s="10" t="str">
        <f>IFERROR(__xludf.DUMMYFUNCTION("""COMPUTED_VALUE"""),"")</f>
        <v/>
      </c>
      <c r="G925" s="10" t="str">
        <f>IFERROR(__xludf.DUMMYFUNCTION("""COMPUTED_VALUE"""),"#VALUE!")</f>
        <v>#VALUE!</v>
      </c>
      <c r="H925" s="10" t="str">
        <f>IFERROR(__xludf.DUMMYFUNCTION("""COMPUTED_VALUE"""),"")</f>
        <v/>
      </c>
    </row>
    <row r="926">
      <c r="E926" s="10" t="str">
        <f>IFERROR(__xludf.DUMMYFUNCTION("""COMPUTED_VALUE"""),"#VALUE!")</f>
        <v>#VALUE!</v>
      </c>
      <c r="F926" s="10" t="str">
        <f>IFERROR(__xludf.DUMMYFUNCTION("""COMPUTED_VALUE"""),"")</f>
        <v/>
      </c>
      <c r="G926" s="10" t="str">
        <f>IFERROR(__xludf.DUMMYFUNCTION("""COMPUTED_VALUE"""),"#VALUE!")</f>
        <v>#VALUE!</v>
      </c>
      <c r="H926" s="10" t="str">
        <f>IFERROR(__xludf.DUMMYFUNCTION("""COMPUTED_VALUE"""),"")</f>
        <v/>
      </c>
    </row>
    <row r="927">
      <c r="E927" s="10" t="str">
        <f>IFERROR(__xludf.DUMMYFUNCTION("""COMPUTED_VALUE"""),"#VALUE!")</f>
        <v>#VALUE!</v>
      </c>
      <c r="F927" s="10" t="str">
        <f>IFERROR(__xludf.DUMMYFUNCTION("""COMPUTED_VALUE"""),"")</f>
        <v/>
      </c>
      <c r="G927" s="10" t="str">
        <f>IFERROR(__xludf.DUMMYFUNCTION("""COMPUTED_VALUE"""),"#VALUE!")</f>
        <v>#VALUE!</v>
      </c>
      <c r="H927" s="10" t="str">
        <f>IFERROR(__xludf.DUMMYFUNCTION("""COMPUTED_VALUE"""),"")</f>
        <v/>
      </c>
    </row>
    <row r="928">
      <c r="E928" s="10" t="str">
        <f>IFERROR(__xludf.DUMMYFUNCTION("""COMPUTED_VALUE"""),"#VALUE!")</f>
        <v>#VALUE!</v>
      </c>
      <c r="F928" s="10" t="str">
        <f>IFERROR(__xludf.DUMMYFUNCTION("""COMPUTED_VALUE"""),"")</f>
        <v/>
      </c>
      <c r="G928" s="10" t="str">
        <f>IFERROR(__xludf.DUMMYFUNCTION("""COMPUTED_VALUE"""),"#VALUE!")</f>
        <v>#VALUE!</v>
      </c>
      <c r="H928" s="10" t="str">
        <f>IFERROR(__xludf.DUMMYFUNCTION("""COMPUTED_VALUE"""),"")</f>
        <v/>
      </c>
    </row>
    <row r="929">
      <c r="E929" s="10" t="str">
        <f>IFERROR(__xludf.DUMMYFUNCTION("""COMPUTED_VALUE"""),"#VALUE!")</f>
        <v>#VALUE!</v>
      </c>
      <c r="F929" s="10" t="str">
        <f>IFERROR(__xludf.DUMMYFUNCTION("""COMPUTED_VALUE"""),"")</f>
        <v/>
      </c>
      <c r="G929" s="10" t="str">
        <f>IFERROR(__xludf.DUMMYFUNCTION("""COMPUTED_VALUE"""),"#VALUE!")</f>
        <v>#VALUE!</v>
      </c>
      <c r="H929" s="10" t="str">
        <f>IFERROR(__xludf.DUMMYFUNCTION("""COMPUTED_VALUE"""),"")</f>
        <v/>
      </c>
    </row>
    <row r="930">
      <c r="E930" s="10" t="str">
        <f>IFERROR(__xludf.DUMMYFUNCTION("""COMPUTED_VALUE"""),"#VALUE!")</f>
        <v>#VALUE!</v>
      </c>
      <c r="F930" s="10" t="str">
        <f>IFERROR(__xludf.DUMMYFUNCTION("""COMPUTED_VALUE"""),"")</f>
        <v/>
      </c>
      <c r="G930" s="10" t="str">
        <f>IFERROR(__xludf.DUMMYFUNCTION("""COMPUTED_VALUE"""),"#VALUE!")</f>
        <v>#VALUE!</v>
      </c>
      <c r="H930" s="10" t="str">
        <f>IFERROR(__xludf.DUMMYFUNCTION("""COMPUTED_VALUE"""),"")</f>
        <v/>
      </c>
    </row>
    <row r="931">
      <c r="E931" s="10" t="str">
        <f>IFERROR(__xludf.DUMMYFUNCTION("""COMPUTED_VALUE"""),"#VALUE!")</f>
        <v>#VALUE!</v>
      </c>
      <c r="F931" s="10" t="str">
        <f>IFERROR(__xludf.DUMMYFUNCTION("""COMPUTED_VALUE"""),"")</f>
        <v/>
      </c>
      <c r="G931" s="10" t="str">
        <f>IFERROR(__xludf.DUMMYFUNCTION("""COMPUTED_VALUE"""),"#VALUE!")</f>
        <v>#VALUE!</v>
      </c>
      <c r="H931" s="10" t="str">
        <f>IFERROR(__xludf.DUMMYFUNCTION("""COMPUTED_VALUE"""),"")</f>
        <v/>
      </c>
    </row>
    <row r="932">
      <c r="E932" s="10" t="str">
        <f>IFERROR(__xludf.DUMMYFUNCTION("""COMPUTED_VALUE"""),"#VALUE!")</f>
        <v>#VALUE!</v>
      </c>
      <c r="F932" s="10" t="str">
        <f>IFERROR(__xludf.DUMMYFUNCTION("""COMPUTED_VALUE"""),"")</f>
        <v/>
      </c>
      <c r="G932" s="10" t="str">
        <f>IFERROR(__xludf.DUMMYFUNCTION("""COMPUTED_VALUE"""),"#VALUE!")</f>
        <v>#VALUE!</v>
      </c>
      <c r="H932" s="10" t="str">
        <f>IFERROR(__xludf.DUMMYFUNCTION("""COMPUTED_VALUE"""),"")</f>
        <v/>
      </c>
    </row>
    <row r="933">
      <c r="E933" s="10" t="str">
        <f>IFERROR(__xludf.DUMMYFUNCTION("""COMPUTED_VALUE"""),"#VALUE!")</f>
        <v>#VALUE!</v>
      </c>
      <c r="F933" s="10" t="str">
        <f>IFERROR(__xludf.DUMMYFUNCTION("""COMPUTED_VALUE"""),"")</f>
        <v/>
      </c>
      <c r="G933" s="10" t="str">
        <f>IFERROR(__xludf.DUMMYFUNCTION("""COMPUTED_VALUE"""),"#VALUE!")</f>
        <v>#VALUE!</v>
      </c>
      <c r="H933" s="10" t="str">
        <f>IFERROR(__xludf.DUMMYFUNCTION("""COMPUTED_VALUE"""),"")</f>
        <v/>
      </c>
    </row>
    <row r="934">
      <c r="E934" s="10" t="str">
        <f>IFERROR(__xludf.DUMMYFUNCTION("""COMPUTED_VALUE"""),"#VALUE!")</f>
        <v>#VALUE!</v>
      </c>
      <c r="F934" s="10" t="str">
        <f>IFERROR(__xludf.DUMMYFUNCTION("""COMPUTED_VALUE"""),"")</f>
        <v/>
      </c>
      <c r="G934" s="10" t="str">
        <f>IFERROR(__xludf.DUMMYFUNCTION("""COMPUTED_VALUE"""),"#VALUE!")</f>
        <v>#VALUE!</v>
      </c>
      <c r="H934" s="10" t="str">
        <f>IFERROR(__xludf.DUMMYFUNCTION("""COMPUTED_VALUE"""),"")</f>
        <v/>
      </c>
    </row>
    <row r="935">
      <c r="E935" s="10" t="str">
        <f>IFERROR(__xludf.DUMMYFUNCTION("""COMPUTED_VALUE"""),"#VALUE!")</f>
        <v>#VALUE!</v>
      </c>
      <c r="F935" s="10" t="str">
        <f>IFERROR(__xludf.DUMMYFUNCTION("""COMPUTED_VALUE"""),"")</f>
        <v/>
      </c>
      <c r="G935" s="10" t="str">
        <f>IFERROR(__xludf.DUMMYFUNCTION("""COMPUTED_VALUE"""),"#VALUE!")</f>
        <v>#VALUE!</v>
      </c>
      <c r="H935" s="10" t="str">
        <f>IFERROR(__xludf.DUMMYFUNCTION("""COMPUTED_VALUE"""),"")</f>
        <v/>
      </c>
    </row>
    <row r="936">
      <c r="E936" s="10" t="str">
        <f>IFERROR(__xludf.DUMMYFUNCTION("""COMPUTED_VALUE"""),"#VALUE!")</f>
        <v>#VALUE!</v>
      </c>
      <c r="F936" s="10" t="str">
        <f>IFERROR(__xludf.DUMMYFUNCTION("""COMPUTED_VALUE"""),"")</f>
        <v/>
      </c>
      <c r="G936" s="10" t="str">
        <f>IFERROR(__xludf.DUMMYFUNCTION("""COMPUTED_VALUE"""),"#VALUE!")</f>
        <v>#VALUE!</v>
      </c>
      <c r="H936" s="10" t="str">
        <f>IFERROR(__xludf.DUMMYFUNCTION("""COMPUTED_VALUE"""),"")</f>
        <v/>
      </c>
    </row>
    <row r="937">
      <c r="E937" s="10" t="str">
        <f>IFERROR(__xludf.DUMMYFUNCTION("""COMPUTED_VALUE"""),"#VALUE!")</f>
        <v>#VALUE!</v>
      </c>
      <c r="F937" s="10" t="str">
        <f>IFERROR(__xludf.DUMMYFUNCTION("""COMPUTED_VALUE"""),"")</f>
        <v/>
      </c>
      <c r="G937" s="10" t="str">
        <f>IFERROR(__xludf.DUMMYFUNCTION("""COMPUTED_VALUE"""),"#VALUE!")</f>
        <v>#VALUE!</v>
      </c>
      <c r="H937" s="10" t="str">
        <f>IFERROR(__xludf.DUMMYFUNCTION("""COMPUTED_VALUE"""),"")</f>
        <v/>
      </c>
    </row>
    <row r="938">
      <c r="E938" s="10" t="str">
        <f>IFERROR(__xludf.DUMMYFUNCTION("""COMPUTED_VALUE"""),"#VALUE!")</f>
        <v>#VALUE!</v>
      </c>
      <c r="F938" s="10" t="str">
        <f>IFERROR(__xludf.DUMMYFUNCTION("""COMPUTED_VALUE"""),"")</f>
        <v/>
      </c>
      <c r="G938" s="10" t="str">
        <f>IFERROR(__xludf.DUMMYFUNCTION("""COMPUTED_VALUE"""),"#VALUE!")</f>
        <v>#VALUE!</v>
      </c>
      <c r="H938" s="10" t="str">
        <f>IFERROR(__xludf.DUMMYFUNCTION("""COMPUTED_VALUE"""),"")</f>
        <v/>
      </c>
    </row>
    <row r="939">
      <c r="E939" s="10" t="str">
        <f>IFERROR(__xludf.DUMMYFUNCTION("""COMPUTED_VALUE"""),"#VALUE!")</f>
        <v>#VALUE!</v>
      </c>
      <c r="F939" s="10" t="str">
        <f>IFERROR(__xludf.DUMMYFUNCTION("""COMPUTED_VALUE"""),"")</f>
        <v/>
      </c>
      <c r="G939" s="10" t="str">
        <f>IFERROR(__xludf.DUMMYFUNCTION("""COMPUTED_VALUE"""),"#VALUE!")</f>
        <v>#VALUE!</v>
      </c>
      <c r="H939" s="10" t="str">
        <f>IFERROR(__xludf.DUMMYFUNCTION("""COMPUTED_VALUE"""),"")</f>
        <v/>
      </c>
    </row>
    <row r="940">
      <c r="E940" s="10" t="str">
        <f>IFERROR(__xludf.DUMMYFUNCTION("""COMPUTED_VALUE"""),"#VALUE!")</f>
        <v>#VALUE!</v>
      </c>
      <c r="F940" s="10" t="str">
        <f>IFERROR(__xludf.DUMMYFUNCTION("""COMPUTED_VALUE"""),"")</f>
        <v/>
      </c>
      <c r="G940" s="10" t="str">
        <f>IFERROR(__xludf.DUMMYFUNCTION("""COMPUTED_VALUE"""),"#VALUE!")</f>
        <v>#VALUE!</v>
      </c>
      <c r="H940" s="10" t="str">
        <f>IFERROR(__xludf.DUMMYFUNCTION("""COMPUTED_VALUE"""),"")</f>
        <v/>
      </c>
    </row>
    <row r="941">
      <c r="E941" s="10" t="str">
        <f>IFERROR(__xludf.DUMMYFUNCTION("""COMPUTED_VALUE"""),"#VALUE!")</f>
        <v>#VALUE!</v>
      </c>
      <c r="F941" s="10" t="str">
        <f>IFERROR(__xludf.DUMMYFUNCTION("""COMPUTED_VALUE"""),"")</f>
        <v/>
      </c>
      <c r="G941" s="10" t="str">
        <f>IFERROR(__xludf.DUMMYFUNCTION("""COMPUTED_VALUE"""),"#VALUE!")</f>
        <v>#VALUE!</v>
      </c>
      <c r="H941" s="10" t="str">
        <f>IFERROR(__xludf.DUMMYFUNCTION("""COMPUTED_VALUE"""),"")</f>
        <v/>
      </c>
    </row>
    <row r="942">
      <c r="E942" s="10" t="str">
        <f>IFERROR(__xludf.DUMMYFUNCTION("""COMPUTED_VALUE"""),"#VALUE!")</f>
        <v>#VALUE!</v>
      </c>
      <c r="F942" s="10" t="str">
        <f>IFERROR(__xludf.DUMMYFUNCTION("""COMPUTED_VALUE"""),"")</f>
        <v/>
      </c>
      <c r="G942" s="10" t="str">
        <f>IFERROR(__xludf.DUMMYFUNCTION("""COMPUTED_VALUE"""),"#VALUE!")</f>
        <v>#VALUE!</v>
      </c>
      <c r="H942" s="10" t="str">
        <f>IFERROR(__xludf.DUMMYFUNCTION("""COMPUTED_VALUE"""),"")</f>
        <v/>
      </c>
    </row>
    <row r="943">
      <c r="E943" s="10" t="str">
        <f>IFERROR(__xludf.DUMMYFUNCTION("""COMPUTED_VALUE"""),"#VALUE!")</f>
        <v>#VALUE!</v>
      </c>
      <c r="F943" s="10" t="str">
        <f>IFERROR(__xludf.DUMMYFUNCTION("""COMPUTED_VALUE"""),"")</f>
        <v/>
      </c>
      <c r="G943" s="10" t="str">
        <f>IFERROR(__xludf.DUMMYFUNCTION("""COMPUTED_VALUE"""),"#VALUE!")</f>
        <v>#VALUE!</v>
      </c>
      <c r="H943" s="10" t="str">
        <f>IFERROR(__xludf.DUMMYFUNCTION("""COMPUTED_VALUE"""),"")</f>
        <v/>
      </c>
    </row>
    <row r="944">
      <c r="E944" s="10" t="str">
        <f>IFERROR(__xludf.DUMMYFUNCTION("""COMPUTED_VALUE"""),"#VALUE!")</f>
        <v>#VALUE!</v>
      </c>
      <c r="F944" s="10" t="str">
        <f>IFERROR(__xludf.DUMMYFUNCTION("""COMPUTED_VALUE"""),"")</f>
        <v/>
      </c>
      <c r="G944" s="10" t="str">
        <f>IFERROR(__xludf.DUMMYFUNCTION("""COMPUTED_VALUE"""),"#VALUE!")</f>
        <v>#VALUE!</v>
      </c>
      <c r="H944" s="10" t="str">
        <f>IFERROR(__xludf.DUMMYFUNCTION("""COMPUTED_VALUE"""),"")</f>
        <v/>
      </c>
    </row>
    <row r="945">
      <c r="E945" s="10" t="str">
        <f>IFERROR(__xludf.DUMMYFUNCTION("""COMPUTED_VALUE"""),"#VALUE!")</f>
        <v>#VALUE!</v>
      </c>
      <c r="F945" s="10" t="str">
        <f>IFERROR(__xludf.DUMMYFUNCTION("""COMPUTED_VALUE"""),"")</f>
        <v/>
      </c>
      <c r="G945" s="10" t="str">
        <f>IFERROR(__xludf.DUMMYFUNCTION("""COMPUTED_VALUE"""),"#VALUE!")</f>
        <v>#VALUE!</v>
      </c>
      <c r="H945" s="10" t="str">
        <f>IFERROR(__xludf.DUMMYFUNCTION("""COMPUTED_VALUE"""),"")</f>
        <v/>
      </c>
    </row>
    <row r="946">
      <c r="E946" s="10" t="str">
        <f>IFERROR(__xludf.DUMMYFUNCTION("""COMPUTED_VALUE"""),"#VALUE!")</f>
        <v>#VALUE!</v>
      </c>
      <c r="F946" s="10" t="str">
        <f>IFERROR(__xludf.DUMMYFUNCTION("""COMPUTED_VALUE"""),"")</f>
        <v/>
      </c>
      <c r="G946" s="10" t="str">
        <f>IFERROR(__xludf.DUMMYFUNCTION("""COMPUTED_VALUE"""),"#VALUE!")</f>
        <v>#VALUE!</v>
      </c>
      <c r="H946" s="10" t="str">
        <f>IFERROR(__xludf.DUMMYFUNCTION("""COMPUTED_VALUE"""),"")</f>
        <v/>
      </c>
    </row>
    <row r="947">
      <c r="E947" s="10" t="str">
        <f>IFERROR(__xludf.DUMMYFUNCTION("""COMPUTED_VALUE"""),"#VALUE!")</f>
        <v>#VALUE!</v>
      </c>
      <c r="F947" s="10" t="str">
        <f>IFERROR(__xludf.DUMMYFUNCTION("""COMPUTED_VALUE"""),"")</f>
        <v/>
      </c>
      <c r="G947" s="10" t="str">
        <f>IFERROR(__xludf.DUMMYFUNCTION("""COMPUTED_VALUE"""),"#VALUE!")</f>
        <v>#VALUE!</v>
      </c>
      <c r="H947" s="10" t="str">
        <f>IFERROR(__xludf.DUMMYFUNCTION("""COMPUTED_VALUE"""),"")</f>
        <v/>
      </c>
    </row>
    <row r="948">
      <c r="E948" s="10" t="str">
        <f>IFERROR(__xludf.DUMMYFUNCTION("""COMPUTED_VALUE"""),"#VALUE!")</f>
        <v>#VALUE!</v>
      </c>
      <c r="F948" s="10" t="str">
        <f>IFERROR(__xludf.DUMMYFUNCTION("""COMPUTED_VALUE"""),"")</f>
        <v/>
      </c>
      <c r="G948" s="10" t="str">
        <f>IFERROR(__xludf.DUMMYFUNCTION("""COMPUTED_VALUE"""),"#VALUE!")</f>
        <v>#VALUE!</v>
      </c>
      <c r="H948" s="10" t="str">
        <f>IFERROR(__xludf.DUMMYFUNCTION("""COMPUTED_VALUE"""),"")</f>
        <v/>
      </c>
    </row>
    <row r="949">
      <c r="E949" s="10" t="str">
        <f>IFERROR(__xludf.DUMMYFUNCTION("""COMPUTED_VALUE"""),"#VALUE!")</f>
        <v>#VALUE!</v>
      </c>
      <c r="F949" s="10" t="str">
        <f>IFERROR(__xludf.DUMMYFUNCTION("""COMPUTED_VALUE"""),"")</f>
        <v/>
      </c>
      <c r="G949" s="10" t="str">
        <f>IFERROR(__xludf.DUMMYFUNCTION("""COMPUTED_VALUE"""),"#VALUE!")</f>
        <v>#VALUE!</v>
      </c>
      <c r="H949" s="10" t="str">
        <f>IFERROR(__xludf.DUMMYFUNCTION("""COMPUTED_VALUE"""),"")</f>
        <v/>
      </c>
    </row>
    <row r="950">
      <c r="E950" s="10" t="str">
        <f>IFERROR(__xludf.DUMMYFUNCTION("""COMPUTED_VALUE"""),"#VALUE!")</f>
        <v>#VALUE!</v>
      </c>
      <c r="F950" s="10" t="str">
        <f>IFERROR(__xludf.DUMMYFUNCTION("""COMPUTED_VALUE"""),"")</f>
        <v/>
      </c>
      <c r="G950" s="10" t="str">
        <f>IFERROR(__xludf.DUMMYFUNCTION("""COMPUTED_VALUE"""),"#VALUE!")</f>
        <v>#VALUE!</v>
      </c>
      <c r="H950" s="10" t="str">
        <f>IFERROR(__xludf.DUMMYFUNCTION("""COMPUTED_VALUE"""),"")</f>
        <v/>
      </c>
    </row>
    <row r="951">
      <c r="E951" s="10" t="str">
        <f>IFERROR(__xludf.DUMMYFUNCTION("""COMPUTED_VALUE"""),"#VALUE!")</f>
        <v>#VALUE!</v>
      </c>
      <c r="F951" s="10" t="str">
        <f>IFERROR(__xludf.DUMMYFUNCTION("""COMPUTED_VALUE"""),"")</f>
        <v/>
      </c>
      <c r="G951" s="10" t="str">
        <f>IFERROR(__xludf.DUMMYFUNCTION("""COMPUTED_VALUE"""),"#VALUE!")</f>
        <v>#VALUE!</v>
      </c>
      <c r="H951" s="10" t="str">
        <f>IFERROR(__xludf.DUMMYFUNCTION("""COMPUTED_VALUE"""),"")</f>
        <v/>
      </c>
    </row>
    <row r="952">
      <c r="E952" s="10" t="str">
        <f>IFERROR(__xludf.DUMMYFUNCTION("""COMPUTED_VALUE"""),"#VALUE!")</f>
        <v>#VALUE!</v>
      </c>
      <c r="F952" s="10" t="str">
        <f>IFERROR(__xludf.DUMMYFUNCTION("""COMPUTED_VALUE"""),"")</f>
        <v/>
      </c>
      <c r="G952" s="10" t="str">
        <f>IFERROR(__xludf.DUMMYFUNCTION("""COMPUTED_VALUE"""),"#VALUE!")</f>
        <v>#VALUE!</v>
      </c>
      <c r="H952" s="10" t="str">
        <f>IFERROR(__xludf.DUMMYFUNCTION("""COMPUTED_VALUE"""),"")</f>
        <v/>
      </c>
    </row>
    <row r="953">
      <c r="E953" s="10" t="str">
        <f>IFERROR(__xludf.DUMMYFUNCTION("""COMPUTED_VALUE"""),"#VALUE!")</f>
        <v>#VALUE!</v>
      </c>
      <c r="F953" s="10" t="str">
        <f>IFERROR(__xludf.DUMMYFUNCTION("""COMPUTED_VALUE"""),"")</f>
        <v/>
      </c>
      <c r="G953" s="10" t="str">
        <f>IFERROR(__xludf.DUMMYFUNCTION("""COMPUTED_VALUE"""),"#VALUE!")</f>
        <v>#VALUE!</v>
      </c>
      <c r="H953" s="10" t="str">
        <f>IFERROR(__xludf.DUMMYFUNCTION("""COMPUTED_VALUE"""),"")</f>
        <v/>
      </c>
    </row>
    <row r="954">
      <c r="E954" s="10" t="str">
        <f>IFERROR(__xludf.DUMMYFUNCTION("""COMPUTED_VALUE"""),"#VALUE!")</f>
        <v>#VALUE!</v>
      </c>
      <c r="F954" s="10" t="str">
        <f>IFERROR(__xludf.DUMMYFUNCTION("""COMPUTED_VALUE"""),"")</f>
        <v/>
      </c>
      <c r="G954" s="10" t="str">
        <f>IFERROR(__xludf.DUMMYFUNCTION("""COMPUTED_VALUE"""),"#VALUE!")</f>
        <v>#VALUE!</v>
      </c>
      <c r="H954" s="10" t="str">
        <f>IFERROR(__xludf.DUMMYFUNCTION("""COMPUTED_VALUE"""),"")</f>
        <v/>
      </c>
    </row>
    <row r="955">
      <c r="E955" s="10" t="str">
        <f>IFERROR(__xludf.DUMMYFUNCTION("""COMPUTED_VALUE"""),"#VALUE!")</f>
        <v>#VALUE!</v>
      </c>
      <c r="F955" s="10" t="str">
        <f>IFERROR(__xludf.DUMMYFUNCTION("""COMPUTED_VALUE"""),"")</f>
        <v/>
      </c>
      <c r="G955" s="10" t="str">
        <f>IFERROR(__xludf.DUMMYFUNCTION("""COMPUTED_VALUE"""),"#VALUE!")</f>
        <v>#VALUE!</v>
      </c>
      <c r="H955" s="10" t="str">
        <f>IFERROR(__xludf.DUMMYFUNCTION("""COMPUTED_VALUE"""),"")</f>
        <v/>
      </c>
    </row>
    <row r="956">
      <c r="E956" s="10" t="str">
        <f>IFERROR(__xludf.DUMMYFUNCTION("""COMPUTED_VALUE"""),"#VALUE!")</f>
        <v>#VALUE!</v>
      </c>
      <c r="F956" s="10" t="str">
        <f>IFERROR(__xludf.DUMMYFUNCTION("""COMPUTED_VALUE"""),"")</f>
        <v/>
      </c>
      <c r="G956" s="10" t="str">
        <f>IFERROR(__xludf.DUMMYFUNCTION("""COMPUTED_VALUE"""),"#VALUE!")</f>
        <v>#VALUE!</v>
      </c>
      <c r="H956" s="10" t="str">
        <f>IFERROR(__xludf.DUMMYFUNCTION("""COMPUTED_VALUE"""),"")</f>
        <v/>
      </c>
    </row>
    <row r="957">
      <c r="E957" s="10" t="str">
        <f>IFERROR(__xludf.DUMMYFUNCTION("""COMPUTED_VALUE"""),"#VALUE!")</f>
        <v>#VALUE!</v>
      </c>
      <c r="F957" s="10" t="str">
        <f>IFERROR(__xludf.DUMMYFUNCTION("""COMPUTED_VALUE"""),"")</f>
        <v/>
      </c>
      <c r="G957" s="10" t="str">
        <f>IFERROR(__xludf.DUMMYFUNCTION("""COMPUTED_VALUE"""),"#VALUE!")</f>
        <v>#VALUE!</v>
      </c>
      <c r="H957" s="10" t="str">
        <f>IFERROR(__xludf.DUMMYFUNCTION("""COMPUTED_VALUE"""),"")</f>
        <v/>
      </c>
    </row>
    <row r="958">
      <c r="E958" s="10" t="str">
        <f>IFERROR(__xludf.DUMMYFUNCTION("""COMPUTED_VALUE"""),"#VALUE!")</f>
        <v>#VALUE!</v>
      </c>
      <c r="F958" s="10" t="str">
        <f>IFERROR(__xludf.DUMMYFUNCTION("""COMPUTED_VALUE"""),"")</f>
        <v/>
      </c>
      <c r="G958" s="10" t="str">
        <f>IFERROR(__xludf.DUMMYFUNCTION("""COMPUTED_VALUE"""),"#VALUE!")</f>
        <v>#VALUE!</v>
      </c>
      <c r="H958" s="10" t="str">
        <f>IFERROR(__xludf.DUMMYFUNCTION("""COMPUTED_VALUE"""),"")</f>
        <v/>
      </c>
    </row>
    <row r="959">
      <c r="E959" s="10" t="str">
        <f>IFERROR(__xludf.DUMMYFUNCTION("""COMPUTED_VALUE"""),"#VALUE!")</f>
        <v>#VALUE!</v>
      </c>
      <c r="F959" s="10" t="str">
        <f>IFERROR(__xludf.DUMMYFUNCTION("""COMPUTED_VALUE"""),"")</f>
        <v/>
      </c>
      <c r="G959" s="10" t="str">
        <f>IFERROR(__xludf.DUMMYFUNCTION("""COMPUTED_VALUE"""),"#VALUE!")</f>
        <v>#VALUE!</v>
      </c>
      <c r="H959" s="10" t="str">
        <f>IFERROR(__xludf.DUMMYFUNCTION("""COMPUTED_VALUE"""),"")</f>
        <v/>
      </c>
    </row>
    <row r="960">
      <c r="E960" s="10" t="str">
        <f>IFERROR(__xludf.DUMMYFUNCTION("""COMPUTED_VALUE"""),"#VALUE!")</f>
        <v>#VALUE!</v>
      </c>
      <c r="F960" s="10" t="str">
        <f>IFERROR(__xludf.DUMMYFUNCTION("""COMPUTED_VALUE"""),"")</f>
        <v/>
      </c>
      <c r="G960" s="10" t="str">
        <f>IFERROR(__xludf.DUMMYFUNCTION("""COMPUTED_VALUE"""),"#VALUE!")</f>
        <v>#VALUE!</v>
      </c>
      <c r="H960" s="10" t="str">
        <f>IFERROR(__xludf.DUMMYFUNCTION("""COMPUTED_VALUE"""),"")</f>
        <v/>
      </c>
    </row>
    <row r="961">
      <c r="E961" s="10" t="str">
        <f>IFERROR(__xludf.DUMMYFUNCTION("""COMPUTED_VALUE"""),"#VALUE!")</f>
        <v>#VALUE!</v>
      </c>
      <c r="F961" s="10" t="str">
        <f>IFERROR(__xludf.DUMMYFUNCTION("""COMPUTED_VALUE"""),"")</f>
        <v/>
      </c>
      <c r="G961" s="10" t="str">
        <f>IFERROR(__xludf.DUMMYFUNCTION("""COMPUTED_VALUE"""),"#VALUE!")</f>
        <v>#VALUE!</v>
      </c>
      <c r="H961" s="10" t="str">
        <f>IFERROR(__xludf.DUMMYFUNCTION("""COMPUTED_VALUE"""),"")</f>
        <v/>
      </c>
    </row>
    <row r="962">
      <c r="E962" s="10" t="str">
        <f>IFERROR(__xludf.DUMMYFUNCTION("""COMPUTED_VALUE"""),"#VALUE!")</f>
        <v>#VALUE!</v>
      </c>
      <c r="F962" s="10" t="str">
        <f>IFERROR(__xludf.DUMMYFUNCTION("""COMPUTED_VALUE"""),"")</f>
        <v/>
      </c>
      <c r="G962" s="10" t="str">
        <f>IFERROR(__xludf.DUMMYFUNCTION("""COMPUTED_VALUE"""),"#VALUE!")</f>
        <v>#VALUE!</v>
      </c>
      <c r="H962" s="10" t="str">
        <f>IFERROR(__xludf.DUMMYFUNCTION("""COMPUTED_VALUE"""),"")</f>
        <v/>
      </c>
    </row>
    <row r="963">
      <c r="E963" s="10" t="str">
        <f>IFERROR(__xludf.DUMMYFUNCTION("""COMPUTED_VALUE"""),"#VALUE!")</f>
        <v>#VALUE!</v>
      </c>
      <c r="F963" s="10" t="str">
        <f>IFERROR(__xludf.DUMMYFUNCTION("""COMPUTED_VALUE"""),"")</f>
        <v/>
      </c>
      <c r="G963" s="10" t="str">
        <f>IFERROR(__xludf.DUMMYFUNCTION("""COMPUTED_VALUE"""),"#VALUE!")</f>
        <v>#VALUE!</v>
      </c>
      <c r="H963" s="10" t="str">
        <f>IFERROR(__xludf.DUMMYFUNCTION("""COMPUTED_VALUE"""),"")</f>
        <v/>
      </c>
    </row>
    <row r="964">
      <c r="E964" s="10" t="str">
        <f>IFERROR(__xludf.DUMMYFUNCTION("""COMPUTED_VALUE"""),"#VALUE!")</f>
        <v>#VALUE!</v>
      </c>
      <c r="F964" s="10" t="str">
        <f>IFERROR(__xludf.DUMMYFUNCTION("""COMPUTED_VALUE"""),"")</f>
        <v/>
      </c>
      <c r="G964" s="10" t="str">
        <f>IFERROR(__xludf.DUMMYFUNCTION("""COMPUTED_VALUE"""),"#VALUE!")</f>
        <v>#VALUE!</v>
      </c>
      <c r="H964" s="10" t="str">
        <f>IFERROR(__xludf.DUMMYFUNCTION("""COMPUTED_VALUE"""),"")</f>
        <v/>
      </c>
    </row>
    <row r="965">
      <c r="E965" s="10" t="str">
        <f>IFERROR(__xludf.DUMMYFUNCTION("""COMPUTED_VALUE"""),"#VALUE!")</f>
        <v>#VALUE!</v>
      </c>
      <c r="F965" s="10" t="str">
        <f>IFERROR(__xludf.DUMMYFUNCTION("""COMPUTED_VALUE"""),"")</f>
        <v/>
      </c>
      <c r="G965" s="10" t="str">
        <f>IFERROR(__xludf.DUMMYFUNCTION("""COMPUTED_VALUE"""),"#VALUE!")</f>
        <v>#VALUE!</v>
      </c>
      <c r="H965" s="10" t="str">
        <f>IFERROR(__xludf.DUMMYFUNCTION("""COMPUTED_VALUE"""),"")</f>
        <v/>
      </c>
    </row>
    <row r="966">
      <c r="E966" s="10" t="str">
        <f>IFERROR(__xludf.DUMMYFUNCTION("""COMPUTED_VALUE"""),"#VALUE!")</f>
        <v>#VALUE!</v>
      </c>
      <c r="F966" s="10" t="str">
        <f>IFERROR(__xludf.DUMMYFUNCTION("""COMPUTED_VALUE"""),"")</f>
        <v/>
      </c>
      <c r="G966" s="10" t="str">
        <f>IFERROR(__xludf.DUMMYFUNCTION("""COMPUTED_VALUE"""),"#VALUE!")</f>
        <v>#VALUE!</v>
      </c>
      <c r="H966" s="10" t="str">
        <f>IFERROR(__xludf.DUMMYFUNCTION("""COMPUTED_VALUE"""),"")</f>
        <v/>
      </c>
    </row>
    <row r="967">
      <c r="E967" s="10" t="str">
        <f>IFERROR(__xludf.DUMMYFUNCTION("""COMPUTED_VALUE"""),"#VALUE!")</f>
        <v>#VALUE!</v>
      </c>
      <c r="F967" s="10" t="str">
        <f>IFERROR(__xludf.DUMMYFUNCTION("""COMPUTED_VALUE"""),"")</f>
        <v/>
      </c>
      <c r="G967" s="10" t="str">
        <f>IFERROR(__xludf.DUMMYFUNCTION("""COMPUTED_VALUE"""),"#VALUE!")</f>
        <v>#VALUE!</v>
      </c>
      <c r="H967" s="10" t="str">
        <f>IFERROR(__xludf.DUMMYFUNCTION("""COMPUTED_VALUE"""),"")</f>
        <v/>
      </c>
    </row>
    <row r="968">
      <c r="E968" s="10" t="str">
        <f>IFERROR(__xludf.DUMMYFUNCTION("""COMPUTED_VALUE"""),"#VALUE!")</f>
        <v>#VALUE!</v>
      </c>
      <c r="F968" s="10" t="str">
        <f>IFERROR(__xludf.DUMMYFUNCTION("""COMPUTED_VALUE"""),"")</f>
        <v/>
      </c>
      <c r="G968" s="10" t="str">
        <f>IFERROR(__xludf.DUMMYFUNCTION("""COMPUTED_VALUE"""),"#VALUE!")</f>
        <v>#VALUE!</v>
      </c>
      <c r="H968" s="10" t="str">
        <f>IFERROR(__xludf.DUMMYFUNCTION("""COMPUTED_VALUE"""),"")</f>
        <v/>
      </c>
    </row>
    <row r="969">
      <c r="E969" s="10" t="str">
        <f>IFERROR(__xludf.DUMMYFUNCTION("""COMPUTED_VALUE"""),"#VALUE!")</f>
        <v>#VALUE!</v>
      </c>
      <c r="F969" s="10" t="str">
        <f>IFERROR(__xludf.DUMMYFUNCTION("""COMPUTED_VALUE"""),"")</f>
        <v/>
      </c>
      <c r="G969" s="10" t="str">
        <f>IFERROR(__xludf.DUMMYFUNCTION("""COMPUTED_VALUE"""),"#VALUE!")</f>
        <v>#VALUE!</v>
      </c>
      <c r="H969" s="10" t="str">
        <f>IFERROR(__xludf.DUMMYFUNCTION("""COMPUTED_VALUE"""),"")</f>
        <v/>
      </c>
    </row>
    <row r="970">
      <c r="E970" s="10" t="str">
        <f>IFERROR(__xludf.DUMMYFUNCTION("""COMPUTED_VALUE"""),"#VALUE!")</f>
        <v>#VALUE!</v>
      </c>
      <c r="F970" s="10" t="str">
        <f>IFERROR(__xludf.DUMMYFUNCTION("""COMPUTED_VALUE"""),"")</f>
        <v/>
      </c>
      <c r="G970" s="10" t="str">
        <f>IFERROR(__xludf.DUMMYFUNCTION("""COMPUTED_VALUE"""),"#VALUE!")</f>
        <v>#VALUE!</v>
      </c>
      <c r="H970" s="10" t="str">
        <f>IFERROR(__xludf.DUMMYFUNCTION("""COMPUTED_VALUE"""),"")</f>
        <v/>
      </c>
    </row>
    <row r="971">
      <c r="E971" s="10" t="str">
        <f>IFERROR(__xludf.DUMMYFUNCTION("""COMPUTED_VALUE"""),"#VALUE!")</f>
        <v>#VALUE!</v>
      </c>
      <c r="F971" s="10" t="str">
        <f>IFERROR(__xludf.DUMMYFUNCTION("""COMPUTED_VALUE"""),"")</f>
        <v/>
      </c>
      <c r="G971" s="10" t="str">
        <f>IFERROR(__xludf.DUMMYFUNCTION("""COMPUTED_VALUE"""),"#VALUE!")</f>
        <v>#VALUE!</v>
      </c>
      <c r="H971" s="10" t="str">
        <f>IFERROR(__xludf.DUMMYFUNCTION("""COMPUTED_VALUE"""),"")</f>
        <v/>
      </c>
    </row>
    <row r="972">
      <c r="E972" s="10" t="str">
        <f>IFERROR(__xludf.DUMMYFUNCTION("""COMPUTED_VALUE"""),"#VALUE!")</f>
        <v>#VALUE!</v>
      </c>
      <c r="F972" s="10" t="str">
        <f>IFERROR(__xludf.DUMMYFUNCTION("""COMPUTED_VALUE"""),"")</f>
        <v/>
      </c>
      <c r="G972" s="10" t="str">
        <f>IFERROR(__xludf.DUMMYFUNCTION("""COMPUTED_VALUE"""),"#VALUE!")</f>
        <v>#VALUE!</v>
      </c>
      <c r="H972" s="10" t="str">
        <f>IFERROR(__xludf.DUMMYFUNCTION("""COMPUTED_VALUE"""),"")</f>
        <v/>
      </c>
    </row>
    <row r="973">
      <c r="E973" s="10" t="str">
        <f>IFERROR(__xludf.DUMMYFUNCTION("""COMPUTED_VALUE"""),"#VALUE!")</f>
        <v>#VALUE!</v>
      </c>
      <c r="F973" s="10" t="str">
        <f>IFERROR(__xludf.DUMMYFUNCTION("""COMPUTED_VALUE"""),"")</f>
        <v/>
      </c>
      <c r="G973" s="10" t="str">
        <f>IFERROR(__xludf.DUMMYFUNCTION("""COMPUTED_VALUE"""),"#VALUE!")</f>
        <v>#VALUE!</v>
      </c>
      <c r="H973" s="10" t="str">
        <f>IFERROR(__xludf.DUMMYFUNCTION("""COMPUTED_VALUE"""),"")</f>
        <v/>
      </c>
    </row>
    <row r="974">
      <c r="E974" s="10" t="str">
        <f>IFERROR(__xludf.DUMMYFUNCTION("""COMPUTED_VALUE"""),"#VALUE!")</f>
        <v>#VALUE!</v>
      </c>
      <c r="F974" s="10" t="str">
        <f>IFERROR(__xludf.DUMMYFUNCTION("""COMPUTED_VALUE"""),"")</f>
        <v/>
      </c>
      <c r="G974" s="10" t="str">
        <f>IFERROR(__xludf.DUMMYFUNCTION("""COMPUTED_VALUE"""),"#VALUE!")</f>
        <v>#VALUE!</v>
      </c>
      <c r="H974" s="10" t="str">
        <f>IFERROR(__xludf.DUMMYFUNCTION("""COMPUTED_VALUE"""),"")</f>
        <v/>
      </c>
    </row>
    <row r="975">
      <c r="E975" s="10" t="str">
        <f>IFERROR(__xludf.DUMMYFUNCTION("""COMPUTED_VALUE"""),"#VALUE!")</f>
        <v>#VALUE!</v>
      </c>
      <c r="F975" s="10" t="str">
        <f>IFERROR(__xludf.DUMMYFUNCTION("""COMPUTED_VALUE"""),"")</f>
        <v/>
      </c>
      <c r="G975" s="10" t="str">
        <f>IFERROR(__xludf.DUMMYFUNCTION("""COMPUTED_VALUE"""),"#VALUE!")</f>
        <v>#VALUE!</v>
      </c>
      <c r="H975" s="10" t="str">
        <f>IFERROR(__xludf.DUMMYFUNCTION("""COMPUTED_VALUE"""),"")</f>
        <v/>
      </c>
    </row>
    <row r="976">
      <c r="E976" s="10" t="str">
        <f>IFERROR(__xludf.DUMMYFUNCTION("""COMPUTED_VALUE"""),"#VALUE!")</f>
        <v>#VALUE!</v>
      </c>
      <c r="F976" s="10" t="str">
        <f>IFERROR(__xludf.DUMMYFUNCTION("""COMPUTED_VALUE"""),"")</f>
        <v/>
      </c>
      <c r="G976" s="10" t="str">
        <f>IFERROR(__xludf.DUMMYFUNCTION("""COMPUTED_VALUE"""),"#VALUE!")</f>
        <v>#VALUE!</v>
      </c>
      <c r="H976" s="10" t="str">
        <f>IFERROR(__xludf.DUMMYFUNCTION("""COMPUTED_VALUE"""),"")</f>
        <v/>
      </c>
    </row>
    <row r="977">
      <c r="E977" s="10" t="str">
        <f>IFERROR(__xludf.DUMMYFUNCTION("""COMPUTED_VALUE"""),"#VALUE!")</f>
        <v>#VALUE!</v>
      </c>
      <c r="F977" s="10" t="str">
        <f>IFERROR(__xludf.DUMMYFUNCTION("""COMPUTED_VALUE"""),"")</f>
        <v/>
      </c>
      <c r="G977" s="10" t="str">
        <f>IFERROR(__xludf.DUMMYFUNCTION("""COMPUTED_VALUE"""),"#VALUE!")</f>
        <v>#VALUE!</v>
      </c>
      <c r="H977" s="10" t="str">
        <f>IFERROR(__xludf.DUMMYFUNCTION("""COMPUTED_VALUE"""),"")</f>
        <v/>
      </c>
    </row>
    <row r="978">
      <c r="E978" s="10" t="str">
        <f>IFERROR(__xludf.DUMMYFUNCTION("""COMPUTED_VALUE"""),"#VALUE!")</f>
        <v>#VALUE!</v>
      </c>
      <c r="F978" s="10" t="str">
        <f>IFERROR(__xludf.DUMMYFUNCTION("""COMPUTED_VALUE"""),"")</f>
        <v/>
      </c>
      <c r="G978" s="10" t="str">
        <f>IFERROR(__xludf.DUMMYFUNCTION("""COMPUTED_VALUE"""),"#VALUE!")</f>
        <v>#VALUE!</v>
      </c>
      <c r="H978" s="10" t="str">
        <f>IFERROR(__xludf.DUMMYFUNCTION("""COMPUTED_VALUE"""),"")</f>
        <v/>
      </c>
    </row>
    <row r="979">
      <c r="E979" s="10" t="str">
        <f>IFERROR(__xludf.DUMMYFUNCTION("""COMPUTED_VALUE"""),"#VALUE!")</f>
        <v>#VALUE!</v>
      </c>
      <c r="F979" s="10" t="str">
        <f>IFERROR(__xludf.DUMMYFUNCTION("""COMPUTED_VALUE"""),"")</f>
        <v/>
      </c>
      <c r="G979" s="10" t="str">
        <f>IFERROR(__xludf.DUMMYFUNCTION("""COMPUTED_VALUE"""),"#VALUE!")</f>
        <v>#VALUE!</v>
      </c>
      <c r="H979" s="10" t="str">
        <f>IFERROR(__xludf.DUMMYFUNCTION("""COMPUTED_VALUE"""),"")</f>
        <v/>
      </c>
    </row>
    <row r="980">
      <c r="E980" s="10" t="str">
        <f>IFERROR(__xludf.DUMMYFUNCTION("""COMPUTED_VALUE"""),"#VALUE!")</f>
        <v>#VALUE!</v>
      </c>
      <c r="F980" s="10" t="str">
        <f>IFERROR(__xludf.DUMMYFUNCTION("""COMPUTED_VALUE"""),"")</f>
        <v/>
      </c>
      <c r="G980" s="10" t="str">
        <f>IFERROR(__xludf.DUMMYFUNCTION("""COMPUTED_VALUE"""),"#VALUE!")</f>
        <v>#VALUE!</v>
      </c>
      <c r="H980" s="10" t="str">
        <f>IFERROR(__xludf.DUMMYFUNCTION("""COMPUTED_VALUE"""),"")</f>
        <v/>
      </c>
    </row>
    <row r="981">
      <c r="E981" s="10" t="str">
        <f>IFERROR(__xludf.DUMMYFUNCTION("""COMPUTED_VALUE"""),"#VALUE!")</f>
        <v>#VALUE!</v>
      </c>
      <c r="F981" s="10" t="str">
        <f>IFERROR(__xludf.DUMMYFUNCTION("""COMPUTED_VALUE"""),"")</f>
        <v/>
      </c>
      <c r="G981" s="10" t="str">
        <f>IFERROR(__xludf.DUMMYFUNCTION("""COMPUTED_VALUE"""),"#VALUE!")</f>
        <v>#VALUE!</v>
      </c>
      <c r="H981" s="10" t="str">
        <f>IFERROR(__xludf.DUMMYFUNCTION("""COMPUTED_VALUE"""),"")</f>
        <v/>
      </c>
    </row>
    <row r="982">
      <c r="E982" s="10" t="str">
        <f>IFERROR(__xludf.DUMMYFUNCTION("""COMPUTED_VALUE"""),"#VALUE!")</f>
        <v>#VALUE!</v>
      </c>
      <c r="F982" s="10" t="str">
        <f>IFERROR(__xludf.DUMMYFUNCTION("""COMPUTED_VALUE"""),"")</f>
        <v/>
      </c>
      <c r="G982" s="10" t="str">
        <f>IFERROR(__xludf.DUMMYFUNCTION("""COMPUTED_VALUE"""),"#VALUE!")</f>
        <v>#VALUE!</v>
      </c>
      <c r="H982" s="10" t="str">
        <f>IFERROR(__xludf.DUMMYFUNCTION("""COMPUTED_VALUE"""),"")</f>
        <v/>
      </c>
    </row>
    <row r="983">
      <c r="E983" s="10" t="str">
        <f>IFERROR(__xludf.DUMMYFUNCTION("""COMPUTED_VALUE"""),"#VALUE!")</f>
        <v>#VALUE!</v>
      </c>
      <c r="F983" s="10" t="str">
        <f>IFERROR(__xludf.DUMMYFUNCTION("""COMPUTED_VALUE"""),"")</f>
        <v/>
      </c>
      <c r="G983" s="10" t="str">
        <f>IFERROR(__xludf.DUMMYFUNCTION("""COMPUTED_VALUE"""),"#VALUE!")</f>
        <v>#VALUE!</v>
      </c>
      <c r="H983" s="10" t="str">
        <f>IFERROR(__xludf.DUMMYFUNCTION("""COMPUTED_VALUE"""),"")</f>
        <v/>
      </c>
    </row>
    <row r="984">
      <c r="E984" s="10" t="str">
        <f>IFERROR(__xludf.DUMMYFUNCTION("""COMPUTED_VALUE"""),"#VALUE!")</f>
        <v>#VALUE!</v>
      </c>
      <c r="F984" s="10" t="str">
        <f>IFERROR(__xludf.DUMMYFUNCTION("""COMPUTED_VALUE"""),"")</f>
        <v/>
      </c>
      <c r="G984" s="10" t="str">
        <f>IFERROR(__xludf.DUMMYFUNCTION("""COMPUTED_VALUE"""),"#VALUE!")</f>
        <v>#VALUE!</v>
      </c>
      <c r="H984" s="10" t="str">
        <f>IFERROR(__xludf.DUMMYFUNCTION("""COMPUTED_VALUE"""),"")</f>
        <v/>
      </c>
    </row>
    <row r="985">
      <c r="E985" s="10" t="str">
        <f>IFERROR(__xludf.DUMMYFUNCTION("""COMPUTED_VALUE"""),"#VALUE!")</f>
        <v>#VALUE!</v>
      </c>
      <c r="F985" s="10" t="str">
        <f>IFERROR(__xludf.DUMMYFUNCTION("""COMPUTED_VALUE"""),"")</f>
        <v/>
      </c>
      <c r="G985" s="10" t="str">
        <f>IFERROR(__xludf.DUMMYFUNCTION("""COMPUTED_VALUE"""),"#VALUE!")</f>
        <v>#VALUE!</v>
      </c>
      <c r="H985" s="10" t="str">
        <f>IFERROR(__xludf.DUMMYFUNCTION("""COMPUTED_VALUE"""),"")</f>
        <v/>
      </c>
    </row>
    <row r="986">
      <c r="E986" s="10" t="str">
        <f>IFERROR(__xludf.DUMMYFUNCTION("""COMPUTED_VALUE"""),"#VALUE!")</f>
        <v>#VALUE!</v>
      </c>
      <c r="F986" s="10" t="str">
        <f>IFERROR(__xludf.DUMMYFUNCTION("""COMPUTED_VALUE"""),"")</f>
        <v/>
      </c>
      <c r="G986" s="10" t="str">
        <f>IFERROR(__xludf.DUMMYFUNCTION("""COMPUTED_VALUE"""),"#VALUE!")</f>
        <v>#VALUE!</v>
      </c>
      <c r="H986" s="10" t="str">
        <f>IFERROR(__xludf.DUMMYFUNCTION("""COMPUTED_VALUE"""),"")</f>
        <v/>
      </c>
    </row>
    <row r="987">
      <c r="E987" s="10" t="str">
        <f>IFERROR(__xludf.DUMMYFUNCTION("""COMPUTED_VALUE"""),"#VALUE!")</f>
        <v>#VALUE!</v>
      </c>
      <c r="F987" s="10" t="str">
        <f>IFERROR(__xludf.DUMMYFUNCTION("""COMPUTED_VALUE"""),"")</f>
        <v/>
      </c>
      <c r="G987" s="10" t="str">
        <f>IFERROR(__xludf.DUMMYFUNCTION("""COMPUTED_VALUE"""),"#VALUE!")</f>
        <v>#VALUE!</v>
      </c>
      <c r="H987" s="10" t="str">
        <f>IFERROR(__xludf.DUMMYFUNCTION("""COMPUTED_VALUE"""),"")</f>
        <v/>
      </c>
    </row>
    <row r="988">
      <c r="E988" s="10" t="str">
        <f>IFERROR(__xludf.DUMMYFUNCTION("""COMPUTED_VALUE"""),"#VALUE!")</f>
        <v>#VALUE!</v>
      </c>
      <c r="F988" s="10" t="str">
        <f>IFERROR(__xludf.DUMMYFUNCTION("""COMPUTED_VALUE"""),"")</f>
        <v/>
      </c>
      <c r="G988" s="10" t="str">
        <f>IFERROR(__xludf.DUMMYFUNCTION("""COMPUTED_VALUE"""),"#VALUE!")</f>
        <v>#VALUE!</v>
      </c>
      <c r="H988" s="10" t="str">
        <f>IFERROR(__xludf.DUMMYFUNCTION("""COMPUTED_VALUE"""),"")</f>
        <v/>
      </c>
    </row>
    <row r="989">
      <c r="E989" s="10" t="str">
        <f>IFERROR(__xludf.DUMMYFUNCTION("""COMPUTED_VALUE"""),"#VALUE!")</f>
        <v>#VALUE!</v>
      </c>
      <c r="F989" s="10" t="str">
        <f>IFERROR(__xludf.DUMMYFUNCTION("""COMPUTED_VALUE"""),"")</f>
        <v/>
      </c>
      <c r="G989" s="10" t="str">
        <f>IFERROR(__xludf.DUMMYFUNCTION("""COMPUTED_VALUE"""),"#VALUE!")</f>
        <v>#VALUE!</v>
      </c>
      <c r="H989" s="10" t="str">
        <f>IFERROR(__xludf.DUMMYFUNCTION("""COMPUTED_VALUE"""),"")</f>
        <v/>
      </c>
    </row>
    <row r="990">
      <c r="E990" s="10" t="str">
        <f>IFERROR(__xludf.DUMMYFUNCTION("""COMPUTED_VALUE"""),"#VALUE!")</f>
        <v>#VALUE!</v>
      </c>
      <c r="F990" s="10" t="str">
        <f>IFERROR(__xludf.DUMMYFUNCTION("""COMPUTED_VALUE"""),"")</f>
        <v/>
      </c>
      <c r="G990" s="10" t="str">
        <f>IFERROR(__xludf.DUMMYFUNCTION("""COMPUTED_VALUE"""),"#VALUE!")</f>
        <v>#VALUE!</v>
      </c>
      <c r="H990" s="10" t="str">
        <f>IFERROR(__xludf.DUMMYFUNCTION("""COMPUTED_VALUE"""),"")</f>
        <v/>
      </c>
    </row>
    <row r="991">
      <c r="E991" s="10" t="str">
        <f>IFERROR(__xludf.DUMMYFUNCTION("""COMPUTED_VALUE"""),"#VALUE!")</f>
        <v>#VALUE!</v>
      </c>
      <c r="F991" s="10" t="str">
        <f>IFERROR(__xludf.DUMMYFUNCTION("""COMPUTED_VALUE"""),"")</f>
        <v/>
      </c>
      <c r="G991" s="10" t="str">
        <f>IFERROR(__xludf.DUMMYFUNCTION("""COMPUTED_VALUE"""),"#VALUE!")</f>
        <v>#VALUE!</v>
      </c>
      <c r="H991" s="10" t="str">
        <f>IFERROR(__xludf.DUMMYFUNCTION("""COMPUTED_VALUE"""),"")</f>
        <v/>
      </c>
    </row>
    <row r="992">
      <c r="E992" s="10" t="str">
        <f>IFERROR(__xludf.DUMMYFUNCTION("""COMPUTED_VALUE"""),"#VALUE!")</f>
        <v>#VALUE!</v>
      </c>
      <c r="F992" s="10" t="str">
        <f>IFERROR(__xludf.DUMMYFUNCTION("""COMPUTED_VALUE"""),"")</f>
        <v/>
      </c>
      <c r="G992" s="10" t="str">
        <f>IFERROR(__xludf.DUMMYFUNCTION("""COMPUTED_VALUE"""),"#VALUE!")</f>
        <v>#VALUE!</v>
      </c>
      <c r="H992" s="10" t="str">
        <f>IFERROR(__xludf.DUMMYFUNCTION("""COMPUTED_VALUE"""),"")</f>
        <v/>
      </c>
    </row>
    <row r="993">
      <c r="E993" s="10" t="str">
        <f>IFERROR(__xludf.DUMMYFUNCTION("""COMPUTED_VALUE"""),"#VALUE!")</f>
        <v>#VALUE!</v>
      </c>
      <c r="F993" s="10" t="str">
        <f>IFERROR(__xludf.DUMMYFUNCTION("""COMPUTED_VALUE"""),"")</f>
        <v/>
      </c>
      <c r="G993" s="10" t="str">
        <f>IFERROR(__xludf.DUMMYFUNCTION("""COMPUTED_VALUE"""),"#VALUE!")</f>
        <v>#VALUE!</v>
      </c>
      <c r="H993" s="10" t="str">
        <f>IFERROR(__xludf.DUMMYFUNCTION("""COMPUTED_VALUE"""),"")</f>
        <v/>
      </c>
    </row>
    <row r="994">
      <c r="E994" s="10" t="str">
        <f>IFERROR(__xludf.DUMMYFUNCTION("""COMPUTED_VALUE"""),"#VALUE!")</f>
        <v>#VALUE!</v>
      </c>
      <c r="F994" s="10" t="str">
        <f>IFERROR(__xludf.DUMMYFUNCTION("""COMPUTED_VALUE"""),"")</f>
        <v/>
      </c>
      <c r="G994" s="10" t="str">
        <f>IFERROR(__xludf.DUMMYFUNCTION("""COMPUTED_VALUE"""),"#VALUE!")</f>
        <v>#VALUE!</v>
      </c>
      <c r="H994" s="10" t="str">
        <f>IFERROR(__xludf.DUMMYFUNCTION("""COMPUTED_VALUE"""),"")</f>
        <v/>
      </c>
    </row>
    <row r="995">
      <c r="E995" s="10" t="str">
        <f>IFERROR(__xludf.DUMMYFUNCTION("""COMPUTED_VALUE"""),"#VALUE!")</f>
        <v>#VALUE!</v>
      </c>
      <c r="F995" s="10" t="str">
        <f>IFERROR(__xludf.DUMMYFUNCTION("""COMPUTED_VALUE"""),"")</f>
        <v/>
      </c>
      <c r="G995" s="10" t="str">
        <f>IFERROR(__xludf.DUMMYFUNCTION("""COMPUTED_VALUE"""),"#VALUE!")</f>
        <v>#VALUE!</v>
      </c>
      <c r="H995" s="10" t="str">
        <f>IFERROR(__xludf.DUMMYFUNCTION("""COMPUTED_VALUE"""),"")</f>
        <v/>
      </c>
    </row>
    <row r="996">
      <c r="E996" s="10" t="str">
        <f>IFERROR(__xludf.DUMMYFUNCTION("""COMPUTED_VALUE"""),"#VALUE!")</f>
        <v>#VALUE!</v>
      </c>
      <c r="F996" s="10" t="str">
        <f>IFERROR(__xludf.DUMMYFUNCTION("""COMPUTED_VALUE"""),"")</f>
        <v/>
      </c>
      <c r="G996" s="10" t="str">
        <f>IFERROR(__xludf.DUMMYFUNCTION("""COMPUTED_VALUE"""),"#VALUE!")</f>
        <v>#VALUE!</v>
      </c>
      <c r="H996" s="10" t="str">
        <f>IFERROR(__xludf.DUMMYFUNCTION("""COMPUTED_VALUE"""),"")</f>
        <v/>
      </c>
    </row>
    <row r="997">
      <c r="E997" s="10" t="str">
        <f>IFERROR(__xludf.DUMMYFUNCTION("""COMPUTED_VALUE"""),"#VALUE!")</f>
        <v>#VALUE!</v>
      </c>
      <c r="F997" s="10" t="str">
        <f>IFERROR(__xludf.DUMMYFUNCTION("""COMPUTED_VALUE"""),"")</f>
        <v/>
      </c>
      <c r="G997" s="10" t="str">
        <f>IFERROR(__xludf.DUMMYFUNCTION("""COMPUTED_VALUE"""),"#VALUE!")</f>
        <v>#VALUE!</v>
      </c>
      <c r="H997" s="10" t="str">
        <f>IFERROR(__xludf.DUMMYFUNCTION("""COMPUTED_VALUE"""),"")</f>
        <v/>
      </c>
    </row>
    <row r="998">
      <c r="E998" s="10" t="str">
        <f>IFERROR(__xludf.DUMMYFUNCTION("""COMPUTED_VALUE"""),"#VALUE!")</f>
        <v>#VALUE!</v>
      </c>
      <c r="F998" s="10" t="str">
        <f>IFERROR(__xludf.DUMMYFUNCTION("""COMPUTED_VALUE"""),"")</f>
        <v/>
      </c>
      <c r="G998" s="10" t="str">
        <f>IFERROR(__xludf.DUMMYFUNCTION("""COMPUTED_VALUE"""),"#VALUE!")</f>
        <v>#VALUE!</v>
      </c>
      <c r="H998" s="10" t="str">
        <f>IFERROR(__xludf.DUMMYFUNCTION("""COMPUTED_VALUE"""),"")</f>
        <v/>
      </c>
    </row>
    <row r="999">
      <c r="E999" s="10" t="str">
        <f>IFERROR(__xludf.DUMMYFUNCTION("""COMPUTED_VALUE"""),"#VALUE!")</f>
        <v>#VALUE!</v>
      </c>
      <c r="F999" s="10" t="str">
        <f>IFERROR(__xludf.DUMMYFUNCTION("""COMPUTED_VALUE"""),"")</f>
        <v/>
      </c>
      <c r="G999" s="10" t="str">
        <f>IFERROR(__xludf.DUMMYFUNCTION("""COMPUTED_VALUE"""),"#VALUE!")</f>
        <v>#VALUE!</v>
      </c>
      <c r="H999" s="10" t="str">
        <f>IFERROR(__xludf.DUMMYFUNCTION("""COMPUTED_VALUE"""),"")</f>
        <v/>
      </c>
    </row>
    <row r="1000">
      <c r="E1000" s="10" t="str">
        <f>IFERROR(__xludf.DUMMYFUNCTION("""COMPUTED_VALUE"""),"#VALUE!")</f>
        <v>#VALUE!</v>
      </c>
      <c r="F1000" s="10" t="str">
        <f>IFERROR(__xludf.DUMMYFUNCTION("""COMPUTED_VALUE"""),"")</f>
        <v/>
      </c>
      <c r="G1000" s="10" t="str">
        <f>IFERROR(__xludf.DUMMYFUNCTION("""COMPUTED_VALUE"""),"#VALUE!")</f>
        <v>#VALUE!</v>
      </c>
      <c r="H1000" s="10" t="str">
        <f>IFERROR(__xludf.DUMMYFUNCTION("""COMPUTED_VALUE"""),"")</f>
        <v/>
      </c>
    </row>
  </sheetData>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45.29"/>
    <col customWidth="1" min="2" max="2" width="21.71"/>
    <col customWidth="1" min="3" max="3" width="107.29"/>
    <col hidden="1" min="4" max="5" width="14.43"/>
    <col customWidth="1" min="6" max="6" width="36.71"/>
    <col hidden="1" min="9" max="9" width="14.43"/>
  </cols>
  <sheetData>
    <row r="1">
      <c r="A1" s="86" t="s">
        <v>79</v>
      </c>
      <c r="B1" s="46" t="s">
        <v>80</v>
      </c>
      <c r="C1" s="46"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row>
    <row r="2">
      <c r="A2" s="87" t="s">
        <v>32</v>
      </c>
      <c r="B2" s="62" t="s">
        <v>54</v>
      </c>
      <c r="C2" s="88" t="s">
        <v>430</v>
      </c>
      <c r="D2" s="49" t="s">
        <v>431</v>
      </c>
      <c r="E2" s="49" t="s">
        <v>432</v>
      </c>
      <c r="F2" s="49"/>
      <c r="G2" s="89">
        <v>43775.0</v>
      </c>
      <c r="H2" s="81">
        <v>0.4270833333333333</v>
      </c>
      <c r="I2" s="54">
        <f>IFERROR(__xludf.DUMMYFUNCTION("ARRAYFORMULA(SPLIT(E2:E12,"" ""))"),43775.0)</f>
        <v>43775</v>
      </c>
      <c r="J2" s="53">
        <f>IFERROR(__xludf.DUMMYFUNCTION("""COMPUTED_VALUE"""),0.46875)</f>
        <v>0.46875</v>
      </c>
      <c r="K2" s="53">
        <f t="shared" ref="K2:K12" si="1">J2-H2</f>
        <v>0.04166666667</v>
      </c>
      <c r="L2" s="49" t="str">
        <f t="array" ref="L2:L12">TEXT(K2:K12,"hhmmss")</f>
        <v>010000</v>
      </c>
      <c r="M2" s="62" t="s">
        <v>490</v>
      </c>
      <c r="N2" s="62" t="str">
        <f>CONCATENATE(M2,"_",F2,"_","000000_000000.mp4")</f>
        <v>SS8_6_1__000000_000000.mp4</v>
      </c>
      <c r="O2" s="48"/>
      <c r="P2" s="48"/>
      <c r="Q2" s="63"/>
    </row>
    <row r="3">
      <c r="A3" s="87" t="s">
        <v>54</v>
      </c>
      <c r="B3" s="62" t="s">
        <v>54</v>
      </c>
      <c r="C3" s="88" t="s">
        <v>436</v>
      </c>
      <c r="D3" s="49" t="s">
        <v>432</v>
      </c>
      <c r="E3" s="49" t="s">
        <v>437</v>
      </c>
      <c r="F3" s="49"/>
      <c r="G3" s="89">
        <v>43775.0</v>
      </c>
      <c r="H3" s="81">
        <v>0.46875</v>
      </c>
      <c r="I3" s="52">
        <f>IFERROR(__xludf.DUMMYFUNCTION("""COMPUTED_VALUE"""),43775.0)</f>
        <v>43775</v>
      </c>
      <c r="J3" s="53">
        <f>IFERROR(__xludf.DUMMYFUNCTION("""COMPUTED_VALUE"""),0.5104166666666666)</f>
        <v>0.5104166667</v>
      </c>
      <c r="K3" s="53">
        <f t="shared" si="1"/>
        <v>0.04166666667</v>
      </c>
      <c r="L3" s="49" t="s">
        <v>240</v>
      </c>
      <c r="M3" s="49"/>
      <c r="N3" s="49"/>
      <c r="O3" s="48"/>
      <c r="P3" s="48"/>
      <c r="Q3" s="63"/>
    </row>
    <row r="4">
      <c r="A4" s="87" t="s">
        <v>70</v>
      </c>
      <c r="B4" s="62" t="s">
        <v>54</v>
      </c>
      <c r="C4" s="88" t="s">
        <v>440</v>
      </c>
      <c r="D4" s="49" t="s">
        <v>437</v>
      </c>
      <c r="E4" s="49" t="s">
        <v>441</v>
      </c>
      <c r="F4" s="49"/>
      <c r="G4" s="89">
        <v>43775.0</v>
      </c>
      <c r="H4" s="81">
        <v>0.5104166666666666</v>
      </c>
      <c r="I4" s="52">
        <f>IFERROR(__xludf.DUMMYFUNCTION("""COMPUTED_VALUE"""),43775.0)</f>
        <v>43775</v>
      </c>
      <c r="J4" s="53">
        <f>IFERROR(__xludf.DUMMYFUNCTION("""COMPUTED_VALUE"""),0.5520833333333334)</f>
        <v>0.5520833333</v>
      </c>
      <c r="K4" s="53">
        <f t="shared" si="1"/>
        <v>0.04166666667</v>
      </c>
      <c r="L4" s="49" t="s">
        <v>240</v>
      </c>
      <c r="M4" s="49"/>
      <c r="N4" s="49"/>
      <c r="O4" s="48"/>
      <c r="P4" s="48"/>
      <c r="Q4" s="63"/>
    </row>
    <row r="5">
      <c r="A5" s="87" t="s">
        <v>491</v>
      </c>
      <c r="B5" s="62" t="s">
        <v>54</v>
      </c>
      <c r="C5" s="82" t="s">
        <v>443</v>
      </c>
      <c r="D5" s="49" t="s">
        <v>444</v>
      </c>
      <c r="E5" s="49" t="s">
        <v>445</v>
      </c>
      <c r="F5" s="49"/>
      <c r="G5" s="89">
        <v>43775.0</v>
      </c>
      <c r="H5" s="81">
        <v>0.59375</v>
      </c>
      <c r="I5" s="52">
        <f>IFERROR(__xludf.DUMMYFUNCTION("""COMPUTED_VALUE"""),43775.0)</f>
        <v>43775</v>
      </c>
      <c r="J5" s="53">
        <f>IFERROR(__xludf.DUMMYFUNCTION("""COMPUTED_VALUE"""),0.6354166666666666)</f>
        <v>0.6354166667</v>
      </c>
      <c r="K5" s="53">
        <f t="shared" si="1"/>
        <v>0.04166666667</v>
      </c>
      <c r="L5" s="49" t="s">
        <v>240</v>
      </c>
      <c r="M5" s="49"/>
      <c r="N5" s="49"/>
      <c r="O5" s="48"/>
      <c r="P5" s="48"/>
      <c r="Q5" s="63"/>
    </row>
    <row r="6">
      <c r="A6" s="87" t="s">
        <v>492</v>
      </c>
      <c r="B6" s="62" t="s">
        <v>54</v>
      </c>
      <c r="C6" s="88" t="s">
        <v>447</v>
      </c>
      <c r="D6" s="49" t="s">
        <v>445</v>
      </c>
      <c r="E6" s="49" t="s">
        <v>448</v>
      </c>
      <c r="F6" s="49"/>
      <c r="G6" s="89">
        <v>43775.0</v>
      </c>
      <c r="H6" s="81">
        <v>0.6354166666666666</v>
      </c>
      <c r="I6" s="52">
        <f>IFERROR(__xludf.DUMMYFUNCTION("""COMPUTED_VALUE"""),43775.0)</f>
        <v>43775</v>
      </c>
      <c r="J6" s="53">
        <f>IFERROR(__xludf.DUMMYFUNCTION("""COMPUTED_VALUE"""),0.6770833333333334)</f>
        <v>0.6770833333</v>
      </c>
      <c r="K6" s="53">
        <f t="shared" si="1"/>
        <v>0.04166666667</v>
      </c>
      <c r="L6" s="49" t="s">
        <v>240</v>
      </c>
      <c r="M6" s="49"/>
      <c r="N6" s="49"/>
      <c r="O6" s="48"/>
      <c r="P6" s="48"/>
      <c r="Q6" s="63"/>
    </row>
    <row r="7">
      <c r="A7" s="87" t="s">
        <v>492</v>
      </c>
      <c r="B7" s="62" t="s">
        <v>54</v>
      </c>
      <c r="C7" s="88" t="s">
        <v>450</v>
      </c>
      <c r="D7" s="49" t="s">
        <v>451</v>
      </c>
      <c r="E7" s="49" t="s">
        <v>452</v>
      </c>
      <c r="F7" s="49"/>
      <c r="G7" s="89">
        <v>43776.0</v>
      </c>
      <c r="H7" s="81">
        <v>0.4270833333333333</v>
      </c>
      <c r="I7" s="52">
        <f>IFERROR(__xludf.DUMMYFUNCTION("""COMPUTED_VALUE"""),43776.0)</f>
        <v>43776</v>
      </c>
      <c r="J7" s="53">
        <f>IFERROR(__xludf.DUMMYFUNCTION("""COMPUTED_VALUE"""),0.46875)</f>
        <v>0.46875</v>
      </c>
      <c r="K7" s="53">
        <f t="shared" si="1"/>
        <v>0.04166666667</v>
      </c>
      <c r="L7" s="49" t="s">
        <v>240</v>
      </c>
      <c r="M7" s="49"/>
      <c r="N7" s="49"/>
      <c r="O7" s="48"/>
      <c r="P7" s="48"/>
      <c r="Q7" s="63"/>
    </row>
    <row r="8">
      <c r="A8" s="87" t="s">
        <v>493</v>
      </c>
      <c r="B8" s="62" t="s">
        <v>54</v>
      </c>
      <c r="C8" s="88" t="s">
        <v>454</v>
      </c>
      <c r="D8" s="49" t="s">
        <v>452</v>
      </c>
      <c r="E8" s="49" t="s">
        <v>455</v>
      </c>
      <c r="F8" s="49"/>
      <c r="G8" s="90">
        <v>43776.0</v>
      </c>
      <c r="H8" s="81">
        <v>0.46875</v>
      </c>
      <c r="I8" s="52">
        <f>IFERROR(__xludf.DUMMYFUNCTION("""COMPUTED_VALUE"""),43776.0)</f>
        <v>43776</v>
      </c>
      <c r="J8" s="53">
        <f>IFERROR(__xludf.DUMMYFUNCTION("""COMPUTED_VALUE"""),0.5104166666666666)</f>
        <v>0.5104166667</v>
      </c>
      <c r="K8" s="53">
        <f t="shared" si="1"/>
        <v>0.04166666667</v>
      </c>
      <c r="L8" s="49" t="s">
        <v>240</v>
      </c>
      <c r="M8" s="49"/>
      <c r="N8" s="49"/>
      <c r="O8" s="48"/>
      <c r="P8" s="48"/>
      <c r="Q8" s="63"/>
    </row>
    <row r="9">
      <c r="A9" s="87" t="s">
        <v>494</v>
      </c>
      <c r="B9" s="62" t="s">
        <v>54</v>
      </c>
      <c r="C9" s="88" t="s">
        <v>457</v>
      </c>
      <c r="D9" s="49" t="s">
        <v>455</v>
      </c>
      <c r="E9" s="49" t="s">
        <v>458</v>
      </c>
      <c r="F9" s="49"/>
      <c r="G9" s="90">
        <v>43776.0</v>
      </c>
      <c r="H9" s="81">
        <v>0.5104166666666666</v>
      </c>
      <c r="I9" s="52">
        <f>IFERROR(__xludf.DUMMYFUNCTION("""COMPUTED_VALUE"""),43776.0)</f>
        <v>43776</v>
      </c>
      <c r="J9" s="53">
        <f>IFERROR(__xludf.DUMMYFUNCTION("""COMPUTED_VALUE"""),0.5520833333333334)</f>
        <v>0.5520833333</v>
      </c>
      <c r="K9" s="53">
        <f t="shared" si="1"/>
        <v>0.04166666667</v>
      </c>
      <c r="L9" s="49" t="s">
        <v>240</v>
      </c>
      <c r="M9" s="49"/>
      <c r="N9" s="49"/>
      <c r="O9" s="48"/>
      <c r="P9" s="48"/>
      <c r="Q9" s="63"/>
    </row>
    <row r="10">
      <c r="A10" s="87" t="s">
        <v>495</v>
      </c>
      <c r="B10" s="62" t="s">
        <v>54</v>
      </c>
      <c r="C10" s="88" t="s">
        <v>461</v>
      </c>
      <c r="D10" s="49" t="s">
        <v>462</v>
      </c>
      <c r="E10" s="49" t="s">
        <v>463</v>
      </c>
      <c r="F10" s="49"/>
      <c r="G10" s="90">
        <v>43776.0</v>
      </c>
      <c r="H10" s="71">
        <v>0.59375</v>
      </c>
      <c r="I10" s="52">
        <f>IFERROR(__xludf.DUMMYFUNCTION("""COMPUTED_VALUE"""),43776.0)</f>
        <v>43776</v>
      </c>
      <c r="J10" s="53">
        <f>IFERROR(__xludf.DUMMYFUNCTION("""COMPUTED_VALUE"""),0.6354166666666666)</f>
        <v>0.6354166667</v>
      </c>
      <c r="K10" s="53">
        <f t="shared" si="1"/>
        <v>0.04166666667</v>
      </c>
      <c r="L10" s="49" t="s">
        <v>240</v>
      </c>
      <c r="M10" s="49"/>
      <c r="N10" s="49"/>
      <c r="O10" s="48"/>
      <c r="P10" s="48"/>
      <c r="Q10" s="63"/>
    </row>
    <row r="11">
      <c r="A11" s="87" t="s">
        <v>496</v>
      </c>
      <c r="B11" s="62" t="s">
        <v>54</v>
      </c>
      <c r="C11" s="88" t="s">
        <v>465</v>
      </c>
      <c r="D11" s="49" t="s">
        <v>463</v>
      </c>
      <c r="E11" s="49" t="s">
        <v>466</v>
      </c>
      <c r="F11" s="49"/>
      <c r="G11" s="90">
        <v>43776.0</v>
      </c>
      <c r="H11" s="81">
        <v>0.6354166666666666</v>
      </c>
      <c r="I11" s="52">
        <f>IFERROR(__xludf.DUMMYFUNCTION("""COMPUTED_VALUE"""),43776.0)</f>
        <v>43776</v>
      </c>
      <c r="J11" s="53">
        <f>IFERROR(__xludf.DUMMYFUNCTION("""COMPUTED_VALUE"""),0.6770833333333334)</f>
        <v>0.6770833333</v>
      </c>
      <c r="K11" s="53">
        <f t="shared" si="1"/>
        <v>0.04166666667</v>
      </c>
      <c r="L11" s="49" t="s">
        <v>240</v>
      </c>
      <c r="M11" s="49"/>
      <c r="N11" s="49"/>
      <c r="O11" s="48"/>
      <c r="P11" s="48"/>
      <c r="Q11" s="63"/>
    </row>
    <row r="12">
      <c r="A12" s="87" t="s">
        <v>497</v>
      </c>
      <c r="B12" s="62" t="s">
        <v>54</v>
      </c>
      <c r="C12" s="88" t="s">
        <v>470</v>
      </c>
      <c r="D12" s="49" t="s">
        <v>466</v>
      </c>
      <c r="E12" s="49" t="s">
        <v>471</v>
      </c>
      <c r="F12" s="49"/>
      <c r="G12" s="90">
        <v>43776.0</v>
      </c>
      <c r="H12" s="81">
        <v>0.6770833333333334</v>
      </c>
      <c r="I12" s="52">
        <f>IFERROR(__xludf.DUMMYFUNCTION("""COMPUTED_VALUE"""),43776.0)</f>
        <v>43776</v>
      </c>
      <c r="J12" s="53">
        <f>IFERROR(__xludf.DUMMYFUNCTION("""COMPUTED_VALUE"""),0.71875)</f>
        <v>0.71875</v>
      </c>
      <c r="K12" s="53">
        <f t="shared" si="1"/>
        <v>0.04166666667</v>
      </c>
      <c r="L12" s="49" t="s">
        <v>240</v>
      </c>
      <c r="M12" s="49"/>
      <c r="N12" s="49"/>
      <c r="O12" s="48"/>
      <c r="P12" s="48"/>
      <c r="Q12" s="63"/>
    </row>
  </sheetData>
  <conditionalFormatting sqref="O2:O12">
    <cfRule type="containsText" dxfId="4" priority="1" operator="containsText" text="YES">
      <formula>NOT(ISERROR(SEARCH(("YES"),(O2))))</formula>
    </cfRule>
  </conditionalFormatting>
  <conditionalFormatting sqref="O2:O12">
    <cfRule type="cellIs" dxfId="5" priority="2" operator="equal">
      <formula>"NO"</formula>
    </cfRule>
  </conditionalFormatting>
  <conditionalFormatting sqref="P2:P12">
    <cfRule type="cellIs" dxfId="4" priority="3" operator="equal">
      <formula>"AVAILABLE"</formula>
    </cfRule>
  </conditionalFormatting>
  <conditionalFormatting sqref="P2:P12">
    <cfRule type="cellIs" dxfId="5" priority="4" operator="equal">
      <formula>"NOT AVAILABLE"</formula>
    </cfRule>
  </conditionalFormatting>
  <conditionalFormatting sqref="Q2:Q12">
    <cfRule type="cellIs" dxfId="4" priority="5" operator="equal">
      <formula>"AVAILABLE"</formula>
    </cfRule>
  </conditionalFormatting>
  <conditionalFormatting sqref="Q2:Q12">
    <cfRule type="cellIs" dxfId="6" priority="6" operator="equal">
      <formula>"UPLOADING"</formula>
    </cfRule>
  </conditionalFormatting>
  <conditionalFormatting sqref="Q2:Q12">
    <cfRule type="cellIs" dxfId="5" priority="7" operator="equal">
      <formula>"NOT AVAILABLE"</formula>
    </cfRule>
  </conditionalFormatting>
  <dataValidations>
    <dataValidation type="list" allowBlank="1" sqref="O2:O12">
      <formula1>"YES,NO"</formula1>
    </dataValidation>
    <dataValidation type="list" allowBlank="1" sqref="P2:P12">
      <formula1>"AVAILABLE,NOT AVAILABLE"</formula1>
    </dataValidation>
    <dataValidation type="list" allowBlank="1" sqref="Q2:Q12">
      <formula1>"AVAILABLE,UPLOADING,NOT AVAILABLE"</formula1>
    </dataValidation>
  </dataValidations>
  <drawing r:id="rId1"/>
  <tableParts count="1">
    <tablePart r:id="rId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3.43"/>
    <col customWidth="1" min="3" max="3" width="26.43"/>
    <col hidden="1" min="4" max="5" width="14.43"/>
    <col customWidth="1" min="6" max="6" width="36.0"/>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'planet:tech ' ORDER BY F"")"),"Opening remarks")</f>
        <v>Opening remarks</v>
      </c>
      <c r="B2" s="49" t="str">
        <f>IFERROR(__xludf.DUMMYFUNCTION("""COMPUTED_VALUE"""),"planet:tech ")</f>
        <v>planet:tech </v>
      </c>
      <c r="C2" s="51" t="str">
        <f>IFERROR(__xludf.DUMMYFUNCTION("""COMPUTED_VALUE"""),"Caroline Venza")</f>
        <v>Caroline Venza</v>
      </c>
      <c r="D2" s="49" t="str">
        <f>IFERROR(__xludf.DUMMYFUNCTION("""COMPUTED_VALUE"""),"2019/11/05 11:00:00")</f>
        <v>2019/11/05 11:00:00</v>
      </c>
      <c r="E2" s="49" t="str">
        <f>IFERROR(__xludf.DUMMYFUNCTION("""COMPUTED_VALUE"""),"2019/11/05 11:15:00")</f>
        <v>2019/11/05 11:15:00</v>
      </c>
      <c r="F2" s="49" t="str">
        <f>IFERROR(__xludf.DUMMYFUNCTION("""COMPUTED_VALUE"""),"5b65234e-3e3a-41f0-afa8-337f56ecef08")</f>
        <v>5b65234e-3e3a-41f0-afa8-337f56ecef08</v>
      </c>
      <c r="G2" s="54">
        <f>IFERROR(__xludf.DUMMYFUNCTION("ARRAYFORMULA(SPLIT(D2:D24,"" ""))"),43774.0)</f>
        <v>43774</v>
      </c>
      <c r="H2" s="53">
        <f>IFERROR(__xludf.DUMMYFUNCTION("""COMPUTED_VALUE"""),0.4583333333333333)</f>
        <v>0.4583333333</v>
      </c>
      <c r="I2" s="54">
        <f>IFERROR(__xludf.DUMMYFUNCTION("ARRAYFORMULA(SPLIT(E2:E24,"" ""))"),43774.0)</f>
        <v>43774</v>
      </c>
      <c r="J2" s="53">
        <f>IFERROR(__xludf.DUMMYFUNCTION("""COMPUTED_VALUE"""),0.46875)</f>
        <v>0.46875</v>
      </c>
      <c r="K2" s="53">
        <f t="shared" ref="K2:K23" si="1">J2-H2</f>
        <v>0.01041666667</v>
      </c>
      <c r="L2" s="50" t="str">
        <f t="array" ref="L2:L24">TEXT(K2:K24,"hhmmss")</f>
        <v>001500</v>
      </c>
      <c r="M2" s="62" t="s">
        <v>498</v>
      </c>
      <c r="N2" s="62" t="str">
        <f t="shared" ref="N2:N16" si="2">CONCATENATE(M2,"_",F2,"_","000000_000000.mp4")</f>
        <v>PT_5_1_5b65234e-3e3a-41f0-afa8-337f56ecef08_000000_000000.mp4</v>
      </c>
      <c r="O2" s="48"/>
      <c r="P2" s="48"/>
      <c r="Q2" s="63"/>
      <c r="R2" s="49"/>
      <c r="S2" s="49"/>
      <c r="T2" s="49"/>
    </row>
    <row r="3">
      <c r="A3" s="49" t="str">
        <f>IFERROR(__xludf.DUMMYFUNCTION("""COMPUTED_VALUE"""),"Planes, trains and automobiles: How can we travel sustainably?")</f>
        <v>Planes, trains and automobiles: How can we travel sustainably?</v>
      </c>
      <c r="B3" s="49" t="str">
        <f>IFERROR(__xludf.DUMMYFUNCTION("""COMPUTED_VALUE"""),"planet:tech ")</f>
        <v>planet:tech </v>
      </c>
      <c r="C3" s="51" t="str">
        <f>IFERROR(__xludf.DUMMYFUNCTION("""COMPUTED_VALUE"""),"Sandra Bour Schaeffer, Kevin Conrad and Isabel Hilton")</f>
        <v>Sandra Bour Schaeffer, Kevin Conrad and Isabel Hilton</v>
      </c>
      <c r="D3" s="49" t="str">
        <f>IFERROR(__xludf.DUMMYFUNCTION("""COMPUTED_VALUE"""),"2019/11/05 11:15:00")</f>
        <v>2019/11/05 11:15:00</v>
      </c>
      <c r="E3" s="49" t="str">
        <f>IFERROR(__xludf.DUMMYFUNCTION("""COMPUTED_VALUE"""),"2019/11/05 11:35:00")</f>
        <v>2019/11/05 11:35:00</v>
      </c>
      <c r="F3" s="49" t="str">
        <f>IFERROR(__xludf.DUMMYFUNCTION("""COMPUTED_VALUE"""),"2f86e340-455b-4cf1-9ed1-dc5369aabb73")</f>
        <v>2f86e340-455b-4cf1-9ed1-dc5369aabb73</v>
      </c>
      <c r="G3" s="52">
        <f>IFERROR(__xludf.DUMMYFUNCTION("""COMPUTED_VALUE"""),43774.0)</f>
        <v>43774</v>
      </c>
      <c r="H3" s="53">
        <f>IFERROR(__xludf.DUMMYFUNCTION("""COMPUTED_VALUE"""),0.46875)</f>
        <v>0.46875</v>
      </c>
      <c r="I3" s="52">
        <f>IFERROR(__xludf.DUMMYFUNCTION("""COMPUTED_VALUE"""),43774.0)</f>
        <v>43774</v>
      </c>
      <c r="J3" s="53">
        <f>IFERROR(__xludf.DUMMYFUNCTION("""COMPUTED_VALUE"""),0.4826388888888889)</f>
        <v>0.4826388889</v>
      </c>
      <c r="K3" s="53">
        <f t="shared" si="1"/>
        <v>0.01388888889</v>
      </c>
      <c r="L3" s="49" t="s">
        <v>109</v>
      </c>
      <c r="M3" s="62" t="s">
        <v>499</v>
      </c>
      <c r="N3" s="62" t="str">
        <f t="shared" si="2"/>
        <v>PT_5_2_2f86e340-455b-4cf1-9ed1-dc5369aabb73_000000_000000.mp4</v>
      </c>
      <c r="O3" s="48"/>
      <c r="P3" s="48"/>
      <c r="Q3" s="63"/>
      <c r="R3" s="49"/>
      <c r="S3" s="49"/>
      <c r="T3" s="49"/>
    </row>
    <row r="4">
      <c r="A4" s="49" t="str">
        <f>IFERROR(__xludf.DUMMYFUNCTION("""COMPUTED_VALUE"""),"Are we facing water wars?")</f>
        <v>Are we facing water wars?</v>
      </c>
      <c r="B4" s="49" t="str">
        <f>IFERROR(__xludf.DUMMYFUNCTION("""COMPUTED_VALUE"""),"planet:tech ")</f>
        <v>planet:tech </v>
      </c>
      <c r="C4" s="51" t="str">
        <f>IFERROR(__xludf.DUMMYFUNCTION("""COMPUTED_VALUE"""),"Paul O'Callaghan, Drew Fitzgerald, Jay Iyengar and Tom Finn")</f>
        <v>Paul O'Callaghan, Drew Fitzgerald, Jay Iyengar and Tom Finn</v>
      </c>
      <c r="D4" s="49" t="str">
        <f>IFERROR(__xludf.DUMMYFUNCTION("""COMPUTED_VALUE"""),"2019/11/05 11:35:00")</f>
        <v>2019/11/05 11:35:00</v>
      </c>
      <c r="E4" s="49" t="str">
        <f>IFERROR(__xludf.DUMMYFUNCTION("""COMPUTED_VALUE"""),"2019/11/05 12:00:00")</f>
        <v>2019/11/05 12:00:00</v>
      </c>
      <c r="F4" s="49" t="str">
        <f>IFERROR(__xludf.DUMMYFUNCTION("""COMPUTED_VALUE"""),"2e4653af-79b7-4112-a60a-b02ca569ebaa")</f>
        <v>2e4653af-79b7-4112-a60a-b02ca569ebaa</v>
      </c>
      <c r="G4" s="52">
        <f>IFERROR(__xludf.DUMMYFUNCTION("""COMPUTED_VALUE"""),43774.0)</f>
        <v>43774</v>
      </c>
      <c r="H4" s="53">
        <f>IFERROR(__xludf.DUMMYFUNCTION("""COMPUTED_VALUE"""),0.4826388888888889)</f>
        <v>0.4826388889</v>
      </c>
      <c r="I4" s="52">
        <f>IFERROR(__xludf.DUMMYFUNCTION("""COMPUTED_VALUE"""),43774.0)</f>
        <v>43774</v>
      </c>
      <c r="J4" s="53">
        <f>IFERROR(__xludf.DUMMYFUNCTION("""COMPUTED_VALUE"""),0.5)</f>
        <v>0.5</v>
      </c>
      <c r="K4" s="53">
        <f t="shared" si="1"/>
        <v>0.01736111111</v>
      </c>
      <c r="L4" s="49" t="s">
        <v>111</v>
      </c>
      <c r="M4" s="62" t="s">
        <v>500</v>
      </c>
      <c r="N4" s="62" t="str">
        <f t="shared" si="2"/>
        <v>PT_5_3_2e4653af-79b7-4112-a60a-b02ca569ebaa_000000_000000.mp4</v>
      </c>
      <c r="O4" s="48"/>
      <c r="P4" s="48"/>
      <c r="Q4" s="63"/>
      <c r="R4" s="49"/>
      <c r="S4" s="49"/>
      <c r="T4" s="49"/>
    </row>
    <row r="5">
      <c r="A5" s="49" t="str">
        <f>IFERROR(__xludf.DUMMYFUNCTION("""COMPUTED_VALUE"""),"Secrecy is outdated, co-operation is key")</f>
        <v>Secrecy is outdated, co-operation is key</v>
      </c>
      <c r="B5" s="49" t="str">
        <f>IFERROR(__xludf.DUMMYFUNCTION("""COMPUTED_VALUE"""),"planet:tech ")</f>
        <v>planet:tech </v>
      </c>
      <c r="C5" s="51" t="str">
        <f>IFERROR(__xludf.DUMMYFUNCTION("""COMPUTED_VALUE"""),"António Mexia and Neanda Salvaterra")</f>
        <v>António Mexia and Neanda Salvaterra</v>
      </c>
      <c r="D5" s="49" t="str">
        <f>IFERROR(__xludf.DUMMYFUNCTION("""COMPUTED_VALUE"""),"2019/11/05 12:00:00")</f>
        <v>2019/11/05 12:00:00</v>
      </c>
      <c r="E5" s="49" t="str">
        <f>IFERROR(__xludf.DUMMYFUNCTION("""COMPUTED_VALUE"""),"2019/11/05 12:20:00")</f>
        <v>2019/11/05 12:20:00</v>
      </c>
      <c r="F5" s="49" t="str">
        <f>IFERROR(__xludf.DUMMYFUNCTION("""COMPUTED_VALUE"""),"d86e7814-758d-42f3-a2c6-c4ac9fe0d2c4")</f>
        <v>d86e7814-758d-42f3-a2c6-c4ac9fe0d2c4</v>
      </c>
      <c r="G5" s="52">
        <f>IFERROR(__xludf.DUMMYFUNCTION("""COMPUTED_VALUE"""),43774.0)</f>
        <v>43774</v>
      </c>
      <c r="H5" s="53">
        <f>IFERROR(__xludf.DUMMYFUNCTION("""COMPUTED_VALUE"""),0.5)</f>
        <v>0.5</v>
      </c>
      <c r="I5" s="52">
        <f>IFERROR(__xludf.DUMMYFUNCTION("""COMPUTED_VALUE"""),43774.0)</f>
        <v>43774</v>
      </c>
      <c r="J5" s="53">
        <f>IFERROR(__xludf.DUMMYFUNCTION("""COMPUTED_VALUE"""),0.5138888888888888)</f>
        <v>0.5138888889</v>
      </c>
      <c r="K5" s="53">
        <f t="shared" si="1"/>
        <v>0.01388888889</v>
      </c>
      <c r="L5" s="49" t="s">
        <v>109</v>
      </c>
      <c r="M5" s="62" t="s">
        <v>501</v>
      </c>
      <c r="N5" s="62" t="str">
        <f t="shared" si="2"/>
        <v>PT_5_4_d86e7814-758d-42f3-a2c6-c4ac9fe0d2c4_000000_000000.mp4</v>
      </c>
      <c r="O5" s="48"/>
      <c r="P5" s="48"/>
      <c r="Q5" s="63"/>
      <c r="R5" s="49"/>
      <c r="S5" s="49"/>
      <c r="T5" s="49"/>
    </row>
    <row r="6">
      <c r="A6" s="49" t="str">
        <f>IFERROR(__xludf.DUMMYFUNCTION("""COMPUTED_VALUE"""),"The will of the people: Why ground support matters")</f>
        <v>The will of the people: Why ground support matters</v>
      </c>
      <c r="B6" s="49" t="str">
        <f>IFERROR(__xludf.DUMMYFUNCTION("""COMPUTED_VALUE"""),"planet:tech ")</f>
        <v>planet:tech </v>
      </c>
      <c r="C6" s="51" t="str">
        <f>IFERROR(__xludf.DUMMYFUNCTION("""COMPUTED_VALUE"""),"Vanessa Wright, Dianna Cohen and Isabel Hilton")</f>
        <v>Vanessa Wright, Dianna Cohen and Isabel Hilton</v>
      </c>
      <c r="D6" s="49" t="str">
        <f>IFERROR(__xludf.DUMMYFUNCTION("""COMPUTED_VALUE"""),"2019/11/05 12:20:00")</f>
        <v>2019/11/05 12:20:00</v>
      </c>
      <c r="E6" s="49" t="str">
        <f>IFERROR(__xludf.DUMMYFUNCTION("""COMPUTED_VALUE"""),"2019/11/05 12:40:00")</f>
        <v>2019/11/05 12:40:00</v>
      </c>
      <c r="F6" s="49" t="str">
        <f>IFERROR(__xludf.DUMMYFUNCTION("""COMPUTED_VALUE"""),"ac40ee0d-7d6b-4666-8e6b-e529edad2cc1")</f>
        <v>ac40ee0d-7d6b-4666-8e6b-e529edad2cc1</v>
      </c>
      <c r="G6" s="52">
        <f>IFERROR(__xludf.DUMMYFUNCTION("""COMPUTED_VALUE"""),43774.0)</f>
        <v>43774</v>
      </c>
      <c r="H6" s="53">
        <f>IFERROR(__xludf.DUMMYFUNCTION("""COMPUTED_VALUE"""),0.5138888888888888)</f>
        <v>0.5138888889</v>
      </c>
      <c r="I6" s="52">
        <f>IFERROR(__xludf.DUMMYFUNCTION("""COMPUTED_VALUE"""),43774.0)</f>
        <v>43774</v>
      </c>
      <c r="J6" s="53">
        <f>IFERROR(__xludf.DUMMYFUNCTION("""COMPUTED_VALUE"""),0.5277777777777778)</f>
        <v>0.5277777778</v>
      </c>
      <c r="K6" s="53">
        <f t="shared" si="1"/>
        <v>0.01388888889</v>
      </c>
      <c r="L6" s="49" t="s">
        <v>109</v>
      </c>
      <c r="M6" s="62" t="s">
        <v>502</v>
      </c>
      <c r="N6" s="62" t="str">
        <f t="shared" si="2"/>
        <v>PT_5_5_ac40ee0d-7d6b-4666-8e6b-e529edad2cc1_000000_000000.mp4</v>
      </c>
      <c r="O6" s="48"/>
      <c r="P6" s="48"/>
      <c r="Q6" s="63"/>
      <c r="R6" s="49"/>
      <c r="S6" s="49"/>
      <c r="T6" s="49"/>
    </row>
    <row r="7">
      <c r="A7" s="49" t="str">
        <f>IFERROR(__xludf.DUMMYFUNCTION("""COMPUTED_VALUE"""),"Plates and the planet: How to eco-feed the world")</f>
        <v>Plates and the planet: How to eco-feed the world</v>
      </c>
      <c r="B7" s="49" t="str">
        <f>IFERROR(__xludf.DUMMYFUNCTION("""COMPUTED_VALUE"""),"planet:tech ")</f>
        <v>planet:tech </v>
      </c>
      <c r="C7" s="51" t="str">
        <f>IFERROR(__xludf.DUMMYFUNCTION("""COMPUTED_VALUE"""),"Vandana Tilak, Antoine Hubert and Britta Muzyk-Tikovsky")</f>
        <v>Vandana Tilak, Antoine Hubert and Britta Muzyk-Tikovsky</v>
      </c>
      <c r="D7" s="49" t="str">
        <f>IFERROR(__xludf.DUMMYFUNCTION("""COMPUTED_VALUE"""),"2019/11/05 12:40:00")</f>
        <v>2019/11/05 12:40:00</v>
      </c>
      <c r="E7" s="49" t="str">
        <f>IFERROR(__xludf.DUMMYFUNCTION("""COMPUTED_VALUE"""),"2019/11/05 13:00:00")</f>
        <v>2019/11/05 13:00:00</v>
      </c>
      <c r="F7" s="49" t="str">
        <f>IFERROR(__xludf.DUMMYFUNCTION("""COMPUTED_VALUE"""),"b3fbc724-3198-4122-9152-6129bb60765e")</f>
        <v>b3fbc724-3198-4122-9152-6129bb60765e</v>
      </c>
      <c r="G7" s="52">
        <f>IFERROR(__xludf.DUMMYFUNCTION("""COMPUTED_VALUE"""),43774.0)</f>
        <v>43774</v>
      </c>
      <c r="H7" s="53">
        <f>IFERROR(__xludf.DUMMYFUNCTION("""COMPUTED_VALUE"""),0.5277777777777778)</f>
        <v>0.5277777778</v>
      </c>
      <c r="I7" s="52">
        <f>IFERROR(__xludf.DUMMYFUNCTION("""COMPUTED_VALUE"""),43774.0)</f>
        <v>43774</v>
      </c>
      <c r="J7" s="53">
        <f>IFERROR(__xludf.DUMMYFUNCTION("""COMPUTED_VALUE"""),0.5416666666666666)</f>
        <v>0.5416666667</v>
      </c>
      <c r="K7" s="53">
        <f t="shared" si="1"/>
        <v>0.01388888889</v>
      </c>
      <c r="L7" s="49" t="s">
        <v>109</v>
      </c>
      <c r="M7" s="62" t="s">
        <v>503</v>
      </c>
      <c r="N7" s="62" t="str">
        <f t="shared" si="2"/>
        <v>PT_5_6_b3fbc724-3198-4122-9152-6129bb60765e_000000_000000.mp4</v>
      </c>
      <c r="O7" s="48"/>
      <c r="P7" s="48"/>
      <c r="Q7" s="63"/>
      <c r="R7" s="49"/>
      <c r="S7" s="49"/>
      <c r="T7" s="49"/>
    </row>
    <row r="8">
      <c r="A8" s="49" t="str">
        <f>IFERROR(__xludf.DUMMYFUNCTION("""COMPUTED_VALUE"""),"On the frontlines of extinction")</f>
        <v>On the frontlines of extinction</v>
      </c>
      <c r="B8" s="49" t="str">
        <f>IFERROR(__xludf.DUMMYFUNCTION("""COMPUTED_VALUE"""),"planet:tech ")</f>
        <v>planet:tech </v>
      </c>
      <c r="C8" s="51" t="str">
        <f>IFERROR(__xludf.DUMMYFUNCTION("""COMPUTED_VALUE"""),"Farwiza Farhan, Christian Kroll and Isabel Hilton")</f>
        <v>Farwiza Farhan, Christian Kroll and Isabel Hilton</v>
      </c>
      <c r="D8" s="49" t="str">
        <f>IFERROR(__xludf.DUMMYFUNCTION("""COMPUTED_VALUE"""),"2019/11/05 13:00:00")</f>
        <v>2019/11/05 13:00:00</v>
      </c>
      <c r="E8" s="49" t="str">
        <f>IFERROR(__xludf.DUMMYFUNCTION("""COMPUTED_VALUE"""),"2019/11/05 13:20:00")</f>
        <v>2019/11/05 13:20:00</v>
      </c>
      <c r="F8" s="49" t="str">
        <f>IFERROR(__xludf.DUMMYFUNCTION("""COMPUTED_VALUE"""),"a6e97ed7-c70b-4104-9dc9-7f1596ffe118")</f>
        <v>a6e97ed7-c70b-4104-9dc9-7f1596ffe118</v>
      </c>
      <c r="G8" s="52">
        <f>IFERROR(__xludf.DUMMYFUNCTION("""COMPUTED_VALUE"""),43774.0)</f>
        <v>43774</v>
      </c>
      <c r="H8" s="53">
        <f>IFERROR(__xludf.DUMMYFUNCTION("""COMPUTED_VALUE"""),0.5416666666666666)</f>
        <v>0.5416666667</v>
      </c>
      <c r="I8" s="52">
        <f>IFERROR(__xludf.DUMMYFUNCTION("""COMPUTED_VALUE"""),43774.0)</f>
        <v>43774</v>
      </c>
      <c r="J8" s="53">
        <f>IFERROR(__xludf.DUMMYFUNCTION("""COMPUTED_VALUE"""),0.5555555555555556)</f>
        <v>0.5555555556</v>
      </c>
      <c r="K8" s="53">
        <f t="shared" si="1"/>
        <v>0.01388888889</v>
      </c>
      <c r="L8" s="49" t="s">
        <v>109</v>
      </c>
      <c r="M8" s="62" t="s">
        <v>504</v>
      </c>
      <c r="N8" s="62" t="str">
        <f t="shared" si="2"/>
        <v>PT_5_7_a6e97ed7-c70b-4104-9dc9-7f1596ffe118_000000_000000.mp4</v>
      </c>
      <c r="O8" s="48"/>
      <c r="P8" s="48"/>
      <c r="Q8" s="63"/>
      <c r="R8" s="49"/>
      <c r="S8" s="49"/>
      <c r="T8" s="49"/>
    </row>
    <row r="9">
      <c r="A9" s="49" t="str">
        <f>IFERROR(__xludf.DUMMYFUNCTION("""COMPUTED_VALUE"""),"How homes can help")</f>
        <v>How homes can help</v>
      </c>
      <c r="B9" s="49" t="str">
        <f>IFERROR(__xludf.DUMMYFUNCTION("""COMPUTED_VALUE"""),"planet:tech ")</f>
        <v>planet:tech </v>
      </c>
      <c r="C9" s="51" t="str">
        <f>IFERROR(__xludf.DUMMYFUNCTION("""COMPUTED_VALUE"""),"Toon Bouten")</f>
        <v>Toon Bouten</v>
      </c>
      <c r="D9" s="49" t="str">
        <f>IFERROR(__xludf.DUMMYFUNCTION("""COMPUTED_VALUE"""),"2019/11/05 13:20:00")</f>
        <v>2019/11/05 13:20:00</v>
      </c>
      <c r="E9" s="49" t="str">
        <f>IFERROR(__xludf.DUMMYFUNCTION("""COMPUTED_VALUE"""),"2019/11/05 13:35:00")</f>
        <v>2019/11/05 13:35:00</v>
      </c>
      <c r="F9" s="49" t="str">
        <f>IFERROR(__xludf.DUMMYFUNCTION("""COMPUTED_VALUE"""),"4a29cc9a-086f-41c4-9e76-896372714897")</f>
        <v>4a29cc9a-086f-41c4-9e76-896372714897</v>
      </c>
      <c r="G9" s="52">
        <f>IFERROR(__xludf.DUMMYFUNCTION("""COMPUTED_VALUE"""),43774.0)</f>
        <v>43774</v>
      </c>
      <c r="H9" s="53">
        <f>IFERROR(__xludf.DUMMYFUNCTION("""COMPUTED_VALUE"""),0.5555555555555556)</f>
        <v>0.5555555556</v>
      </c>
      <c r="I9" s="52">
        <f>IFERROR(__xludf.DUMMYFUNCTION("""COMPUTED_VALUE"""),43774.0)</f>
        <v>43774</v>
      </c>
      <c r="J9" s="53">
        <f>IFERROR(__xludf.DUMMYFUNCTION("""COMPUTED_VALUE"""),0.5659722222222222)</f>
        <v>0.5659722222</v>
      </c>
      <c r="K9" s="53">
        <f t="shared" si="1"/>
        <v>0.01041666667</v>
      </c>
      <c r="L9" s="49" t="s">
        <v>118</v>
      </c>
      <c r="M9" s="62" t="s">
        <v>505</v>
      </c>
      <c r="N9" s="62" t="str">
        <f t="shared" si="2"/>
        <v>PT_5_8_4a29cc9a-086f-41c4-9e76-896372714897_000000_000000.mp4</v>
      </c>
      <c r="O9" s="48"/>
      <c r="P9" s="48"/>
      <c r="Q9" s="63"/>
      <c r="R9" s="49"/>
      <c r="S9" s="49"/>
      <c r="T9" s="49"/>
    </row>
    <row r="10">
      <c r="A10" s="49" t="str">
        <f>IFERROR(__xludf.DUMMYFUNCTION("""COMPUTED_VALUE"""),"Lunch break")</f>
        <v>Lunch break</v>
      </c>
      <c r="B10" s="49" t="str">
        <f>IFERROR(__xludf.DUMMYFUNCTION("""COMPUTED_VALUE"""),"planet:tech ")</f>
        <v>planet:tech </v>
      </c>
      <c r="C10" s="51" t="str">
        <f>IFERROR(__xludf.DUMMYFUNCTION("""COMPUTED_VALUE"""),"")</f>
        <v/>
      </c>
      <c r="D10" s="49" t="str">
        <f>IFERROR(__xludf.DUMMYFUNCTION("""COMPUTED_VALUE"""),"2019/11/05 13:35:00")</f>
        <v>2019/11/05 13:35:00</v>
      </c>
      <c r="E10" s="49" t="str">
        <f>IFERROR(__xludf.DUMMYFUNCTION("""COMPUTED_VALUE"""),"2019/11/05 14:20:00")</f>
        <v>2019/11/05 14:20:00</v>
      </c>
      <c r="F10" s="49" t="str">
        <f>IFERROR(__xludf.DUMMYFUNCTION("""COMPUTED_VALUE"""),"cc585030-8f90-4f8b-a842-928423188fc9")</f>
        <v>cc585030-8f90-4f8b-a842-928423188fc9</v>
      </c>
      <c r="G10" s="52">
        <f>IFERROR(__xludf.DUMMYFUNCTION("""COMPUTED_VALUE"""),43774.0)</f>
        <v>43774</v>
      </c>
      <c r="H10" s="53">
        <f>IFERROR(__xludf.DUMMYFUNCTION("""COMPUTED_VALUE"""),0.5659722222222222)</f>
        <v>0.5659722222</v>
      </c>
      <c r="I10" s="52">
        <f>IFERROR(__xludf.DUMMYFUNCTION("""COMPUTED_VALUE"""),43774.0)</f>
        <v>43774</v>
      </c>
      <c r="J10" s="53">
        <f>IFERROR(__xludf.DUMMYFUNCTION("""COMPUTED_VALUE"""),0.5972222222222222)</f>
        <v>0.5972222222</v>
      </c>
      <c r="K10" s="53">
        <f t="shared" si="1"/>
        <v>0.03125</v>
      </c>
      <c r="L10" s="49" t="s">
        <v>127</v>
      </c>
      <c r="M10" s="49"/>
      <c r="N10" s="62" t="str">
        <f t="shared" si="2"/>
        <v>_cc585030-8f90-4f8b-a842-928423188fc9_000000_000000.mp4</v>
      </c>
      <c r="O10" s="48"/>
      <c r="P10" s="48"/>
      <c r="Q10" s="63"/>
      <c r="R10" s="49"/>
      <c r="S10" s="49"/>
      <c r="T10" s="49"/>
    </row>
    <row r="11">
      <c r="A11" s="49" t="str">
        <f>IFERROR(__xludf.DUMMYFUNCTION("""COMPUTED_VALUE"""),"Opening remarks")</f>
        <v>Opening remarks</v>
      </c>
      <c r="B11" s="49" t="str">
        <f>IFERROR(__xludf.DUMMYFUNCTION("""COMPUTED_VALUE"""),"planet:tech ")</f>
        <v>planet:tech </v>
      </c>
      <c r="C11" s="51" t="str">
        <f>IFERROR(__xludf.DUMMYFUNCTION("""COMPUTED_VALUE"""),"Caroline Venza")</f>
        <v>Caroline Venza</v>
      </c>
      <c r="D11" s="49" t="str">
        <f>IFERROR(__xludf.DUMMYFUNCTION("""COMPUTED_VALUE"""),"2019/11/05 14:20:00")</f>
        <v>2019/11/05 14:20:00</v>
      </c>
      <c r="E11" s="49" t="str">
        <f>IFERROR(__xludf.DUMMYFUNCTION("""COMPUTED_VALUE"""),"2019/11/05 14:35:00")</f>
        <v>2019/11/05 14:35:00</v>
      </c>
      <c r="F11" s="49" t="str">
        <f>IFERROR(__xludf.DUMMYFUNCTION("""COMPUTED_VALUE"""),"a31a5083-bf9c-4ad9-a8ea-fe20e825f116")</f>
        <v>a31a5083-bf9c-4ad9-a8ea-fe20e825f116</v>
      </c>
      <c r="G11" s="52">
        <f>IFERROR(__xludf.DUMMYFUNCTION("""COMPUTED_VALUE"""),43774.0)</f>
        <v>43774</v>
      </c>
      <c r="H11" s="53">
        <f>IFERROR(__xludf.DUMMYFUNCTION("""COMPUTED_VALUE"""),0.5972222222222222)</f>
        <v>0.5972222222</v>
      </c>
      <c r="I11" s="52">
        <f>IFERROR(__xludf.DUMMYFUNCTION("""COMPUTED_VALUE"""),43774.0)</f>
        <v>43774</v>
      </c>
      <c r="J11" s="53">
        <f>IFERROR(__xludf.DUMMYFUNCTION("""COMPUTED_VALUE"""),0.6076388888888888)</f>
        <v>0.6076388889</v>
      </c>
      <c r="K11" s="53">
        <f t="shared" si="1"/>
        <v>0.01041666667</v>
      </c>
      <c r="L11" s="49" t="s">
        <v>118</v>
      </c>
      <c r="M11" s="62" t="s">
        <v>506</v>
      </c>
      <c r="N11" s="62" t="str">
        <f t="shared" si="2"/>
        <v>PT_5_9_a31a5083-bf9c-4ad9-a8ea-fe20e825f116_000000_000000.mp4</v>
      </c>
      <c r="O11" s="48"/>
      <c r="P11" s="48"/>
      <c r="Q11" s="63"/>
      <c r="R11" s="49"/>
      <c r="S11" s="49"/>
      <c r="T11" s="49"/>
    </row>
    <row r="12">
      <c r="A12" s="49" t="str">
        <f>IFERROR(__xludf.DUMMYFUNCTION("""COMPUTED_VALUE"""),"Net-zero, now achievable")</f>
        <v>Net-zero, now achievable</v>
      </c>
      <c r="B12" s="49" t="str">
        <f>IFERROR(__xludf.DUMMYFUNCTION("""COMPUTED_VALUE"""),"planet:tech ")</f>
        <v>planet:tech </v>
      </c>
      <c r="C12" s="51" t="str">
        <f>IFERROR(__xludf.DUMMYFUNCTION("""COMPUTED_VALUE"""),"Steve Oldham")</f>
        <v>Steve Oldham</v>
      </c>
      <c r="D12" s="49" t="str">
        <f>IFERROR(__xludf.DUMMYFUNCTION("""COMPUTED_VALUE"""),"2019/11/05 14:35:00")</f>
        <v>2019/11/05 14:35:00</v>
      </c>
      <c r="E12" s="49" t="str">
        <f>IFERROR(__xludf.DUMMYFUNCTION("""COMPUTED_VALUE"""),"2019/11/05 14:50:00")</f>
        <v>2019/11/05 14:50:00</v>
      </c>
      <c r="F12" s="49" t="str">
        <f>IFERROR(__xludf.DUMMYFUNCTION("""COMPUTED_VALUE"""),"889b4465-ebfd-4d10-9c60-288de087f2b0")</f>
        <v>889b4465-ebfd-4d10-9c60-288de087f2b0</v>
      </c>
      <c r="G12" s="52">
        <f>IFERROR(__xludf.DUMMYFUNCTION("""COMPUTED_VALUE"""),43774.0)</f>
        <v>43774</v>
      </c>
      <c r="H12" s="53">
        <f>IFERROR(__xludf.DUMMYFUNCTION("""COMPUTED_VALUE"""),0.6076388888888888)</f>
        <v>0.6076388889</v>
      </c>
      <c r="I12" s="52">
        <f>IFERROR(__xludf.DUMMYFUNCTION("""COMPUTED_VALUE"""),43774.0)</f>
        <v>43774</v>
      </c>
      <c r="J12" s="53">
        <f>IFERROR(__xludf.DUMMYFUNCTION("""COMPUTED_VALUE"""),0.6180555555555556)</f>
        <v>0.6180555556</v>
      </c>
      <c r="K12" s="53">
        <f t="shared" si="1"/>
        <v>0.01041666667</v>
      </c>
      <c r="L12" s="49" t="s">
        <v>118</v>
      </c>
      <c r="M12" s="62" t="s">
        <v>507</v>
      </c>
      <c r="N12" s="62" t="str">
        <f t="shared" si="2"/>
        <v>PT_5_10_889b4465-ebfd-4d10-9c60-288de087f2b0_000000_000000.mp4</v>
      </c>
      <c r="O12" s="48"/>
      <c r="P12" s="48"/>
      <c r="Q12" s="63"/>
      <c r="R12" s="49"/>
      <c r="S12" s="49"/>
      <c r="T12" s="49"/>
    </row>
    <row r="13">
      <c r="A13" s="49" t="str">
        <f>IFERROR(__xludf.DUMMYFUNCTION("""COMPUTED_VALUE"""),"Why the ocean isn't doomed")</f>
        <v>Why the ocean isn't doomed</v>
      </c>
      <c r="B13" s="49" t="str">
        <f>IFERROR(__xludf.DUMMYFUNCTION("""COMPUTED_VALUE"""),"planet:tech ")</f>
        <v>planet:tech </v>
      </c>
      <c r="C13" s="51" t="str">
        <f>IFERROR(__xludf.DUMMYFUNCTION("""COMPUTED_VALUE"""),"Garrett McNamara, Dianna Cohen and Philip Crowther")</f>
        <v>Garrett McNamara, Dianna Cohen and Philip Crowther</v>
      </c>
      <c r="D13" s="49" t="str">
        <f>IFERROR(__xludf.DUMMYFUNCTION("""COMPUTED_VALUE"""),"2019/11/05 14:50:00")</f>
        <v>2019/11/05 14:50:00</v>
      </c>
      <c r="E13" s="49" t="str">
        <f>IFERROR(__xludf.DUMMYFUNCTION("""COMPUTED_VALUE"""),"2019/11/05 15:10:00")</f>
        <v>2019/11/05 15:10:00</v>
      </c>
      <c r="F13" s="49" t="str">
        <f>IFERROR(__xludf.DUMMYFUNCTION("""COMPUTED_VALUE"""),"53f761ef-b26e-43d6-b849-c0d302ff6cd6")</f>
        <v>53f761ef-b26e-43d6-b849-c0d302ff6cd6</v>
      </c>
      <c r="G13" s="52">
        <f>IFERROR(__xludf.DUMMYFUNCTION("""COMPUTED_VALUE"""),43774.0)</f>
        <v>43774</v>
      </c>
      <c r="H13" s="53">
        <f>IFERROR(__xludf.DUMMYFUNCTION("""COMPUTED_VALUE"""),0.6180555555555556)</f>
        <v>0.6180555556</v>
      </c>
      <c r="I13" s="52">
        <f>IFERROR(__xludf.DUMMYFUNCTION("""COMPUTED_VALUE"""),43774.0)</f>
        <v>43774</v>
      </c>
      <c r="J13" s="53">
        <f>IFERROR(__xludf.DUMMYFUNCTION("""COMPUTED_VALUE"""),0.6319444444444444)</f>
        <v>0.6319444444</v>
      </c>
      <c r="K13" s="53">
        <f t="shared" si="1"/>
        <v>0.01388888889</v>
      </c>
      <c r="L13" s="49" t="s">
        <v>109</v>
      </c>
      <c r="M13" s="62" t="s">
        <v>508</v>
      </c>
      <c r="N13" s="62" t="str">
        <f t="shared" si="2"/>
        <v>PT_5_11_53f761ef-b26e-43d6-b849-c0d302ff6cd6_000000_000000.mp4</v>
      </c>
      <c r="O13" s="48"/>
      <c r="P13" s="48"/>
      <c r="Q13" s="63"/>
      <c r="R13" s="49"/>
      <c r="S13" s="49"/>
      <c r="T13" s="49"/>
    </row>
    <row r="14">
      <c r="A14" s="49" t="str">
        <f>IFERROR(__xludf.DUMMYFUNCTION("""COMPUTED_VALUE"""),"Powering the future")</f>
        <v>Powering the future</v>
      </c>
      <c r="B14" s="49" t="str">
        <f>IFERROR(__xludf.DUMMYFUNCTION("""COMPUTED_VALUE"""),"planet:tech ")</f>
        <v>planet:tech </v>
      </c>
      <c r="C14" s="51" t="str">
        <f>IFERROR(__xludf.DUMMYFUNCTION("""COMPUTED_VALUE"""),"Emmanuel Lagarrigue, Jesse Moore and Neanda Salvaterra")</f>
        <v>Emmanuel Lagarrigue, Jesse Moore and Neanda Salvaterra</v>
      </c>
      <c r="D14" s="49" t="str">
        <f>IFERROR(__xludf.DUMMYFUNCTION("""COMPUTED_VALUE"""),"2019/11/05 15:10:00")</f>
        <v>2019/11/05 15:10:00</v>
      </c>
      <c r="E14" s="49" t="str">
        <f>IFERROR(__xludf.DUMMYFUNCTION("""COMPUTED_VALUE"""),"2019/11/05 15:35:00")</f>
        <v>2019/11/05 15:35:00</v>
      </c>
      <c r="F14" s="49" t="str">
        <f>IFERROR(__xludf.DUMMYFUNCTION("""COMPUTED_VALUE"""),"7bed3d77-091c-4607-b591-9468e382e3fa")</f>
        <v>7bed3d77-091c-4607-b591-9468e382e3fa</v>
      </c>
      <c r="G14" s="52">
        <f>IFERROR(__xludf.DUMMYFUNCTION("""COMPUTED_VALUE"""),43774.0)</f>
        <v>43774</v>
      </c>
      <c r="H14" s="53">
        <f>IFERROR(__xludf.DUMMYFUNCTION("""COMPUTED_VALUE"""),0.6319444444444444)</f>
        <v>0.6319444444</v>
      </c>
      <c r="I14" s="52">
        <f>IFERROR(__xludf.DUMMYFUNCTION("""COMPUTED_VALUE"""),43774.0)</f>
        <v>43774</v>
      </c>
      <c r="J14" s="53">
        <f>IFERROR(__xludf.DUMMYFUNCTION("""COMPUTED_VALUE"""),0.6493055555555556)</f>
        <v>0.6493055556</v>
      </c>
      <c r="K14" s="53">
        <f t="shared" si="1"/>
        <v>0.01736111111</v>
      </c>
      <c r="L14" s="49" t="s">
        <v>111</v>
      </c>
      <c r="M14" s="62" t="s">
        <v>509</v>
      </c>
      <c r="N14" s="62" t="str">
        <f t="shared" si="2"/>
        <v>PT_5_12_7bed3d77-091c-4607-b591-9468e382e3fa_000000_000000.mp4</v>
      </c>
      <c r="O14" s="48"/>
      <c r="P14" s="48"/>
      <c r="Q14" s="63"/>
      <c r="R14" s="49"/>
      <c r="S14" s="49"/>
      <c r="T14" s="49"/>
    </row>
    <row r="15">
      <c r="A15" s="49" t="str">
        <f>IFERROR(__xludf.DUMMYFUNCTION("""COMPUTED_VALUE"""),"How to be part of the solution")</f>
        <v>How to be part of the solution</v>
      </c>
      <c r="B15" s="49" t="str">
        <f>IFERROR(__xludf.DUMMYFUNCTION("""COMPUTED_VALUE"""),"planet:tech ")</f>
        <v>planet:tech </v>
      </c>
      <c r="C15" s="51" t="str">
        <f>IFERROR(__xludf.DUMMYFUNCTION("""COMPUTED_VALUE"""),"Lise Kingo and Thorold Barker")</f>
        <v>Lise Kingo and Thorold Barker</v>
      </c>
      <c r="D15" s="49" t="str">
        <f>IFERROR(__xludf.DUMMYFUNCTION("""COMPUTED_VALUE"""),"2019/11/05 15:35:00")</f>
        <v>2019/11/05 15:35:00</v>
      </c>
      <c r="E15" s="49" t="str">
        <f>IFERROR(__xludf.DUMMYFUNCTION("""COMPUTED_VALUE"""),"2019/11/05 15:55:00")</f>
        <v>2019/11/05 15:55:00</v>
      </c>
      <c r="F15" s="49" t="str">
        <f>IFERROR(__xludf.DUMMYFUNCTION("""COMPUTED_VALUE"""),"29cd3d42-7f4e-4a37-a49d-5f3ffd340ce2")</f>
        <v>29cd3d42-7f4e-4a37-a49d-5f3ffd340ce2</v>
      </c>
      <c r="G15" s="52">
        <f>IFERROR(__xludf.DUMMYFUNCTION("""COMPUTED_VALUE"""),43774.0)</f>
        <v>43774</v>
      </c>
      <c r="H15" s="53">
        <f>IFERROR(__xludf.DUMMYFUNCTION("""COMPUTED_VALUE"""),0.6493055555555556)</f>
        <v>0.6493055556</v>
      </c>
      <c r="I15" s="52">
        <f>IFERROR(__xludf.DUMMYFUNCTION("""COMPUTED_VALUE"""),43774.0)</f>
        <v>43774</v>
      </c>
      <c r="J15" s="53">
        <f>IFERROR(__xludf.DUMMYFUNCTION("""COMPUTED_VALUE"""),0.6631944444444444)</f>
        <v>0.6631944444</v>
      </c>
      <c r="K15" s="53">
        <f t="shared" si="1"/>
        <v>0.01388888889</v>
      </c>
      <c r="L15" s="49" t="s">
        <v>109</v>
      </c>
      <c r="M15" s="62" t="s">
        <v>510</v>
      </c>
      <c r="N15" s="62" t="str">
        <f t="shared" si="2"/>
        <v>PT_5_13_29cd3d42-7f4e-4a37-a49d-5f3ffd340ce2_000000_000000.mp4</v>
      </c>
      <c r="O15" s="48"/>
      <c r="P15" s="48"/>
      <c r="Q15" s="63"/>
      <c r="R15" s="49"/>
      <c r="S15" s="49"/>
      <c r="T15" s="49"/>
    </row>
    <row r="16">
      <c r="A16" s="49" t="str">
        <f>IFERROR(__xludf.DUMMYFUNCTION("""COMPUTED_VALUE"""),"The role of technology in climate action")</f>
        <v>The role of technology in climate action</v>
      </c>
      <c r="B16" s="49" t="str">
        <f>IFERROR(__xludf.DUMMYFUNCTION("""COMPUTED_VALUE"""),"planet:tech ")</f>
        <v>planet:tech </v>
      </c>
      <c r="C16" s="51" t="str">
        <f>IFERROR(__xludf.DUMMYFUNCTION("""COMPUTED_VALUE"""),"Kate Brandt")</f>
        <v>Kate Brandt</v>
      </c>
      <c r="D16" s="49" t="str">
        <f>IFERROR(__xludf.DUMMYFUNCTION("""COMPUTED_VALUE"""),"2019/11/05 15:55:00")</f>
        <v>2019/11/05 15:55:00</v>
      </c>
      <c r="E16" s="49" t="str">
        <f>IFERROR(__xludf.DUMMYFUNCTION("""COMPUTED_VALUE"""),"2019/11/05 16:10:00")</f>
        <v>2019/11/05 16:10:00</v>
      </c>
      <c r="F16" s="49" t="str">
        <f>IFERROR(__xludf.DUMMYFUNCTION("""COMPUTED_VALUE"""),"dd835a59-1ee3-4de2-9e48-3d8d3ca61e01")</f>
        <v>dd835a59-1ee3-4de2-9e48-3d8d3ca61e01</v>
      </c>
      <c r="G16" s="52">
        <f>IFERROR(__xludf.DUMMYFUNCTION("""COMPUTED_VALUE"""),43774.0)</f>
        <v>43774</v>
      </c>
      <c r="H16" s="53">
        <f>IFERROR(__xludf.DUMMYFUNCTION("""COMPUTED_VALUE"""),0.6631944444444444)</f>
        <v>0.6631944444</v>
      </c>
      <c r="I16" s="52">
        <f>IFERROR(__xludf.DUMMYFUNCTION("""COMPUTED_VALUE"""),43774.0)</f>
        <v>43774</v>
      </c>
      <c r="J16" s="53">
        <f>IFERROR(__xludf.DUMMYFUNCTION("""COMPUTED_VALUE"""),0.6736111111111112)</f>
        <v>0.6736111111</v>
      </c>
      <c r="K16" s="53">
        <f t="shared" si="1"/>
        <v>0.01041666667</v>
      </c>
      <c r="L16" s="49" t="s">
        <v>118</v>
      </c>
      <c r="M16" s="62" t="s">
        <v>511</v>
      </c>
      <c r="N16" s="62" t="str">
        <f t="shared" si="2"/>
        <v>PT_5_14_dd835a59-1ee3-4de2-9e48-3d8d3ca61e01_000000_000000.mp4</v>
      </c>
      <c r="O16" s="48"/>
      <c r="P16" s="48"/>
      <c r="Q16" s="63"/>
      <c r="R16" s="49"/>
      <c r="S16" s="49"/>
      <c r="T16" s="49"/>
    </row>
    <row r="17">
      <c r="A17" s="49"/>
      <c r="B17" s="49"/>
      <c r="C17" s="51"/>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255</v>
      </c>
      <c r="M17" s="49"/>
      <c r="N17" s="49"/>
      <c r="O17" s="49"/>
      <c r="P17" s="49"/>
      <c r="Q17" s="49"/>
      <c r="R17" s="49"/>
      <c r="S17" s="49"/>
      <c r="T17" s="49"/>
    </row>
    <row r="18">
      <c r="A18" s="49"/>
      <c r="B18" s="49"/>
      <c r="C18" s="51"/>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255</v>
      </c>
      <c r="M18" s="49"/>
      <c r="N18" s="49"/>
      <c r="O18" s="49"/>
      <c r="P18" s="49"/>
      <c r="Q18" s="49"/>
      <c r="R18" s="49"/>
      <c r="S18" s="49"/>
      <c r="T18" s="49"/>
    </row>
    <row r="19">
      <c r="A19" s="49"/>
      <c r="B19" s="49"/>
      <c r="C19" s="51"/>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255</v>
      </c>
      <c r="M19" s="49"/>
      <c r="N19" s="49"/>
      <c r="O19" s="49"/>
      <c r="P19" s="49"/>
      <c r="Q19" s="49"/>
      <c r="R19" s="49"/>
      <c r="S19" s="49"/>
      <c r="T19" s="49"/>
    </row>
    <row r="20">
      <c r="A20" s="49"/>
      <c r="B20" s="49"/>
      <c r="C20" s="51"/>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255</v>
      </c>
      <c r="M20" s="49"/>
      <c r="N20" s="49"/>
      <c r="O20" s="49"/>
      <c r="P20" s="49"/>
      <c r="Q20" s="49"/>
      <c r="R20" s="49"/>
      <c r="S20" s="49"/>
      <c r="T20" s="49"/>
    </row>
    <row r="21">
      <c r="A21" s="49"/>
      <c r="B21" s="49"/>
      <c r="C21" s="51"/>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255</v>
      </c>
      <c r="M21" s="49"/>
      <c r="N21" s="49"/>
      <c r="O21" s="49"/>
      <c r="P21" s="49"/>
      <c r="Q21" s="49"/>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255</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f t="shared" si="1"/>
        <v>0</v>
      </c>
      <c r="L23" s="49" t="s">
        <v>255</v>
      </c>
      <c r="M23" s="49"/>
      <c r="N23" s="49"/>
      <c r="O23" s="49"/>
      <c r="P23" s="49"/>
      <c r="Q23" s="49"/>
      <c r="R23" s="49"/>
      <c r="S23" s="49"/>
      <c r="T23" s="49"/>
    </row>
    <row r="24">
      <c r="A24" s="49"/>
      <c r="B24" s="49"/>
      <c r="C24" s="51"/>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255</v>
      </c>
      <c r="M24" s="49"/>
      <c r="N24" s="49"/>
      <c r="O24" s="49"/>
      <c r="P24" s="49"/>
      <c r="Q24" s="49"/>
      <c r="R24" s="49"/>
      <c r="S24" s="49"/>
      <c r="T24" s="49"/>
    </row>
  </sheetData>
  <conditionalFormatting sqref="O2:O16">
    <cfRule type="containsText" dxfId="4" priority="1" operator="containsText" text="YES">
      <formula>NOT(ISERROR(SEARCH(("YES"),(O2))))</formula>
    </cfRule>
  </conditionalFormatting>
  <conditionalFormatting sqref="O2:O16">
    <cfRule type="cellIs" dxfId="5" priority="2" operator="equal">
      <formula>"NO"</formula>
    </cfRule>
  </conditionalFormatting>
  <conditionalFormatting sqref="P2:P16">
    <cfRule type="cellIs" dxfId="4" priority="3" operator="equal">
      <formula>"AVAILABLE"</formula>
    </cfRule>
  </conditionalFormatting>
  <conditionalFormatting sqref="P2:P16">
    <cfRule type="cellIs" dxfId="5" priority="4" operator="equal">
      <formula>"NOT AVAILABLE"</formula>
    </cfRule>
  </conditionalFormatting>
  <conditionalFormatting sqref="Q2:Q16">
    <cfRule type="cellIs" dxfId="4" priority="5" operator="equal">
      <formula>"AVAILABLE"</formula>
    </cfRule>
  </conditionalFormatting>
  <conditionalFormatting sqref="Q2:Q16">
    <cfRule type="cellIs" dxfId="6" priority="6" operator="equal">
      <formula>"UPLOADING"</formula>
    </cfRule>
  </conditionalFormatting>
  <conditionalFormatting sqref="Q2:Q16">
    <cfRule type="cellIs" dxfId="5" priority="7" operator="equal">
      <formula>"NOT AVAILABLE"</formula>
    </cfRule>
  </conditionalFormatting>
  <dataValidations>
    <dataValidation type="list" allowBlank="1" sqref="O2:O16">
      <formula1>"YES,NO"</formula1>
    </dataValidation>
    <dataValidation type="list" allowBlank="1" sqref="P2:P16">
      <formula1>"AVAILABLE,NOT AVAILABLE"</formula1>
    </dataValidation>
    <dataValidation type="list" allowBlank="1" sqref="Q2:Q16">
      <formula1>"AVAILABLE,UPLOADING,NOT AVAILABLE"</formula1>
    </dataValidation>
  </dataValidations>
  <drawing r:id="rId1"/>
  <tableParts count="1">
    <tablePart r:id="rId3"/>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7.57"/>
    <col customWidth="1" min="3" max="3" width="23.57"/>
    <col hidden="1" min="4" max="5" width="14.43"/>
    <col customWidth="1" min="6" max="6" width="35.71"/>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'MoneyConf' ORDER BY F"")"),"Opening remarks ")</f>
        <v>Opening remarks </v>
      </c>
      <c r="B2" s="49" t="str">
        <f>IFERROR(__xludf.DUMMYFUNCTION("""COMPUTED_VALUE"""),"MoneyConf")</f>
        <v>MoneyConf</v>
      </c>
      <c r="C2" s="51" t="str">
        <f>IFERROR(__xludf.DUMMYFUNCTION("""COMPUTED_VALUE"""),"Muneeb Ali")</f>
        <v>Muneeb Ali</v>
      </c>
      <c r="D2" s="49" t="str">
        <f>IFERROR(__xludf.DUMMYFUNCTION("""COMPUTED_VALUE"""),"2019/11/06 10:45:00")</f>
        <v>2019/11/06 10:45:00</v>
      </c>
      <c r="E2" s="49" t="str">
        <f>IFERROR(__xludf.DUMMYFUNCTION("""COMPUTED_VALUE"""),"2019/11/06 11:00:00")</f>
        <v>2019/11/06 11:00:00</v>
      </c>
      <c r="F2" s="49" t="str">
        <f>IFERROR(__xludf.DUMMYFUNCTION("""COMPUTED_VALUE"""),"1b66f317-c871-47ad-a39d-5385bcaccee1")</f>
        <v>1b66f317-c871-47ad-a39d-5385bcaccee1</v>
      </c>
      <c r="G2" s="54">
        <f>IFERROR(__xludf.DUMMYFUNCTION("ARRAYFORMULA(SPLIT(D2:D549,"" ""))"),43775.0)</f>
        <v>43775</v>
      </c>
      <c r="H2" s="53">
        <f>IFERROR(__xludf.DUMMYFUNCTION("""COMPUTED_VALUE"""),0.4479166666666667)</f>
        <v>0.4479166667</v>
      </c>
      <c r="I2" s="54">
        <f>IFERROR(__xludf.DUMMYFUNCTION("ARRAYFORMULA(SPLIT(E2:E549,"" ""))"),43775.0)</f>
        <v>43775</v>
      </c>
      <c r="J2" s="53">
        <f>IFERROR(__xludf.DUMMYFUNCTION("""COMPUTED_VALUE"""),0.4583333333333333)</f>
        <v>0.4583333333</v>
      </c>
      <c r="K2" s="53">
        <f t="shared" ref="K2:K48" si="1">J2-H2</f>
        <v>0.01041666667</v>
      </c>
      <c r="L2" s="50" t="str">
        <f t="array" ref="L2:L549">TEXT(K2:K549,"hhmmss")</f>
        <v>001500</v>
      </c>
      <c r="M2" s="62" t="s">
        <v>512</v>
      </c>
      <c r="N2" s="62" t="str">
        <f t="shared" ref="N2:N29" si="2">CONCATENATE(M2,"_",F2,"_","000000_000000.mp4")</f>
        <v>MC_6_1_1b66f317-c871-47ad-a39d-5385bcaccee1_000000_000000.mp4</v>
      </c>
      <c r="O2" s="48"/>
      <c r="P2" s="48"/>
      <c r="Q2" s="63"/>
      <c r="R2" s="49"/>
      <c r="S2" s="49"/>
      <c r="T2" s="49"/>
    </row>
    <row r="3">
      <c r="A3" s="49" t="str">
        <f>IFERROR(__xludf.DUMMYFUNCTION("""COMPUTED_VALUE"""),"Banking the next billion")</f>
        <v>Banking the next billion</v>
      </c>
      <c r="B3" s="49" t="str">
        <f>IFERROR(__xludf.DUMMYFUNCTION("""COMPUTED_VALUE"""),"MoneyConf")</f>
        <v>MoneyConf</v>
      </c>
      <c r="C3" s="51" t="str">
        <f>IFERROR(__xludf.DUMMYFUNCTION("""COMPUTED_VALUE"""),"Munish Varma, Yashish Dahiya and Tim Bradshaw")</f>
        <v>Munish Varma, Yashish Dahiya and Tim Bradshaw</v>
      </c>
      <c r="D3" s="49" t="str">
        <f>IFERROR(__xludf.DUMMYFUNCTION("""COMPUTED_VALUE"""),"2019/11/06 11:00:00")</f>
        <v>2019/11/06 11:00:00</v>
      </c>
      <c r="E3" s="49" t="str">
        <f>IFERROR(__xludf.DUMMYFUNCTION("""COMPUTED_VALUE"""),"2019/11/06 11:25:00")</f>
        <v>2019/11/06 11:25:00</v>
      </c>
      <c r="F3" s="49" t="str">
        <f>IFERROR(__xludf.DUMMYFUNCTION("""COMPUTED_VALUE"""),"aa84f9a9-f356-44e2-ae95-37f724fb136c")</f>
        <v>aa84f9a9-f356-44e2-ae95-37f724fb136c</v>
      </c>
      <c r="G3" s="52">
        <f>IFERROR(__xludf.DUMMYFUNCTION("""COMPUTED_VALUE"""),43775.0)</f>
        <v>43775</v>
      </c>
      <c r="H3" s="53">
        <f>IFERROR(__xludf.DUMMYFUNCTION("""COMPUTED_VALUE"""),0.4583333333333333)</f>
        <v>0.4583333333</v>
      </c>
      <c r="I3" s="52">
        <f>IFERROR(__xludf.DUMMYFUNCTION("""COMPUTED_VALUE"""),43775.0)</f>
        <v>43775</v>
      </c>
      <c r="J3" s="53">
        <f>IFERROR(__xludf.DUMMYFUNCTION("""COMPUTED_VALUE"""),0.4756944444444444)</f>
        <v>0.4756944444</v>
      </c>
      <c r="K3" s="53">
        <f t="shared" si="1"/>
        <v>0.01736111111</v>
      </c>
      <c r="L3" s="49" t="s">
        <v>111</v>
      </c>
      <c r="M3" s="62" t="s">
        <v>513</v>
      </c>
      <c r="N3" s="62" t="str">
        <f t="shared" si="2"/>
        <v>MC_6_2_aa84f9a9-f356-44e2-ae95-37f724fb136c_000000_000000.mp4</v>
      </c>
      <c r="O3" s="48"/>
      <c r="P3" s="48"/>
      <c r="Q3" s="63"/>
      <c r="R3" s="49"/>
      <c r="S3" s="49"/>
      <c r="T3" s="49"/>
    </row>
    <row r="4">
      <c r="A4" s="49" t="str">
        <f>IFERROR(__xludf.DUMMYFUNCTION("""COMPUTED_VALUE"""),"Finding a new way to get paid ")</f>
        <v>Finding a new way to get paid </v>
      </c>
      <c r="B4" s="49" t="str">
        <f>IFERROR(__xludf.DUMMYFUNCTION("""COMPUTED_VALUE"""),"MoneyConf")</f>
        <v>MoneyConf</v>
      </c>
      <c r="C4" s="51" t="str">
        <f>IFERROR(__xludf.DUMMYFUNCTION("""COMPUTED_VALUE"""),"Taavet Hinrikus, Hiroki Takeuchi and Peter Thal Larsen")</f>
        <v>Taavet Hinrikus, Hiroki Takeuchi and Peter Thal Larsen</v>
      </c>
      <c r="D4" s="49" t="str">
        <f>IFERROR(__xludf.DUMMYFUNCTION("""COMPUTED_VALUE"""),"2019/11/06 11:25:00")</f>
        <v>2019/11/06 11:25:00</v>
      </c>
      <c r="E4" s="49" t="str">
        <f>IFERROR(__xludf.DUMMYFUNCTION("""COMPUTED_VALUE"""),"2019/11/06 11:55:00")</f>
        <v>2019/11/06 11:55:00</v>
      </c>
      <c r="F4" s="49" t="str">
        <f>IFERROR(__xludf.DUMMYFUNCTION("""COMPUTED_VALUE"""),"91d23625-a487-48ff-b28b-414b5a3e4271")</f>
        <v>91d23625-a487-48ff-b28b-414b5a3e4271</v>
      </c>
      <c r="G4" s="52">
        <f>IFERROR(__xludf.DUMMYFUNCTION("""COMPUTED_VALUE"""),43775.0)</f>
        <v>43775</v>
      </c>
      <c r="H4" s="53">
        <f>IFERROR(__xludf.DUMMYFUNCTION("""COMPUTED_VALUE"""),0.4756944444444444)</f>
        <v>0.4756944444</v>
      </c>
      <c r="I4" s="52">
        <f>IFERROR(__xludf.DUMMYFUNCTION("""COMPUTED_VALUE"""),43775.0)</f>
        <v>43775</v>
      </c>
      <c r="J4" s="53">
        <f>IFERROR(__xludf.DUMMYFUNCTION("""COMPUTED_VALUE"""),0.4965277777777778)</f>
        <v>0.4965277778</v>
      </c>
      <c r="K4" s="53">
        <f t="shared" si="1"/>
        <v>0.02083333333</v>
      </c>
      <c r="L4" s="49" t="s">
        <v>105</v>
      </c>
      <c r="M4" s="62" t="s">
        <v>514</v>
      </c>
      <c r="N4" s="62" t="str">
        <f t="shared" si="2"/>
        <v>MC_6_3_91d23625-a487-48ff-b28b-414b5a3e4271_000000_000000.mp4</v>
      </c>
      <c r="O4" s="48"/>
      <c r="P4" s="48"/>
      <c r="Q4" s="63"/>
      <c r="R4" s="49"/>
      <c r="S4" s="49"/>
      <c r="T4" s="49"/>
    </row>
    <row r="5">
      <c r="A5" s="49" t="str">
        <f>IFERROR(__xludf.DUMMYFUNCTION("""COMPUTED_VALUE"""),"What Plaid said: Fintech's next frontier ")</f>
        <v>What Plaid said: Fintech's next frontier </v>
      </c>
      <c r="B5" s="49" t="str">
        <f>IFERROR(__xludf.DUMMYFUNCTION("""COMPUTED_VALUE"""),"MoneyConf")</f>
        <v>MoneyConf</v>
      </c>
      <c r="C5" s="51" t="str">
        <f>IFERROR(__xludf.DUMMYFUNCTION("""COMPUTED_VALUE"""),"Zach Perret and John Detrixhe")</f>
        <v>Zach Perret and John Detrixhe</v>
      </c>
      <c r="D5" s="49" t="str">
        <f>IFERROR(__xludf.DUMMYFUNCTION("""COMPUTED_VALUE"""),"2019/11/06 11:55:00")</f>
        <v>2019/11/06 11:55:00</v>
      </c>
      <c r="E5" s="49" t="str">
        <f>IFERROR(__xludf.DUMMYFUNCTION("""COMPUTED_VALUE"""),"2019/11/06 12:15:00")</f>
        <v>2019/11/06 12:15:00</v>
      </c>
      <c r="F5" s="49" t="str">
        <f>IFERROR(__xludf.DUMMYFUNCTION("""COMPUTED_VALUE"""),"98334037-9ce5-4ca0-a9ce-189be82bb314")</f>
        <v>98334037-9ce5-4ca0-a9ce-189be82bb314</v>
      </c>
      <c r="G5" s="52">
        <f>IFERROR(__xludf.DUMMYFUNCTION("""COMPUTED_VALUE"""),43775.0)</f>
        <v>43775</v>
      </c>
      <c r="H5" s="53">
        <f>IFERROR(__xludf.DUMMYFUNCTION("""COMPUTED_VALUE"""),0.4965277777777778)</f>
        <v>0.4965277778</v>
      </c>
      <c r="I5" s="52">
        <f>IFERROR(__xludf.DUMMYFUNCTION("""COMPUTED_VALUE"""),43775.0)</f>
        <v>43775</v>
      </c>
      <c r="J5" s="53">
        <f>IFERROR(__xludf.DUMMYFUNCTION("""COMPUTED_VALUE"""),0.5104166666666666)</f>
        <v>0.5104166667</v>
      </c>
      <c r="K5" s="53">
        <f t="shared" si="1"/>
        <v>0.01388888889</v>
      </c>
      <c r="L5" s="49" t="s">
        <v>109</v>
      </c>
      <c r="M5" s="62" t="s">
        <v>515</v>
      </c>
      <c r="N5" s="62" t="str">
        <f t="shared" si="2"/>
        <v>MC_6_4_98334037-9ce5-4ca0-a9ce-189be82bb314_000000_000000.mp4</v>
      </c>
      <c r="O5" s="48"/>
      <c r="P5" s="48"/>
      <c r="Q5" s="63"/>
      <c r="R5" s="49"/>
      <c r="S5" s="49"/>
      <c r="T5" s="49"/>
    </row>
    <row r="6">
      <c r="A6" s="49" t="str">
        <f>IFERROR(__xludf.DUMMYFUNCTION("""COMPUTED_VALUE"""),"The ins and outs of financial inclusion")</f>
        <v>The ins and outs of financial inclusion</v>
      </c>
      <c r="B6" s="49" t="str">
        <f>IFERROR(__xludf.DUMMYFUNCTION("""COMPUTED_VALUE"""),"MoneyConf")</f>
        <v>MoneyConf</v>
      </c>
      <c r="C6" s="51" t="str">
        <f>IFERROR(__xludf.DUMMYFUNCTION("""COMPUTED_VALUE"""),"Christopher Leacock, Katica Roy and Amy Thomson")</f>
        <v>Christopher Leacock, Katica Roy and Amy Thomson</v>
      </c>
      <c r="D6" s="49" t="str">
        <f>IFERROR(__xludf.DUMMYFUNCTION("""COMPUTED_VALUE"""),"2019/11/06 12:15:00")</f>
        <v>2019/11/06 12:15:00</v>
      </c>
      <c r="E6" s="49" t="str">
        <f>IFERROR(__xludf.DUMMYFUNCTION("""COMPUTED_VALUE"""),"2019/11/06 12:35:00")</f>
        <v>2019/11/06 12:35:00</v>
      </c>
      <c r="F6" s="49" t="str">
        <f>IFERROR(__xludf.DUMMYFUNCTION("""COMPUTED_VALUE"""),"1086ec04-aa99-40a4-b5d8-c7688cbbb6f7")</f>
        <v>1086ec04-aa99-40a4-b5d8-c7688cbbb6f7</v>
      </c>
      <c r="G6" s="52">
        <f>IFERROR(__xludf.DUMMYFUNCTION("""COMPUTED_VALUE"""),43775.0)</f>
        <v>43775</v>
      </c>
      <c r="H6" s="53">
        <f>IFERROR(__xludf.DUMMYFUNCTION("""COMPUTED_VALUE"""),0.5104166666666666)</f>
        <v>0.5104166667</v>
      </c>
      <c r="I6" s="52">
        <f>IFERROR(__xludf.DUMMYFUNCTION("""COMPUTED_VALUE"""),43775.0)</f>
        <v>43775</v>
      </c>
      <c r="J6" s="53">
        <f>IFERROR(__xludf.DUMMYFUNCTION("""COMPUTED_VALUE"""),0.5243055555555556)</f>
        <v>0.5243055556</v>
      </c>
      <c r="K6" s="53">
        <f t="shared" si="1"/>
        <v>0.01388888889</v>
      </c>
      <c r="L6" s="49" t="s">
        <v>109</v>
      </c>
      <c r="M6" s="62" t="s">
        <v>516</v>
      </c>
      <c r="N6" s="62" t="str">
        <f t="shared" si="2"/>
        <v>MC_6_5_1086ec04-aa99-40a4-b5d8-c7688cbbb6f7_000000_000000.mp4</v>
      </c>
      <c r="O6" s="48"/>
      <c r="P6" s="48"/>
      <c r="Q6" s="63"/>
      <c r="R6" s="49"/>
      <c r="S6" s="49"/>
      <c r="T6" s="49"/>
    </row>
    <row r="7">
      <c r="A7" s="49" t="str">
        <f>IFERROR(__xludf.DUMMYFUNCTION("""COMPUTED_VALUE"""),"Meet the next generation of fintech unicorns")</f>
        <v>Meet the next generation of fintech unicorns</v>
      </c>
      <c r="B7" s="49" t="str">
        <f>IFERROR(__xludf.DUMMYFUNCTION("""COMPUTED_VALUE"""),"MoneyConf")</f>
        <v>MoneyConf</v>
      </c>
      <c r="C7" s="51" t="str">
        <f>IFERROR(__xludf.DUMMYFUNCTION("""COMPUTED_VALUE"""),"Sunil Chandra, Lucy Liu, Tim Sievers and John Detrixhe")</f>
        <v>Sunil Chandra, Lucy Liu, Tim Sievers and John Detrixhe</v>
      </c>
      <c r="D7" s="49" t="str">
        <f>IFERROR(__xludf.DUMMYFUNCTION("""COMPUTED_VALUE"""),"2019/11/06 12:35:00")</f>
        <v>2019/11/06 12:35:00</v>
      </c>
      <c r="E7" s="49" t="str">
        <f>IFERROR(__xludf.DUMMYFUNCTION("""COMPUTED_VALUE"""),"2019/11/06 13:00:00")</f>
        <v>2019/11/06 13:00:00</v>
      </c>
      <c r="F7" s="49" t="str">
        <f>IFERROR(__xludf.DUMMYFUNCTION("""COMPUTED_VALUE"""),"6f68d430-2e86-420a-bd3b-12ff3db1e16b")</f>
        <v>6f68d430-2e86-420a-bd3b-12ff3db1e16b</v>
      </c>
      <c r="G7" s="52">
        <f>IFERROR(__xludf.DUMMYFUNCTION("""COMPUTED_VALUE"""),43775.0)</f>
        <v>43775</v>
      </c>
      <c r="H7" s="53">
        <f>IFERROR(__xludf.DUMMYFUNCTION("""COMPUTED_VALUE"""),0.5243055555555556)</f>
        <v>0.5243055556</v>
      </c>
      <c r="I7" s="52">
        <f>IFERROR(__xludf.DUMMYFUNCTION("""COMPUTED_VALUE"""),43775.0)</f>
        <v>43775</v>
      </c>
      <c r="J7" s="53">
        <f>IFERROR(__xludf.DUMMYFUNCTION("""COMPUTED_VALUE"""),0.5416666666666666)</f>
        <v>0.5416666667</v>
      </c>
      <c r="K7" s="53">
        <f t="shared" si="1"/>
        <v>0.01736111111</v>
      </c>
      <c r="L7" s="49" t="s">
        <v>111</v>
      </c>
      <c r="M7" s="62" t="s">
        <v>518</v>
      </c>
      <c r="N7" s="62" t="str">
        <f t="shared" si="2"/>
        <v>MC_6_6_6f68d430-2e86-420a-bd3b-12ff3db1e16b_000000_000000.mp4</v>
      </c>
      <c r="O7" s="48"/>
      <c r="P7" s="48"/>
      <c r="Q7" s="63"/>
      <c r="R7" s="49"/>
      <c r="S7" s="49"/>
      <c r="T7" s="49"/>
    </row>
    <row r="8">
      <c r="A8" s="49" t="str">
        <f>IFERROR(__xludf.DUMMYFUNCTION("""COMPUTED_VALUE"""),"Lunch break")</f>
        <v>Lunch break</v>
      </c>
      <c r="B8" s="49" t="str">
        <f>IFERROR(__xludf.DUMMYFUNCTION("""COMPUTED_VALUE"""),"MoneyConf")</f>
        <v>MoneyConf</v>
      </c>
      <c r="C8" s="51" t="str">
        <f>IFERROR(__xludf.DUMMYFUNCTION("""COMPUTED_VALUE"""),"")</f>
        <v/>
      </c>
      <c r="D8" s="49" t="str">
        <f>IFERROR(__xludf.DUMMYFUNCTION("""COMPUTED_VALUE"""),"2019/11/06 13:00:00")</f>
        <v>2019/11/06 13:00:00</v>
      </c>
      <c r="E8" s="49" t="str">
        <f>IFERROR(__xludf.DUMMYFUNCTION("""COMPUTED_VALUE"""),"2019/11/06 13:45:00")</f>
        <v>2019/11/06 13:45:00</v>
      </c>
      <c r="F8" s="49" t="str">
        <f>IFERROR(__xludf.DUMMYFUNCTION("""COMPUTED_VALUE"""),"959e7693-d8f0-4eba-be2e-ed601de35951")</f>
        <v>959e7693-d8f0-4eba-be2e-ed601de35951</v>
      </c>
      <c r="G8" s="52">
        <f>IFERROR(__xludf.DUMMYFUNCTION("""COMPUTED_VALUE"""),43775.0)</f>
        <v>43775</v>
      </c>
      <c r="H8" s="53">
        <f>IFERROR(__xludf.DUMMYFUNCTION("""COMPUTED_VALUE"""),0.5416666666666666)</f>
        <v>0.5416666667</v>
      </c>
      <c r="I8" s="52">
        <f>IFERROR(__xludf.DUMMYFUNCTION("""COMPUTED_VALUE"""),43775.0)</f>
        <v>43775</v>
      </c>
      <c r="J8" s="53">
        <f>IFERROR(__xludf.DUMMYFUNCTION("""COMPUTED_VALUE"""),0.5729166666666666)</f>
        <v>0.5729166667</v>
      </c>
      <c r="K8" s="53">
        <f t="shared" si="1"/>
        <v>0.03125</v>
      </c>
      <c r="L8" s="49" t="s">
        <v>127</v>
      </c>
      <c r="M8" s="49"/>
      <c r="N8" s="62" t="str">
        <f t="shared" si="2"/>
        <v>_959e7693-d8f0-4eba-be2e-ed601de35951_000000_000000.mp4</v>
      </c>
      <c r="O8" s="48"/>
      <c r="P8" s="48"/>
      <c r="Q8" s="63"/>
      <c r="R8" s="49"/>
      <c r="S8" s="49"/>
      <c r="T8" s="49"/>
    </row>
    <row r="9">
      <c r="A9" s="49" t="str">
        <f>IFERROR(__xludf.DUMMYFUNCTION("""COMPUTED_VALUE"""),"Opening remarks")</f>
        <v>Opening remarks</v>
      </c>
      <c r="B9" s="49" t="str">
        <f>IFERROR(__xludf.DUMMYFUNCTION("""COMPUTED_VALUE"""),"MoneyConf")</f>
        <v>MoneyConf</v>
      </c>
      <c r="C9" s="51" t="str">
        <f>IFERROR(__xludf.DUMMYFUNCTION("""COMPUTED_VALUE"""),"Margarida Ruela")</f>
        <v>Margarida Ruela</v>
      </c>
      <c r="D9" s="49" t="str">
        <f>IFERROR(__xludf.DUMMYFUNCTION("""COMPUTED_VALUE"""),"2019/11/06 13:45:00")</f>
        <v>2019/11/06 13:45:00</v>
      </c>
      <c r="E9" s="49" t="str">
        <f>IFERROR(__xludf.DUMMYFUNCTION("""COMPUTED_VALUE"""),"2019/11/06 14:00:00")</f>
        <v>2019/11/06 14:00:00</v>
      </c>
      <c r="F9" s="49" t="str">
        <f>IFERROR(__xludf.DUMMYFUNCTION("""COMPUTED_VALUE"""),"b6e6bb17-35ea-41fc-94ac-adde65256009")</f>
        <v>b6e6bb17-35ea-41fc-94ac-adde65256009</v>
      </c>
      <c r="G9" s="52">
        <f>IFERROR(__xludf.DUMMYFUNCTION("""COMPUTED_VALUE"""),43775.0)</f>
        <v>43775</v>
      </c>
      <c r="H9" s="53">
        <f>IFERROR(__xludf.DUMMYFUNCTION("""COMPUTED_VALUE"""),0.5729166666666666)</f>
        <v>0.5729166667</v>
      </c>
      <c r="I9" s="52">
        <f>IFERROR(__xludf.DUMMYFUNCTION("""COMPUTED_VALUE"""),43775.0)</f>
        <v>43775</v>
      </c>
      <c r="J9" s="53">
        <f>IFERROR(__xludf.DUMMYFUNCTION("""COMPUTED_VALUE"""),0.5833333333333334)</f>
        <v>0.5833333333</v>
      </c>
      <c r="K9" s="53">
        <f t="shared" si="1"/>
        <v>0.01041666667</v>
      </c>
      <c r="L9" s="49" t="s">
        <v>118</v>
      </c>
      <c r="M9" s="62" t="s">
        <v>522</v>
      </c>
      <c r="N9" s="62" t="str">
        <f t="shared" si="2"/>
        <v>MC_6_7_b6e6bb17-35ea-41fc-94ac-adde65256009_000000_000000.mp4</v>
      </c>
      <c r="O9" s="48"/>
      <c r="P9" s="48"/>
      <c r="Q9" s="63"/>
      <c r="R9" s="49"/>
      <c r="S9" s="49"/>
      <c r="T9" s="49"/>
    </row>
    <row r="10">
      <c r="A10" s="49" t="str">
        <f>IFERROR(__xludf.DUMMYFUNCTION("""COMPUTED_VALUE"""),"Build-a-bank: Designing the future of finance")</f>
        <v>Build-a-bank: Designing the future of finance</v>
      </c>
      <c r="B10" s="49" t="str">
        <f>IFERROR(__xludf.DUMMYFUNCTION("""COMPUTED_VALUE"""),"MoneyConf")</f>
        <v>MoneyConf</v>
      </c>
      <c r="C10" s="51" t="str">
        <f>IFERROR(__xludf.DUMMYFUNCTION("""COMPUTED_VALUE"""),"Tim Kobe, Luis Uguina, Ilker Altıntaş and Ania Poullain-Majchrzak")</f>
        <v>Tim Kobe, Luis Uguina, Ilker Altıntaş and Ania Poullain-Majchrzak</v>
      </c>
      <c r="D10" s="49" t="str">
        <f>IFERROR(__xludf.DUMMYFUNCTION("""COMPUTED_VALUE"""),"2019/11/06 14:00:00")</f>
        <v>2019/11/06 14:00:00</v>
      </c>
      <c r="E10" s="49" t="str">
        <f>IFERROR(__xludf.DUMMYFUNCTION("""COMPUTED_VALUE"""),"2019/11/06 14:20:00")</f>
        <v>2019/11/06 14:20:00</v>
      </c>
      <c r="F10" s="49" t="str">
        <f>IFERROR(__xludf.DUMMYFUNCTION("""COMPUTED_VALUE"""),"04201e3d-9c27-47dc-8f9f-a7be028ef320")</f>
        <v>04201e3d-9c27-47dc-8f9f-a7be028ef320</v>
      </c>
      <c r="G10" s="52">
        <f>IFERROR(__xludf.DUMMYFUNCTION("""COMPUTED_VALUE"""),43775.0)</f>
        <v>43775</v>
      </c>
      <c r="H10" s="53">
        <f>IFERROR(__xludf.DUMMYFUNCTION("""COMPUTED_VALUE"""),0.5833333333333334)</f>
        <v>0.5833333333</v>
      </c>
      <c r="I10" s="52">
        <f>IFERROR(__xludf.DUMMYFUNCTION("""COMPUTED_VALUE"""),43775.0)</f>
        <v>43775</v>
      </c>
      <c r="J10" s="53">
        <f>IFERROR(__xludf.DUMMYFUNCTION("""COMPUTED_VALUE"""),0.5972222222222222)</f>
        <v>0.5972222222</v>
      </c>
      <c r="K10" s="53">
        <f t="shared" si="1"/>
        <v>0.01388888889</v>
      </c>
      <c r="L10" s="49" t="s">
        <v>109</v>
      </c>
      <c r="M10" s="62" t="s">
        <v>524</v>
      </c>
      <c r="N10" s="62" t="str">
        <f t="shared" si="2"/>
        <v>MC_6_8_04201e3d-9c27-47dc-8f9f-a7be028ef320_000000_000000.mp4</v>
      </c>
      <c r="O10" s="48"/>
      <c r="P10" s="48"/>
      <c r="Q10" s="63"/>
      <c r="R10" s="49"/>
      <c r="S10" s="49"/>
      <c r="T10" s="49"/>
    </row>
    <row r="11">
      <c r="A11" s="49" t="str">
        <f>IFERROR(__xludf.DUMMYFUNCTION("""COMPUTED_VALUE"""),"Akon, Akoin and Africa's emerging economy")</f>
        <v>Akon, Akoin and Africa's emerging economy</v>
      </c>
      <c r="B11" s="49" t="str">
        <f>IFERROR(__xludf.DUMMYFUNCTION("""COMPUTED_VALUE"""),"MoneyConf")</f>
        <v>MoneyConf</v>
      </c>
      <c r="C11" s="51" t="str">
        <f>IFERROR(__xludf.DUMMYFUNCTION("""COMPUTED_VALUE""")," , Jon Karas and Noelle Acheson")</f>
        <v> , Jon Karas and Noelle Acheson</v>
      </c>
      <c r="D11" s="49" t="str">
        <f>IFERROR(__xludf.DUMMYFUNCTION("""COMPUTED_VALUE"""),"2019/11/06 14:20:00")</f>
        <v>2019/11/06 14:20:00</v>
      </c>
      <c r="E11" s="49" t="str">
        <f>IFERROR(__xludf.DUMMYFUNCTION("""COMPUTED_VALUE"""),"2019/11/06 14:40:00")</f>
        <v>2019/11/06 14:40:00</v>
      </c>
      <c r="F11" s="49" t="str">
        <f>IFERROR(__xludf.DUMMYFUNCTION("""COMPUTED_VALUE"""),"e719ab39-a0f3-4cf3-b97a-c7421a9b892d")</f>
        <v>e719ab39-a0f3-4cf3-b97a-c7421a9b892d</v>
      </c>
      <c r="G11" s="52">
        <f>IFERROR(__xludf.DUMMYFUNCTION("""COMPUTED_VALUE"""),43775.0)</f>
        <v>43775</v>
      </c>
      <c r="H11" s="53">
        <f>IFERROR(__xludf.DUMMYFUNCTION("""COMPUTED_VALUE"""),0.5972222222222222)</f>
        <v>0.5972222222</v>
      </c>
      <c r="I11" s="52">
        <f>IFERROR(__xludf.DUMMYFUNCTION("""COMPUTED_VALUE"""),43775.0)</f>
        <v>43775</v>
      </c>
      <c r="J11" s="53">
        <f>IFERROR(__xludf.DUMMYFUNCTION("""COMPUTED_VALUE"""),0.6111111111111112)</f>
        <v>0.6111111111</v>
      </c>
      <c r="K11" s="53">
        <f t="shared" si="1"/>
        <v>0.01388888889</v>
      </c>
      <c r="L11" s="49" t="s">
        <v>109</v>
      </c>
      <c r="M11" s="62" t="s">
        <v>525</v>
      </c>
      <c r="N11" s="62" t="str">
        <f t="shared" si="2"/>
        <v>MC_6_9_e719ab39-a0f3-4cf3-b97a-c7421a9b892d_000000_000000.mp4</v>
      </c>
      <c r="O11" s="48"/>
      <c r="P11" s="48"/>
      <c r="Q11" s="63"/>
      <c r="R11" s="49"/>
      <c r="S11" s="49"/>
      <c r="T11" s="49"/>
    </row>
    <row r="12">
      <c r="A12" s="49" t="str">
        <f>IFERROR(__xludf.DUMMYFUNCTION("""COMPUTED_VALUE"""),"All about that BaaS ")</f>
        <v>All about that BaaS </v>
      </c>
      <c r="B12" s="49" t="str">
        <f>IFERROR(__xludf.DUMMYFUNCTION("""COMPUTED_VALUE"""),"MoneyConf")</f>
        <v>MoneyConf</v>
      </c>
      <c r="C12" s="51" t="str">
        <f>IFERROR(__xludf.DUMMYFUNCTION("""COMPUTED_VALUE"""),"Tom Villante, Roland Folz and Felix Holtermann")</f>
        <v>Tom Villante, Roland Folz and Felix Holtermann</v>
      </c>
      <c r="D12" s="49" t="str">
        <f>IFERROR(__xludf.DUMMYFUNCTION("""COMPUTED_VALUE"""),"2019/11/06 14:40:00")</f>
        <v>2019/11/06 14:40:00</v>
      </c>
      <c r="E12" s="49" t="str">
        <f>IFERROR(__xludf.DUMMYFUNCTION("""COMPUTED_VALUE"""),"2019/11/06 15:00:00")</f>
        <v>2019/11/06 15:00:00</v>
      </c>
      <c r="F12" s="49" t="str">
        <f>IFERROR(__xludf.DUMMYFUNCTION("""COMPUTED_VALUE"""),"bdeab019-11a2-4f2f-b847-766c8fa05fc2")</f>
        <v>bdeab019-11a2-4f2f-b847-766c8fa05fc2</v>
      </c>
      <c r="G12" s="52">
        <f>IFERROR(__xludf.DUMMYFUNCTION("""COMPUTED_VALUE"""),43775.0)</f>
        <v>43775</v>
      </c>
      <c r="H12" s="53">
        <f>IFERROR(__xludf.DUMMYFUNCTION("""COMPUTED_VALUE"""),0.6111111111111112)</f>
        <v>0.6111111111</v>
      </c>
      <c r="I12" s="52">
        <f>IFERROR(__xludf.DUMMYFUNCTION("""COMPUTED_VALUE"""),43775.0)</f>
        <v>43775</v>
      </c>
      <c r="J12" s="53">
        <f>IFERROR(__xludf.DUMMYFUNCTION("""COMPUTED_VALUE"""),0.625)</f>
        <v>0.625</v>
      </c>
      <c r="K12" s="53">
        <f t="shared" si="1"/>
        <v>0.01388888889</v>
      </c>
      <c r="L12" s="49" t="s">
        <v>109</v>
      </c>
      <c r="M12" s="62" t="s">
        <v>527</v>
      </c>
      <c r="N12" s="62" t="str">
        <f t="shared" si="2"/>
        <v>MC_6_10_bdeab019-11a2-4f2f-b847-766c8fa05fc2_000000_000000.mp4</v>
      </c>
      <c r="O12" s="48"/>
      <c r="P12" s="48"/>
      <c r="Q12" s="63"/>
      <c r="R12" s="49"/>
      <c r="S12" s="49"/>
      <c r="T12" s="49"/>
    </row>
    <row r="13">
      <c r="A13" s="49" t="str">
        <f>IFERROR(__xludf.DUMMYFUNCTION("""COMPUTED_VALUE"""),"Fintech v big tech: Competitive consumer experience")</f>
        <v>Fintech v big tech: Competitive consumer experience</v>
      </c>
      <c r="B13" s="49" t="str">
        <f>IFERROR(__xludf.DUMMYFUNCTION("""COMPUTED_VALUE"""),"MoneyConf")</f>
        <v>MoneyConf</v>
      </c>
      <c r="C13" s="51" t="str">
        <f>IFERROR(__xludf.DUMMYFUNCTION("""COMPUTED_VALUE"""),"Jaspar Weir, Matthew Crummack, Madalena Cascais Tomé and Jordan French")</f>
        <v>Jaspar Weir, Matthew Crummack, Madalena Cascais Tomé and Jordan French</v>
      </c>
      <c r="D13" s="49" t="str">
        <f>IFERROR(__xludf.DUMMYFUNCTION("""COMPUTED_VALUE"""),"2019/11/06 15:00:00")</f>
        <v>2019/11/06 15:00:00</v>
      </c>
      <c r="E13" s="49" t="str">
        <f>IFERROR(__xludf.DUMMYFUNCTION("""COMPUTED_VALUE"""),"2019/11/06 15:25:00")</f>
        <v>2019/11/06 15:25:00</v>
      </c>
      <c r="F13" s="49" t="str">
        <f>IFERROR(__xludf.DUMMYFUNCTION("""COMPUTED_VALUE"""),"1a73884b-5946-481c-aa1b-62dd927d535d")</f>
        <v>1a73884b-5946-481c-aa1b-62dd927d535d</v>
      </c>
      <c r="G13" s="52">
        <f>IFERROR(__xludf.DUMMYFUNCTION("""COMPUTED_VALUE"""),43775.0)</f>
        <v>43775</v>
      </c>
      <c r="H13" s="53">
        <f>IFERROR(__xludf.DUMMYFUNCTION("""COMPUTED_VALUE"""),0.625)</f>
        <v>0.625</v>
      </c>
      <c r="I13" s="52">
        <f>IFERROR(__xludf.DUMMYFUNCTION("""COMPUTED_VALUE"""),43775.0)</f>
        <v>43775</v>
      </c>
      <c r="J13" s="53">
        <f>IFERROR(__xludf.DUMMYFUNCTION("""COMPUTED_VALUE"""),0.6423611111111112)</f>
        <v>0.6423611111</v>
      </c>
      <c r="K13" s="53">
        <f t="shared" si="1"/>
        <v>0.01736111111</v>
      </c>
      <c r="L13" s="49" t="s">
        <v>111</v>
      </c>
      <c r="M13" s="62" t="s">
        <v>529</v>
      </c>
      <c r="N13" s="62" t="str">
        <f t="shared" si="2"/>
        <v>MC_6_11_1a73884b-5946-481c-aa1b-62dd927d535d_000000_000000.mp4</v>
      </c>
      <c r="O13" s="48"/>
      <c r="P13" s="48"/>
      <c r="Q13" s="63"/>
      <c r="R13" s="49"/>
      <c r="S13" s="49"/>
      <c r="T13" s="49"/>
    </row>
    <row r="14">
      <c r="A14" s="49" t="str">
        <f>IFERROR(__xludf.DUMMYFUNCTION("""COMPUTED_VALUE"""),"The making (and marketing) of Mastercard")</f>
        <v>The making (and marketing) of Mastercard</v>
      </c>
      <c r="B14" s="49" t="str">
        <f>IFERROR(__xludf.DUMMYFUNCTION("""COMPUTED_VALUE"""),"MoneyConf")</f>
        <v>MoneyConf</v>
      </c>
      <c r="C14" s="51" t="str">
        <f>IFERROR(__xludf.DUMMYFUNCTION("""COMPUTED_VALUE"""),"Raja Rajamannar and Katie Deighton")</f>
        <v>Raja Rajamannar and Katie Deighton</v>
      </c>
      <c r="D14" s="49" t="str">
        <f>IFERROR(__xludf.DUMMYFUNCTION("""COMPUTED_VALUE"""),"2019/11/06 15:25:00")</f>
        <v>2019/11/06 15:25:00</v>
      </c>
      <c r="E14" s="49" t="str">
        <f>IFERROR(__xludf.DUMMYFUNCTION("""COMPUTED_VALUE"""),"2019/11/06 15:50:00")</f>
        <v>2019/11/06 15:50:00</v>
      </c>
      <c r="F14" s="49" t="str">
        <f>IFERROR(__xludf.DUMMYFUNCTION("""COMPUTED_VALUE"""),"d7e81483-6b37-4234-8d71-24fe33b4653a")</f>
        <v>d7e81483-6b37-4234-8d71-24fe33b4653a</v>
      </c>
      <c r="G14" s="52">
        <f>IFERROR(__xludf.DUMMYFUNCTION("""COMPUTED_VALUE"""),43775.0)</f>
        <v>43775</v>
      </c>
      <c r="H14" s="53">
        <f>IFERROR(__xludf.DUMMYFUNCTION("""COMPUTED_VALUE"""),0.6423611111111112)</f>
        <v>0.6423611111</v>
      </c>
      <c r="I14" s="52">
        <f>IFERROR(__xludf.DUMMYFUNCTION("""COMPUTED_VALUE"""),43775.0)</f>
        <v>43775</v>
      </c>
      <c r="J14" s="53">
        <f>IFERROR(__xludf.DUMMYFUNCTION("""COMPUTED_VALUE"""),0.6597222222222222)</f>
        <v>0.6597222222</v>
      </c>
      <c r="K14" s="53">
        <f t="shared" si="1"/>
        <v>0.01736111111</v>
      </c>
      <c r="L14" s="49" t="s">
        <v>111</v>
      </c>
      <c r="M14" s="62" t="s">
        <v>531</v>
      </c>
      <c r="N14" s="62" t="str">
        <f t="shared" si="2"/>
        <v>MC_6_12_d7e81483-6b37-4234-8d71-24fe33b4653a_000000_000000.mp4</v>
      </c>
      <c r="O14" s="48"/>
      <c r="P14" s="48"/>
      <c r="Q14" s="63"/>
      <c r="R14" s="49"/>
      <c r="S14" s="49"/>
      <c r="T14" s="49"/>
    </row>
    <row r="15">
      <c r="A15" s="49" t="str">
        <f>IFERROR(__xludf.DUMMYFUNCTION("""COMPUTED_VALUE"""),"Opening remarks")</f>
        <v>Opening remarks</v>
      </c>
      <c r="B15" s="49" t="str">
        <f>IFERROR(__xludf.DUMMYFUNCTION("""COMPUTED_VALUE"""),"MoneyConf")</f>
        <v>MoneyConf</v>
      </c>
      <c r="C15" s="51" t="str">
        <f>IFERROR(__xludf.DUMMYFUNCTION("""COMPUTED_VALUE"""),"Anna Scally")</f>
        <v>Anna Scally</v>
      </c>
      <c r="D15" s="49" t="str">
        <f>IFERROR(__xludf.DUMMYFUNCTION("""COMPUTED_VALUE"""),"2019/11/07 10:45:00")</f>
        <v>2019/11/07 10:45:00</v>
      </c>
      <c r="E15" s="49" t="str">
        <f>IFERROR(__xludf.DUMMYFUNCTION("""COMPUTED_VALUE"""),"2019/11/07 11:00:00")</f>
        <v>2019/11/07 11:00:00</v>
      </c>
      <c r="F15" s="49" t="str">
        <f>IFERROR(__xludf.DUMMYFUNCTION("""COMPUTED_VALUE"""),"4c0432e1-70f0-4142-9405-efa53da6f706")</f>
        <v>4c0432e1-70f0-4142-9405-efa53da6f706</v>
      </c>
      <c r="G15" s="52">
        <f>IFERROR(__xludf.DUMMYFUNCTION("""COMPUTED_VALUE"""),43776.0)</f>
        <v>43776</v>
      </c>
      <c r="H15" s="53">
        <f>IFERROR(__xludf.DUMMYFUNCTION("""COMPUTED_VALUE"""),0.4479166666666667)</f>
        <v>0.4479166667</v>
      </c>
      <c r="I15" s="52">
        <f>IFERROR(__xludf.DUMMYFUNCTION("""COMPUTED_VALUE"""),43776.0)</f>
        <v>43776</v>
      </c>
      <c r="J15" s="53">
        <f>IFERROR(__xludf.DUMMYFUNCTION("""COMPUTED_VALUE"""),0.4583333333333333)</f>
        <v>0.4583333333</v>
      </c>
      <c r="K15" s="53">
        <f t="shared" si="1"/>
        <v>0.01041666667</v>
      </c>
      <c r="L15" s="49" t="s">
        <v>118</v>
      </c>
      <c r="M15" s="62" t="s">
        <v>533</v>
      </c>
      <c r="N15" s="62" t="str">
        <f t="shared" si="2"/>
        <v>MC_7_1_4c0432e1-70f0-4142-9405-efa53da6f706_000000_000000.mp4</v>
      </c>
      <c r="O15" s="48"/>
      <c r="P15" s="48"/>
      <c r="Q15" s="63"/>
      <c r="R15" s="49"/>
      <c r="S15" s="49"/>
      <c r="T15" s="49"/>
    </row>
    <row r="16">
      <c r="A16" s="49" t="str">
        <f>IFERROR(__xludf.DUMMYFUNCTION("""COMPUTED_VALUE"""),"Starling's story: Challenging the challengers")</f>
        <v>Starling's story: Challenging the challengers</v>
      </c>
      <c r="B16" s="49" t="str">
        <f>IFERROR(__xludf.DUMMYFUNCTION("""COMPUTED_VALUE"""),"MoneyConf")</f>
        <v>MoneyConf</v>
      </c>
      <c r="C16" s="51" t="str">
        <f>IFERROR(__xludf.DUMMYFUNCTION("""COMPUTED_VALUE"""),"Anne Boden and Oscar Williams-Grut")</f>
        <v>Anne Boden and Oscar Williams-Grut</v>
      </c>
      <c r="D16" s="49" t="str">
        <f>IFERROR(__xludf.DUMMYFUNCTION("""COMPUTED_VALUE"""),"2019/11/07 11:00:00")</f>
        <v>2019/11/07 11:00:00</v>
      </c>
      <c r="E16" s="49" t="str">
        <f>IFERROR(__xludf.DUMMYFUNCTION("""COMPUTED_VALUE"""),"2019/11/07 11:20:00")</f>
        <v>2019/11/07 11:20:00</v>
      </c>
      <c r="F16" s="49" t="str">
        <f>IFERROR(__xludf.DUMMYFUNCTION("""COMPUTED_VALUE"""),"7c33185b-a132-4653-8d48-9e406aa8662c")</f>
        <v>7c33185b-a132-4653-8d48-9e406aa8662c</v>
      </c>
      <c r="G16" s="52">
        <f>IFERROR(__xludf.DUMMYFUNCTION("""COMPUTED_VALUE"""),43776.0)</f>
        <v>43776</v>
      </c>
      <c r="H16" s="53">
        <f>IFERROR(__xludf.DUMMYFUNCTION("""COMPUTED_VALUE"""),0.4583333333333333)</f>
        <v>0.4583333333</v>
      </c>
      <c r="I16" s="52">
        <f>IFERROR(__xludf.DUMMYFUNCTION("""COMPUTED_VALUE"""),43776.0)</f>
        <v>43776</v>
      </c>
      <c r="J16" s="53">
        <f>IFERROR(__xludf.DUMMYFUNCTION("""COMPUTED_VALUE"""),0.4722222222222222)</f>
        <v>0.4722222222</v>
      </c>
      <c r="K16" s="53">
        <f t="shared" si="1"/>
        <v>0.01388888889</v>
      </c>
      <c r="L16" s="49" t="s">
        <v>109</v>
      </c>
      <c r="M16" s="62" t="s">
        <v>534</v>
      </c>
      <c r="N16" s="62" t="str">
        <f t="shared" si="2"/>
        <v>MC_7_2_7c33185b-a132-4653-8d48-9e406aa8662c_000000_000000.mp4</v>
      </c>
      <c r="O16" s="48"/>
      <c r="P16" s="48"/>
      <c r="Q16" s="63"/>
      <c r="R16" s="49"/>
      <c r="S16" s="49"/>
      <c r="T16" s="49"/>
    </row>
    <row r="17">
      <c r="A17" s="49" t="str">
        <f>IFERROR(__xludf.DUMMYFUNCTION("""COMPUTED_VALUE"""),"Innovating financial giants")</f>
        <v>Innovating financial giants</v>
      </c>
      <c r="B17" s="49" t="str">
        <f>IFERROR(__xludf.DUMMYFUNCTION("""COMPUTED_VALUE"""),"MoneyConf")</f>
        <v>MoneyConf</v>
      </c>
      <c r="C17" s="51" t="str">
        <f>IFERROR(__xludf.DUMMYFUNCTION("""COMPUTED_VALUE"""),"Claire Calmejane, Sean Ringsted, Tunde Kehinde and Gerhard Elfers")</f>
        <v>Claire Calmejane, Sean Ringsted, Tunde Kehinde and Gerhard Elfers</v>
      </c>
      <c r="D17" s="49" t="str">
        <f>IFERROR(__xludf.DUMMYFUNCTION("""COMPUTED_VALUE"""),"2019/11/07 11:20:00")</f>
        <v>2019/11/07 11:20:00</v>
      </c>
      <c r="E17" s="49" t="str">
        <f>IFERROR(__xludf.DUMMYFUNCTION("""COMPUTED_VALUE"""),"2019/11/07 11:40:00")</f>
        <v>2019/11/07 11:40:00</v>
      </c>
      <c r="F17" s="49" t="str">
        <f>IFERROR(__xludf.DUMMYFUNCTION("""COMPUTED_VALUE"""),"245e619a-1bca-441e-bee1-d3bc644969b0")</f>
        <v>245e619a-1bca-441e-bee1-d3bc644969b0</v>
      </c>
      <c r="G17" s="52">
        <f>IFERROR(__xludf.DUMMYFUNCTION("""COMPUTED_VALUE"""),43776.0)</f>
        <v>43776</v>
      </c>
      <c r="H17" s="53">
        <f>IFERROR(__xludf.DUMMYFUNCTION("""COMPUTED_VALUE"""),0.4722222222222222)</f>
        <v>0.4722222222</v>
      </c>
      <c r="I17" s="52">
        <f>IFERROR(__xludf.DUMMYFUNCTION("""COMPUTED_VALUE"""),43776.0)</f>
        <v>43776</v>
      </c>
      <c r="J17" s="53">
        <f>IFERROR(__xludf.DUMMYFUNCTION("""COMPUTED_VALUE"""),0.4861111111111111)</f>
        <v>0.4861111111</v>
      </c>
      <c r="K17" s="53">
        <f t="shared" si="1"/>
        <v>0.01388888889</v>
      </c>
      <c r="L17" s="49" t="s">
        <v>109</v>
      </c>
      <c r="M17" s="62" t="s">
        <v>535</v>
      </c>
      <c r="N17" s="62" t="str">
        <f t="shared" si="2"/>
        <v>MC_7_3_245e619a-1bca-441e-bee1-d3bc644969b0_000000_000000.mp4</v>
      </c>
      <c r="O17" s="48"/>
      <c r="P17" s="48"/>
      <c r="Q17" s="63"/>
      <c r="R17" s="49"/>
      <c r="S17" s="49"/>
      <c r="T17" s="49"/>
    </row>
    <row r="18">
      <c r="A18" s="49" t="str">
        <f>IFERROR(__xludf.DUMMYFUNCTION("""COMPUTED_VALUE"""),"Do fintechs care about your financial health?")</f>
        <v>Do fintechs care about your financial health?</v>
      </c>
      <c r="B18" s="49" t="str">
        <f>IFERROR(__xludf.DUMMYFUNCTION("""COMPUTED_VALUE"""),"MoneyConf")</f>
        <v>MoneyConf</v>
      </c>
      <c r="C18" s="51" t="str">
        <f>IFERROR(__xludf.DUMMYFUNCTION("""COMPUTED_VALUE"""),"Yoni Assia, Elnor Rozenrot and Matthieu Favas")</f>
        <v>Yoni Assia, Elnor Rozenrot and Matthieu Favas</v>
      </c>
      <c r="D18" s="49" t="str">
        <f>IFERROR(__xludf.DUMMYFUNCTION("""COMPUTED_VALUE"""),"2019/11/07 11:40:00")</f>
        <v>2019/11/07 11:40:00</v>
      </c>
      <c r="E18" s="49" t="str">
        <f>IFERROR(__xludf.DUMMYFUNCTION("""COMPUTED_VALUE"""),"2019/11/07 12:10:00")</f>
        <v>2019/11/07 12:10:00</v>
      </c>
      <c r="F18" s="49" t="str">
        <f>IFERROR(__xludf.DUMMYFUNCTION("""COMPUTED_VALUE"""),"073251c7-796d-48ab-9270-cd9b3b6dc0fb")</f>
        <v>073251c7-796d-48ab-9270-cd9b3b6dc0fb</v>
      </c>
      <c r="G18" s="52">
        <f>IFERROR(__xludf.DUMMYFUNCTION("""COMPUTED_VALUE"""),43776.0)</f>
        <v>43776</v>
      </c>
      <c r="H18" s="53">
        <f>IFERROR(__xludf.DUMMYFUNCTION("""COMPUTED_VALUE"""),0.4861111111111111)</f>
        <v>0.4861111111</v>
      </c>
      <c r="I18" s="52">
        <f>IFERROR(__xludf.DUMMYFUNCTION("""COMPUTED_VALUE"""),43776.0)</f>
        <v>43776</v>
      </c>
      <c r="J18" s="53">
        <f>IFERROR(__xludf.DUMMYFUNCTION("""COMPUTED_VALUE"""),0.5069444444444444)</f>
        <v>0.5069444444</v>
      </c>
      <c r="K18" s="53">
        <f t="shared" si="1"/>
        <v>0.02083333333</v>
      </c>
      <c r="L18" s="49" t="s">
        <v>105</v>
      </c>
      <c r="M18" s="62" t="s">
        <v>536</v>
      </c>
      <c r="N18" s="62" t="str">
        <f t="shared" si="2"/>
        <v>MC_7_4_073251c7-796d-48ab-9270-cd9b3b6dc0fb_000000_000000.mp4</v>
      </c>
      <c r="O18" s="48"/>
      <c r="P18" s="48"/>
      <c r="Q18" s="63"/>
      <c r="R18" s="49"/>
      <c r="S18" s="49"/>
      <c r="T18" s="49"/>
    </row>
    <row r="19">
      <c r="A19" s="49" t="str">
        <f>IFERROR(__xludf.DUMMYFUNCTION("""COMPUTED_VALUE"""),"Can you really trust your bank?")</f>
        <v>Can you really trust your bank?</v>
      </c>
      <c r="B19" s="49" t="str">
        <f>IFERROR(__xludf.DUMMYFUNCTION("""COMPUTED_VALUE"""),"MoneyConf")</f>
        <v>MoneyConf</v>
      </c>
      <c r="C19" s="51" t="str">
        <f>IFERROR(__xludf.DUMMYFUNCTION("""COMPUTED_VALUE"""),"Jacqueline Molnar, Carolina Abenante, Marco Peereboom and Natalia Drozdiak")</f>
        <v>Jacqueline Molnar, Carolina Abenante, Marco Peereboom and Natalia Drozdiak</v>
      </c>
      <c r="D19" s="49" t="str">
        <f>IFERROR(__xludf.DUMMYFUNCTION("""COMPUTED_VALUE"""),"2019/11/07 12:10:00")</f>
        <v>2019/11/07 12:10:00</v>
      </c>
      <c r="E19" s="49" t="str">
        <f>IFERROR(__xludf.DUMMYFUNCTION("""COMPUTED_VALUE"""),"2019/11/07 12:35:00")</f>
        <v>2019/11/07 12:35:00</v>
      </c>
      <c r="F19" s="49" t="str">
        <f>IFERROR(__xludf.DUMMYFUNCTION("""COMPUTED_VALUE"""),"10ff947c-3ad2-43ce-a680-6d56260375b1")</f>
        <v>10ff947c-3ad2-43ce-a680-6d56260375b1</v>
      </c>
      <c r="G19" s="52">
        <f>IFERROR(__xludf.DUMMYFUNCTION("""COMPUTED_VALUE"""),43776.0)</f>
        <v>43776</v>
      </c>
      <c r="H19" s="53">
        <f>IFERROR(__xludf.DUMMYFUNCTION("""COMPUTED_VALUE"""),0.5069444444444444)</f>
        <v>0.5069444444</v>
      </c>
      <c r="I19" s="52">
        <f>IFERROR(__xludf.DUMMYFUNCTION("""COMPUTED_VALUE"""),43776.0)</f>
        <v>43776</v>
      </c>
      <c r="J19" s="53">
        <f>IFERROR(__xludf.DUMMYFUNCTION("""COMPUTED_VALUE"""),0.5243055555555556)</f>
        <v>0.5243055556</v>
      </c>
      <c r="K19" s="53">
        <f t="shared" si="1"/>
        <v>0.01736111111</v>
      </c>
      <c r="L19" s="49" t="s">
        <v>111</v>
      </c>
      <c r="M19" s="62" t="s">
        <v>537</v>
      </c>
      <c r="N19" s="62" t="str">
        <f t="shared" si="2"/>
        <v>MC_7_5_10ff947c-3ad2-43ce-a680-6d56260375b1_000000_000000.mp4</v>
      </c>
      <c r="O19" s="48"/>
      <c r="P19" s="48"/>
      <c r="Q19" s="63"/>
      <c r="R19" s="49"/>
      <c r="S19" s="49"/>
      <c r="T19" s="49"/>
    </row>
    <row r="20">
      <c r="A20" s="49" t="str">
        <f>IFERROR(__xludf.DUMMYFUNCTION("""COMPUTED_VALUE"""),"Everybody loves a challenger (bank)")</f>
        <v>Everybody loves a challenger (bank)</v>
      </c>
      <c r="B20" s="49" t="str">
        <f>IFERROR(__xludf.DUMMYFUNCTION("""COMPUTED_VALUE"""),"MoneyConf")</f>
        <v>MoneyConf</v>
      </c>
      <c r="C20" s="51" t="str">
        <f>IFERROR(__xludf.DUMMYFUNCTION("""COMPUTED_VALUE"""),"Henrique Dubugras and Peter Thal Larsen")</f>
        <v>Henrique Dubugras and Peter Thal Larsen</v>
      </c>
      <c r="D20" s="49" t="str">
        <f>IFERROR(__xludf.DUMMYFUNCTION("""COMPUTED_VALUE"""),"2019/11/07 12:35:00")</f>
        <v>2019/11/07 12:35:00</v>
      </c>
      <c r="E20" s="49" t="str">
        <f>IFERROR(__xludf.DUMMYFUNCTION("""COMPUTED_VALUE"""),"2019/11/07 13:00:00")</f>
        <v>2019/11/07 13:00:00</v>
      </c>
      <c r="F20" s="49" t="str">
        <f>IFERROR(__xludf.DUMMYFUNCTION("""COMPUTED_VALUE"""),"5cc24bbc-64bd-4416-ad2b-88907b9a23da")</f>
        <v>5cc24bbc-64bd-4416-ad2b-88907b9a23da</v>
      </c>
      <c r="G20" s="52">
        <f>IFERROR(__xludf.DUMMYFUNCTION("""COMPUTED_VALUE"""),43776.0)</f>
        <v>43776</v>
      </c>
      <c r="H20" s="53">
        <f>IFERROR(__xludf.DUMMYFUNCTION("""COMPUTED_VALUE"""),0.5243055555555556)</f>
        <v>0.5243055556</v>
      </c>
      <c r="I20" s="52">
        <f>IFERROR(__xludf.DUMMYFUNCTION("""COMPUTED_VALUE"""),43776.0)</f>
        <v>43776</v>
      </c>
      <c r="J20" s="53">
        <f>IFERROR(__xludf.DUMMYFUNCTION("""COMPUTED_VALUE"""),0.5416666666666666)</f>
        <v>0.5416666667</v>
      </c>
      <c r="K20" s="53">
        <f t="shared" si="1"/>
        <v>0.01736111111</v>
      </c>
      <c r="L20" s="49" t="s">
        <v>111</v>
      </c>
      <c r="M20" s="62" t="s">
        <v>538</v>
      </c>
      <c r="N20" s="62" t="str">
        <f t="shared" si="2"/>
        <v>MC_7_6_5cc24bbc-64bd-4416-ad2b-88907b9a23da_000000_000000.mp4</v>
      </c>
      <c r="O20" s="48"/>
      <c r="P20" s="48"/>
      <c r="Q20" s="63"/>
      <c r="R20" s="49"/>
      <c r="S20" s="49"/>
      <c r="T20" s="49"/>
    </row>
    <row r="21">
      <c r="A21" s="49" t="str">
        <f>IFERROR(__xludf.DUMMYFUNCTION("""COMPUTED_VALUE"""),"The democratisation of banking ")</f>
        <v>The democratisation of banking </v>
      </c>
      <c r="B21" s="49" t="str">
        <f>IFERROR(__xludf.DUMMYFUNCTION("""COMPUTED_VALUE"""),"MoneyConf")</f>
        <v>MoneyConf</v>
      </c>
      <c r="C21" s="51" t="str">
        <f>IFERROR(__xludf.DUMMYFUNCTION("""COMPUTED_VALUE"""),"Tamaz Georgadze and Callum Burroughs")</f>
        <v>Tamaz Georgadze and Callum Burroughs</v>
      </c>
      <c r="D21" s="49" t="str">
        <f>IFERROR(__xludf.DUMMYFUNCTION("""COMPUTED_VALUE"""),"2019/11/07 13:00:00")</f>
        <v>2019/11/07 13:00:00</v>
      </c>
      <c r="E21" s="49" t="str">
        <f>IFERROR(__xludf.DUMMYFUNCTION("""COMPUTED_VALUE"""),"2019/11/07 13:20:00")</f>
        <v>2019/11/07 13:20:00</v>
      </c>
      <c r="F21" s="49" t="str">
        <f>IFERROR(__xludf.DUMMYFUNCTION("""COMPUTED_VALUE"""),"41166d01-eab0-4807-a8a3-d33e96da71fc")</f>
        <v>41166d01-eab0-4807-a8a3-d33e96da71fc</v>
      </c>
      <c r="G21" s="52">
        <f>IFERROR(__xludf.DUMMYFUNCTION("""COMPUTED_VALUE"""),43776.0)</f>
        <v>43776</v>
      </c>
      <c r="H21" s="53">
        <f>IFERROR(__xludf.DUMMYFUNCTION("""COMPUTED_VALUE"""),0.5416666666666666)</f>
        <v>0.5416666667</v>
      </c>
      <c r="I21" s="52">
        <f>IFERROR(__xludf.DUMMYFUNCTION("""COMPUTED_VALUE"""),43776.0)</f>
        <v>43776</v>
      </c>
      <c r="J21" s="53">
        <f>IFERROR(__xludf.DUMMYFUNCTION("""COMPUTED_VALUE"""),0.5555555555555556)</f>
        <v>0.5555555556</v>
      </c>
      <c r="K21" s="53">
        <f t="shared" si="1"/>
        <v>0.01388888889</v>
      </c>
      <c r="L21" s="49" t="s">
        <v>109</v>
      </c>
      <c r="M21" s="62" t="s">
        <v>539</v>
      </c>
      <c r="N21" s="62" t="str">
        <f t="shared" si="2"/>
        <v>MC_7_7_41166d01-eab0-4807-a8a3-d33e96da71fc_000000_000000.mp4</v>
      </c>
      <c r="O21" s="48"/>
      <c r="P21" s="48"/>
      <c r="Q21" s="63"/>
      <c r="R21" s="49"/>
      <c r="S21" s="49"/>
      <c r="T21" s="49"/>
    </row>
    <row r="22">
      <c r="A22" s="49" t="str">
        <f>IFERROR(__xludf.DUMMYFUNCTION("""COMPUTED_VALUE"""),"Lunch break")</f>
        <v>Lunch break</v>
      </c>
      <c r="B22" s="49" t="str">
        <f>IFERROR(__xludf.DUMMYFUNCTION("""COMPUTED_VALUE"""),"MoneyConf")</f>
        <v>MoneyConf</v>
      </c>
      <c r="C22" s="51" t="str">
        <f>IFERROR(__xludf.DUMMYFUNCTION("""COMPUTED_VALUE"""),"")</f>
        <v/>
      </c>
      <c r="D22" s="49" t="str">
        <f>IFERROR(__xludf.DUMMYFUNCTION("""COMPUTED_VALUE"""),"2019/11/07 13:20:00")</f>
        <v>2019/11/07 13:20:00</v>
      </c>
      <c r="E22" s="49" t="str">
        <f>IFERROR(__xludf.DUMMYFUNCTION("""COMPUTED_VALUE"""),"2019/11/07 13:50:00")</f>
        <v>2019/11/07 13:50:00</v>
      </c>
      <c r="F22" s="49" t="str">
        <f>IFERROR(__xludf.DUMMYFUNCTION("""COMPUTED_VALUE"""),"8b78f8a0-8152-45bd-b87f-f6ca7f17fea0")</f>
        <v>8b78f8a0-8152-45bd-b87f-f6ca7f17fea0</v>
      </c>
      <c r="G22" s="52">
        <f>IFERROR(__xludf.DUMMYFUNCTION("""COMPUTED_VALUE"""),43776.0)</f>
        <v>43776</v>
      </c>
      <c r="H22" s="53">
        <f>IFERROR(__xludf.DUMMYFUNCTION("""COMPUTED_VALUE"""),0.5555555555555556)</f>
        <v>0.5555555556</v>
      </c>
      <c r="I22" s="52">
        <f>IFERROR(__xludf.DUMMYFUNCTION("""COMPUTED_VALUE"""),43776.0)</f>
        <v>43776</v>
      </c>
      <c r="J22" s="53">
        <f>IFERROR(__xludf.DUMMYFUNCTION("""COMPUTED_VALUE"""),0.5763888888888888)</f>
        <v>0.5763888889</v>
      </c>
      <c r="K22" s="53">
        <f t="shared" si="1"/>
        <v>0.02083333333</v>
      </c>
      <c r="L22" s="49" t="s">
        <v>105</v>
      </c>
      <c r="M22" s="49"/>
      <c r="N22" s="62" t="str">
        <f t="shared" si="2"/>
        <v>_8b78f8a0-8152-45bd-b87f-f6ca7f17fea0_000000_000000.mp4</v>
      </c>
      <c r="O22" s="48"/>
      <c r="P22" s="48"/>
      <c r="Q22" s="63"/>
      <c r="R22" s="49"/>
      <c r="S22" s="49"/>
      <c r="T22" s="49"/>
    </row>
    <row r="23">
      <c r="A23" s="49" t="str">
        <f>IFERROR(__xludf.DUMMYFUNCTION("""COMPUTED_VALUE"""),"Opening remarks")</f>
        <v>Opening remarks</v>
      </c>
      <c r="B23" s="49" t="str">
        <f>IFERROR(__xludf.DUMMYFUNCTION("""COMPUTED_VALUE"""),"MoneyConf")</f>
        <v>MoneyConf</v>
      </c>
      <c r="C23" s="51" t="str">
        <f>IFERROR(__xludf.DUMMYFUNCTION("""COMPUTED_VALUE"""),"Roberto Hergueta")</f>
        <v>Roberto Hergueta</v>
      </c>
      <c r="D23" s="49" t="str">
        <f>IFERROR(__xludf.DUMMYFUNCTION("""COMPUTED_VALUE"""),"2019/11/07 13:50:00")</f>
        <v>2019/11/07 13:50:00</v>
      </c>
      <c r="E23" s="49" t="str">
        <f>IFERROR(__xludf.DUMMYFUNCTION("""COMPUTED_VALUE"""),"2019/11/07 14:05:00")</f>
        <v>2019/11/07 14:05:00</v>
      </c>
      <c r="F23" s="49" t="str">
        <f>IFERROR(__xludf.DUMMYFUNCTION("""COMPUTED_VALUE"""),"f0e2aaa8-e00f-4fa5-9471-e2c91aa78438")</f>
        <v>f0e2aaa8-e00f-4fa5-9471-e2c91aa78438</v>
      </c>
      <c r="G23" s="52">
        <f>IFERROR(__xludf.DUMMYFUNCTION("""COMPUTED_VALUE"""),43776.0)</f>
        <v>43776</v>
      </c>
      <c r="H23" s="53">
        <f>IFERROR(__xludf.DUMMYFUNCTION("""COMPUTED_VALUE"""),0.5763888888888888)</f>
        <v>0.5763888889</v>
      </c>
      <c r="I23" s="52">
        <f>IFERROR(__xludf.DUMMYFUNCTION("""COMPUTED_VALUE"""),43776.0)</f>
        <v>43776</v>
      </c>
      <c r="J23" s="53">
        <f>IFERROR(__xludf.DUMMYFUNCTION("""COMPUTED_VALUE"""),0.5868055555555556)</f>
        <v>0.5868055556</v>
      </c>
      <c r="K23" s="53">
        <f t="shared" si="1"/>
        <v>0.01041666667</v>
      </c>
      <c r="L23" s="49" t="s">
        <v>118</v>
      </c>
      <c r="M23" s="62" t="s">
        <v>540</v>
      </c>
      <c r="N23" s="62" t="str">
        <f t="shared" si="2"/>
        <v>MC_7_8_f0e2aaa8-e00f-4fa5-9471-e2c91aa78438_000000_000000.mp4</v>
      </c>
      <c r="O23" s="48"/>
      <c r="P23" s="48"/>
      <c r="Q23" s="63"/>
      <c r="R23" s="49"/>
      <c r="S23" s="49"/>
      <c r="T23" s="49"/>
    </row>
    <row r="24">
      <c r="A24" s="49" t="str">
        <f>IFERROR(__xludf.DUMMYFUNCTION("""COMPUTED_VALUE"""),"What's next in fintech? Investors show their hands ")</f>
        <v>What's next in fintech? Investors show their hands </v>
      </c>
      <c r="B24" s="49" t="str">
        <f>IFERROR(__xludf.DUMMYFUNCTION("""COMPUTED_VALUE"""),"MoneyConf")</f>
        <v>MoneyConf</v>
      </c>
      <c r="C24" s="51" t="str">
        <f>IFERROR(__xludf.DUMMYFUNCTION("""COMPUTED_VALUE"""),"Andrei Brasoveanu, Tara Reeves, Jeff Pulver and Matthieu Favas")</f>
        <v>Andrei Brasoveanu, Tara Reeves, Jeff Pulver and Matthieu Favas</v>
      </c>
      <c r="D24" s="49" t="str">
        <f>IFERROR(__xludf.DUMMYFUNCTION("""COMPUTED_VALUE"""),"2019/11/07 14:05:00")</f>
        <v>2019/11/07 14:05:00</v>
      </c>
      <c r="E24" s="49" t="str">
        <f>IFERROR(__xludf.DUMMYFUNCTION("""COMPUTED_VALUE"""),"2019/11/07 14:25:00")</f>
        <v>2019/11/07 14:25:00</v>
      </c>
      <c r="F24" s="49" t="str">
        <f>IFERROR(__xludf.DUMMYFUNCTION("""COMPUTED_VALUE"""),"6bb3207e-e613-431b-87d1-d0fb283173be")</f>
        <v>6bb3207e-e613-431b-87d1-d0fb283173be</v>
      </c>
      <c r="G24" s="52">
        <f>IFERROR(__xludf.DUMMYFUNCTION("""COMPUTED_VALUE"""),43776.0)</f>
        <v>43776</v>
      </c>
      <c r="H24" s="53">
        <f>IFERROR(__xludf.DUMMYFUNCTION("""COMPUTED_VALUE"""),0.5868055555555556)</f>
        <v>0.5868055556</v>
      </c>
      <c r="I24" s="52">
        <f>IFERROR(__xludf.DUMMYFUNCTION("""COMPUTED_VALUE"""),43776.0)</f>
        <v>43776</v>
      </c>
      <c r="J24" s="53">
        <f>IFERROR(__xludf.DUMMYFUNCTION("""COMPUTED_VALUE"""),0.6006944444444444)</f>
        <v>0.6006944444</v>
      </c>
      <c r="K24" s="53">
        <f t="shared" si="1"/>
        <v>0.01388888889</v>
      </c>
      <c r="L24" s="49" t="s">
        <v>109</v>
      </c>
      <c r="M24" s="62" t="s">
        <v>541</v>
      </c>
      <c r="N24" s="62" t="str">
        <f t="shared" si="2"/>
        <v>MC_7_9_6bb3207e-e613-431b-87d1-d0fb283173be_000000_000000.mp4</v>
      </c>
      <c r="O24" s="48"/>
      <c r="P24" s="48"/>
      <c r="Q24" s="63"/>
      <c r="R24" s="49"/>
      <c r="S24" s="49"/>
      <c r="T24" s="49"/>
    </row>
    <row r="25">
      <c r="A25" s="49" t="str">
        <f>IFERROR(__xludf.DUMMYFUNCTION("""COMPUTED_VALUE"""),"The giants of e-commerce, in conversation")</f>
        <v>The giants of e-commerce, in conversation</v>
      </c>
      <c r="B25" s="49" t="str">
        <f>IFERROR(__xludf.DUMMYFUNCTION("""COMPUTED_VALUE"""),"MoneyConf")</f>
        <v>MoneyConf</v>
      </c>
      <c r="C25" s="51" t="str">
        <f>IFERROR(__xludf.DUMMYFUNCTION("""COMPUTED_VALUE"""),"Werner Vogels, Alyssa Cutright, Tatyana Bakalchuk and Felix Holtermann")</f>
        <v>Werner Vogels, Alyssa Cutright, Tatyana Bakalchuk and Felix Holtermann</v>
      </c>
      <c r="D25" s="49" t="str">
        <f>IFERROR(__xludf.DUMMYFUNCTION("""COMPUTED_VALUE"""),"2019/11/07 14:25:00")</f>
        <v>2019/11/07 14:25:00</v>
      </c>
      <c r="E25" s="49" t="str">
        <f>IFERROR(__xludf.DUMMYFUNCTION("""COMPUTED_VALUE"""),"2019/11/07 14:50:00")</f>
        <v>2019/11/07 14:50:00</v>
      </c>
      <c r="F25" s="49" t="str">
        <f>IFERROR(__xludf.DUMMYFUNCTION("""COMPUTED_VALUE"""),"548adcf7-173e-475b-a0da-a87a23a55552")</f>
        <v>548adcf7-173e-475b-a0da-a87a23a55552</v>
      </c>
      <c r="G25" s="52">
        <f>IFERROR(__xludf.DUMMYFUNCTION("""COMPUTED_VALUE"""),43776.0)</f>
        <v>43776</v>
      </c>
      <c r="H25" s="53">
        <f>IFERROR(__xludf.DUMMYFUNCTION("""COMPUTED_VALUE"""),0.6006944444444444)</f>
        <v>0.6006944444</v>
      </c>
      <c r="I25" s="52">
        <f>IFERROR(__xludf.DUMMYFUNCTION("""COMPUTED_VALUE"""),43776.0)</f>
        <v>43776</v>
      </c>
      <c r="J25" s="53">
        <f>IFERROR(__xludf.DUMMYFUNCTION("""COMPUTED_VALUE"""),0.6180555555555556)</f>
        <v>0.6180555556</v>
      </c>
      <c r="K25" s="53">
        <f t="shared" si="1"/>
        <v>0.01736111111</v>
      </c>
      <c r="L25" s="49" t="s">
        <v>111</v>
      </c>
      <c r="M25" s="62" t="s">
        <v>542</v>
      </c>
      <c r="N25" s="62" t="str">
        <f t="shared" si="2"/>
        <v>MC_7_10_548adcf7-173e-475b-a0da-a87a23a55552_000000_000000.mp4</v>
      </c>
      <c r="O25" s="48"/>
      <c r="P25" s="48"/>
      <c r="Q25" s="63"/>
      <c r="R25" s="49"/>
      <c r="S25" s="49"/>
      <c r="T25" s="49"/>
    </row>
    <row r="26">
      <c r="A26" s="49" t="str">
        <f>IFERROR(__xludf.DUMMYFUNCTION("""COMPUTED_VALUE"""),"A manifesto for a more generous world")</f>
        <v>A manifesto for a more generous world</v>
      </c>
      <c r="B26" s="49" t="str">
        <f>IFERROR(__xludf.DUMMYFUNCTION("""COMPUTED_VALUE"""),"MoneyConf")</f>
        <v>MoneyConf</v>
      </c>
      <c r="C26" s="51" t="str">
        <f>IFERROR(__xludf.DUMMYFUNCTION("""COMPUTED_VALUE"""),"Yancey Strickler")</f>
        <v>Yancey Strickler</v>
      </c>
      <c r="D26" s="49" t="str">
        <f>IFERROR(__xludf.DUMMYFUNCTION("""COMPUTED_VALUE"""),"2019/11/07 14:50:00")</f>
        <v>2019/11/07 14:50:00</v>
      </c>
      <c r="E26" s="49" t="str">
        <f>IFERROR(__xludf.DUMMYFUNCTION("""COMPUTED_VALUE"""),"2019/11/07 15:10:00")</f>
        <v>2019/11/07 15:10:00</v>
      </c>
      <c r="F26" s="49" t="str">
        <f>IFERROR(__xludf.DUMMYFUNCTION("""COMPUTED_VALUE"""),"c64ad9c6-1b07-4457-aa8a-d1dbeb2d397a")</f>
        <v>c64ad9c6-1b07-4457-aa8a-d1dbeb2d397a</v>
      </c>
      <c r="G26" s="52">
        <f>IFERROR(__xludf.DUMMYFUNCTION("""COMPUTED_VALUE"""),43776.0)</f>
        <v>43776</v>
      </c>
      <c r="H26" s="53">
        <f>IFERROR(__xludf.DUMMYFUNCTION("""COMPUTED_VALUE"""),0.6180555555555556)</f>
        <v>0.6180555556</v>
      </c>
      <c r="I26" s="52">
        <f>IFERROR(__xludf.DUMMYFUNCTION("""COMPUTED_VALUE"""),43776.0)</f>
        <v>43776</v>
      </c>
      <c r="J26" s="53">
        <f>IFERROR(__xludf.DUMMYFUNCTION("""COMPUTED_VALUE"""),0.6319444444444444)</f>
        <v>0.6319444444</v>
      </c>
      <c r="K26" s="53">
        <f t="shared" si="1"/>
        <v>0.01388888889</v>
      </c>
      <c r="L26" s="49" t="s">
        <v>109</v>
      </c>
      <c r="M26" s="62" t="s">
        <v>543</v>
      </c>
      <c r="N26" s="62" t="str">
        <f t="shared" si="2"/>
        <v>MC_7_11_c64ad9c6-1b07-4457-aa8a-d1dbeb2d397a_000000_000000.mp4</v>
      </c>
      <c r="O26" s="48"/>
      <c r="P26" s="48"/>
      <c r="Q26" s="63"/>
      <c r="R26" s="49"/>
      <c r="S26" s="49"/>
      <c r="T26" s="49"/>
    </row>
    <row r="27">
      <c r="A27" s="49" t="str">
        <f>IFERROR(__xludf.DUMMYFUNCTION("""COMPUTED_VALUE"""),"Adapting crypto for the real world")</f>
        <v>Adapting crypto for the real world</v>
      </c>
      <c r="B27" s="49" t="str">
        <f>IFERROR(__xludf.DUMMYFUNCTION("""COMPUTED_VALUE"""),"MoneyConf")</f>
        <v>MoneyConf</v>
      </c>
      <c r="C27" s="51" t="str">
        <f>IFERROR(__xludf.DUMMYFUNCTION("""COMPUTED_VALUE"""),"Olga Feldmeier, Gin Chao, Leemon Baird and Anne Gaviola")</f>
        <v>Olga Feldmeier, Gin Chao, Leemon Baird and Anne Gaviola</v>
      </c>
      <c r="D27" s="49" t="str">
        <f>IFERROR(__xludf.DUMMYFUNCTION("""COMPUTED_VALUE"""),"2019/11/07 15:10:00")</f>
        <v>2019/11/07 15:10:00</v>
      </c>
      <c r="E27" s="49" t="str">
        <f>IFERROR(__xludf.DUMMYFUNCTION("""COMPUTED_VALUE"""),"2019/11/07 15:35:00")</f>
        <v>2019/11/07 15:35:00</v>
      </c>
      <c r="F27" s="49" t="str">
        <f>IFERROR(__xludf.DUMMYFUNCTION("""COMPUTED_VALUE"""),"78a8c54f-0c56-49bb-8be2-4d1e7b810ef5")</f>
        <v>78a8c54f-0c56-49bb-8be2-4d1e7b810ef5</v>
      </c>
      <c r="G27" s="52">
        <f>IFERROR(__xludf.DUMMYFUNCTION("""COMPUTED_VALUE"""),43776.0)</f>
        <v>43776</v>
      </c>
      <c r="H27" s="53">
        <f>IFERROR(__xludf.DUMMYFUNCTION("""COMPUTED_VALUE"""),0.6319444444444444)</f>
        <v>0.6319444444</v>
      </c>
      <c r="I27" s="52">
        <f>IFERROR(__xludf.DUMMYFUNCTION("""COMPUTED_VALUE"""),43776.0)</f>
        <v>43776</v>
      </c>
      <c r="J27" s="53">
        <f>IFERROR(__xludf.DUMMYFUNCTION("""COMPUTED_VALUE"""),0.6493055555555556)</f>
        <v>0.6493055556</v>
      </c>
      <c r="K27" s="53">
        <f t="shared" si="1"/>
        <v>0.01736111111</v>
      </c>
      <c r="L27" s="49" t="s">
        <v>111</v>
      </c>
      <c r="M27" s="62" t="s">
        <v>544</v>
      </c>
      <c r="N27" s="62" t="str">
        <f t="shared" si="2"/>
        <v>MC_7_12_78a8c54f-0c56-49bb-8be2-4d1e7b810ef5_000000_000000.mp4</v>
      </c>
      <c r="O27" s="48"/>
      <c r="P27" s="48"/>
      <c r="Q27" s="63"/>
      <c r="R27" s="49"/>
      <c r="S27" s="49"/>
      <c r="T27" s="49"/>
    </row>
    <row r="28">
      <c r="A28" s="49" t="str">
        <f>IFERROR(__xludf.DUMMYFUNCTION("""COMPUTED_VALUE"""),"Borders, Brexit and the future of finance")</f>
        <v>Borders, Brexit and the future of finance</v>
      </c>
      <c r="B28" s="49" t="str">
        <f>IFERROR(__xludf.DUMMYFUNCTION("""COMPUTED_VALUE"""),"MoneyConf")</f>
        <v>MoneyConf</v>
      </c>
      <c r="C28" s="51" t="str">
        <f>IFERROR(__xludf.DUMMYFUNCTION("""COMPUTED_VALUE"""),"Eva Kaili, Christoph Rieche and Philip Crowther")</f>
        <v>Eva Kaili, Christoph Rieche and Philip Crowther</v>
      </c>
      <c r="D28" s="49" t="str">
        <f>IFERROR(__xludf.DUMMYFUNCTION("""COMPUTED_VALUE"""),"2019/11/07 15:35:00")</f>
        <v>2019/11/07 15:35:00</v>
      </c>
      <c r="E28" s="49" t="str">
        <f>IFERROR(__xludf.DUMMYFUNCTION("""COMPUTED_VALUE"""),"2019/11/07 15:55:00")</f>
        <v>2019/11/07 15:55:00</v>
      </c>
      <c r="F28" s="49" t="str">
        <f>IFERROR(__xludf.DUMMYFUNCTION("""COMPUTED_VALUE"""),"5abc9ca6-c6a9-4cf6-8fef-336e20b9cd35")</f>
        <v>5abc9ca6-c6a9-4cf6-8fef-336e20b9cd35</v>
      </c>
      <c r="G28" s="52">
        <f>IFERROR(__xludf.DUMMYFUNCTION("""COMPUTED_VALUE"""),43776.0)</f>
        <v>43776</v>
      </c>
      <c r="H28" s="53">
        <f>IFERROR(__xludf.DUMMYFUNCTION("""COMPUTED_VALUE"""),0.6493055555555556)</f>
        <v>0.6493055556</v>
      </c>
      <c r="I28" s="52">
        <f>IFERROR(__xludf.DUMMYFUNCTION("""COMPUTED_VALUE"""),43776.0)</f>
        <v>43776</v>
      </c>
      <c r="J28" s="53">
        <f>IFERROR(__xludf.DUMMYFUNCTION("""COMPUTED_VALUE"""),0.6631944444444444)</f>
        <v>0.6631944444</v>
      </c>
      <c r="K28" s="53">
        <f t="shared" si="1"/>
        <v>0.01388888889</v>
      </c>
      <c r="L28" s="49" t="s">
        <v>109</v>
      </c>
      <c r="M28" s="62" t="s">
        <v>545</v>
      </c>
      <c r="N28" s="62" t="str">
        <f t="shared" si="2"/>
        <v>MC_7_13_5abc9ca6-c6a9-4cf6-8fef-336e20b9cd35_000000_000000.mp4</v>
      </c>
      <c r="O28" s="48"/>
      <c r="P28" s="48"/>
      <c r="Q28" s="63"/>
      <c r="R28" s="49"/>
      <c r="S28" s="49"/>
      <c r="T28" s="49"/>
    </row>
    <row r="29">
      <c r="A29" s="49" t="str">
        <f>IFERROR(__xludf.DUMMYFUNCTION("""COMPUTED_VALUE"""),"Revolutionising stock: Fintech's role in the market")</f>
        <v>Revolutionising stock: Fintech's role in the market</v>
      </c>
      <c r="B29" s="49" t="str">
        <f>IFERROR(__xludf.DUMMYFUNCTION("""COMPUTED_VALUE"""),"MoneyConf")</f>
        <v>MoneyConf</v>
      </c>
      <c r="C29" s="51" t="str">
        <f>IFERROR(__xludf.DUMMYFUNCTION("""COMPUTED_VALUE"""),"Nikolay Storonsky, Josh Luber and Elizabeth Schulze")</f>
        <v>Nikolay Storonsky, Josh Luber and Elizabeth Schulze</v>
      </c>
      <c r="D29" s="49" t="str">
        <f>IFERROR(__xludf.DUMMYFUNCTION("""COMPUTED_VALUE"""),"2019/11/07 15:55:00")</f>
        <v>2019/11/07 15:55:00</v>
      </c>
      <c r="E29" s="49" t="str">
        <f>IFERROR(__xludf.DUMMYFUNCTION("""COMPUTED_VALUE"""),"2019/11/07 16:20:00")</f>
        <v>2019/11/07 16:20:00</v>
      </c>
      <c r="F29" s="49" t="str">
        <f>IFERROR(__xludf.DUMMYFUNCTION("""COMPUTED_VALUE"""),"d3afabf6-2c15-4fae-98f4-8e13e3edb940")</f>
        <v>d3afabf6-2c15-4fae-98f4-8e13e3edb940</v>
      </c>
      <c r="G29" s="52">
        <f>IFERROR(__xludf.DUMMYFUNCTION("""COMPUTED_VALUE"""),43776.0)</f>
        <v>43776</v>
      </c>
      <c r="H29" s="53">
        <f>IFERROR(__xludf.DUMMYFUNCTION("""COMPUTED_VALUE"""),0.6631944444444444)</f>
        <v>0.6631944444</v>
      </c>
      <c r="I29" s="52">
        <f>IFERROR(__xludf.DUMMYFUNCTION("""COMPUTED_VALUE"""),43776.0)</f>
        <v>43776</v>
      </c>
      <c r="J29" s="53">
        <f>IFERROR(__xludf.DUMMYFUNCTION("""COMPUTED_VALUE"""),0.6805555555555556)</f>
        <v>0.6805555556</v>
      </c>
      <c r="K29" s="53">
        <f t="shared" si="1"/>
        <v>0.01736111111</v>
      </c>
      <c r="L29" s="49" t="s">
        <v>111</v>
      </c>
      <c r="M29" s="62" t="s">
        <v>546</v>
      </c>
      <c r="N29" s="62" t="str">
        <f t="shared" si="2"/>
        <v>MC_7_14_d3afabf6-2c15-4fae-98f4-8e13e3edb940_000000_000000.mp4</v>
      </c>
      <c r="O29" s="48"/>
      <c r="P29" s="48"/>
      <c r="Q29" s="63"/>
      <c r="R29" s="49"/>
      <c r="S29" s="49"/>
      <c r="T29" s="49"/>
    </row>
    <row r="30">
      <c r="A30" s="49"/>
      <c r="B30" s="49"/>
      <c r="C30" s="51"/>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f t="shared" si="1"/>
        <v>0</v>
      </c>
      <c r="L30" s="49" t="s">
        <v>255</v>
      </c>
      <c r="M30" s="49"/>
      <c r="N30" s="49"/>
      <c r="O30" s="49"/>
      <c r="P30" s="49"/>
      <c r="Q30" s="49"/>
      <c r="R30" s="49"/>
      <c r="S30" s="49"/>
      <c r="T30" s="49"/>
    </row>
    <row r="31">
      <c r="A31" s="49"/>
      <c r="B31" s="49"/>
      <c r="C31" s="51"/>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f t="shared" si="1"/>
        <v>0</v>
      </c>
      <c r="L31" s="49" t="s">
        <v>255</v>
      </c>
      <c r="M31" s="49"/>
      <c r="N31" s="49"/>
      <c r="O31" s="49"/>
      <c r="P31" s="49"/>
      <c r="Q31" s="49"/>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f t="shared" si="1"/>
        <v>0</v>
      </c>
      <c r="L32" s="49" t="s">
        <v>255</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f t="shared" si="1"/>
        <v>0</v>
      </c>
      <c r="L33" s="49" t="s">
        <v>255</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f t="shared" si="1"/>
        <v>0</v>
      </c>
      <c r="L34" s="49" t="s">
        <v>255</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f t="shared" si="1"/>
        <v>0</v>
      </c>
      <c r="L35" s="49" t="s">
        <v>255</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f t="shared" si="1"/>
        <v>0</v>
      </c>
      <c r="L36" s="49" t="s">
        <v>255</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f t="shared" si="1"/>
        <v>0</v>
      </c>
      <c r="L37" s="49" t="s">
        <v>255</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f t="shared" si="1"/>
        <v>0</v>
      </c>
      <c r="L38" s="49" t="s">
        <v>255</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f t="shared" si="1"/>
        <v>0</v>
      </c>
      <c r="L39" s="49" t="s">
        <v>255</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f t="shared" si="1"/>
        <v>0</v>
      </c>
      <c r="L40" s="49" t="s">
        <v>255</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f t="shared" si="1"/>
        <v>0</v>
      </c>
      <c r="L41" s="49" t="s">
        <v>255</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f t="shared" si="1"/>
        <v>0</v>
      </c>
      <c r="L42" s="49" t="s">
        <v>255</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f t="shared" si="1"/>
        <v>0</v>
      </c>
      <c r="L43" s="49" t="s">
        <v>255</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f t="shared" si="1"/>
        <v>0</v>
      </c>
      <c r="L44" s="49" t="s">
        <v>255</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f t="shared" si="1"/>
        <v>0</v>
      </c>
      <c r="L45" s="49" t="s">
        <v>255</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f t="shared" si="1"/>
        <v>0</v>
      </c>
      <c r="L46" s="49" t="s">
        <v>255</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f t="shared" si="1"/>
        <v>0</v>
      </c>
      <c r="L47" s="49" t="s">
        <v>255</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f t="shared" si="1"/>
        <v>0</v>
      </c>
      <c r="L48" s="49" t="s">
        <v>255</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255</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255</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255</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255</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255</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255</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255</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255</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255</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255</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255</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255</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255</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255</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255</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255</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255</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255</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255</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255</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255</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255</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255</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255</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255</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255</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255</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255</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255</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255</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255</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255</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255</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255</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255</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255</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255</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255</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255</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255</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255</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255</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255</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255</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255</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255</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255</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255</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255</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255</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255</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255</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255</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255</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255</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255</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255</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255</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255</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255</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255</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255</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255</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255</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255</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255</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255</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255</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255</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255</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255</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255</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255</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255</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255</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255</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255</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255</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255</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255</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255</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255</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255</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255</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255</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255</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255</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255</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255</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255</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255</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255</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255</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255</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255</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255</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255</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255</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255</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255</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255</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255</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255</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255</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255</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255</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255</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255</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255</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255</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255</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255</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255</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255</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255</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255</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255</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255</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255</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255</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255</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255</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255</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255</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255</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255</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255</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255</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255</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255</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255</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255</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255</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255</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255</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255</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255</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255</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255</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255</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255</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255</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255</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255</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255</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255</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255</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255</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255</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255</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255</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255</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255</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255</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255</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255</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255</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255</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255</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255</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255</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255</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255</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255</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255</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255</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255</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255</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255</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255</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255</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255</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255</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255</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255</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255</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255</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255</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255</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255</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255</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255</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255</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255</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255</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255</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255</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255</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255</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255</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255</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255</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255</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255</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255</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255</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255</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255</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255</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255</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255</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255</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255</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255</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255</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255</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255</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255</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255</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255</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255</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255</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255</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255</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255</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255</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255</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255</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255</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255</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255</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255</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255</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255</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255</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255</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255</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255</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255</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255</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255</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255</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255</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255</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255</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255</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255</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255</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255</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255</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255</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255</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255</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255</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255</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255</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255</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255</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255</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255</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255</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255</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255</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255</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255</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255</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255</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255</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255</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255</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255</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255</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255</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255</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255</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255</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255</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255</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255</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255</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255</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255</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255</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255</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255</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255</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255</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255</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255</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255</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255</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255</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255</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255</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255</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255</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255</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255</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255</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255</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255</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255</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255</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255</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255</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255</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255</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255</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255</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255</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255</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255</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255</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255</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255</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255</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255</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255</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255</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255</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255</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255</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255</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255</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255</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255</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255</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255</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255</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255</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255</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255</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255</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255</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255</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255</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255</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255</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255</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255</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255</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255</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255</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255</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255</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255</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255</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255</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255</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255</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255</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255</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255</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255</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255</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255</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255</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255</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255</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255</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255</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255</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255</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255</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255</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255</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255</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255</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255</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255</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255</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255</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255</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255</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255</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255</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255</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255</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255</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255</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255</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255</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255</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255</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255</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255</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255</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255</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255</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255</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255</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255</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255</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255</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255</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255</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255</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255</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255</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255</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255</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255</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255</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255</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255</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255</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255</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255</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255</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255</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255</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255</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255</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255</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255</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255</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255</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255</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255</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255</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255</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255</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255</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255</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255</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255</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255</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255</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255</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255</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255</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255</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255</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255</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255</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255</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255</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255</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255</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255</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255</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255</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255</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255</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255</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255</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255</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255</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255</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255</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255</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255</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255</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255</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255</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255</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255</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255</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255</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255</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255</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255</v>
      </c>
      <c r="M533" s="49"/>
      <c r="N533" s="49"/>
      <c r="O533" s="49"/>
      <c r="P533" s="49"/>
      <c r="Q533" s="49"/>
      <c r="R533" s="49"/>
      <c r="S533" s="49"/>
      <c r="T533" s="49"/>
    </row>
    <row r="534">
      <c r="A534" s="49"/>
      <c r="B534" s="49"/>
      <c r="C534" s="51"/>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255</v>
      </c>
      <c r="M534" s="49"/>
      <c r="N534" s="49"/>
      <c r="O534" s="49"/>
      <c r="P534" s="49"/>
      <c r="Q534" s="49"/>
      <c r="R534" s="49"/>
      <c r="S534" s="49"/>
      <c r="T534" s="49"/>
    </row>
    <row r="535">
      <c r="A535" s="49"/>
      <c r="B535" s="49"/>
      <c r="C535" s="51"/>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255</v>
      </c>
      <c r="M535" s="49"/>
      <c r="N535" s="49"/>
      <c r="O535" s="49"/>
      <c r="P535" s="49"/>
      <c r="Q535" s="49"/>
      <c r="R535" s="49"/>
      <c r="S535" s="49"/>
      <c r="T535" s="49"/>
    </row>
    <row r="536">
      <c r="A536" s="49"/>
      <c r="B536" s="49"/>
      <c r="C536" s="51"/>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255</v>
      </c>
      <c r="M536" s="49"/>
      <c r="N536" s="49"/>
      <c r="O536" s="49"/>
      <c r="P536" s="49"/>
      <c r="Q536" s="49"/>
      <c r="R536" s="49"/>
      <c r="S536" s="49"/>
      <c r="T536" s="49"/>
    </row>
    <row r="537">
      <c r="A537" s="49"/>
      <c r="B537" s="49"/>
      <c r="C537" s="51"/>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255</v>
      </c>
      <c r="M537" s="49"/>
      <c r="N537" s="49"/>
      <c r="O537" s="49"/>
      <c r="P537" s="49"/>
      <c r="Q537" s="49"/>
      <c r="R537" s="49"/>
      <c r="S537" s="49"/>
      <c r="T537" s="49"/>
    </row>
    <row r="538">
      <c r="A538" s="49"/>
      <c r="B538" s="49"/>
      <c r="C538" s="51"/>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255</v>
      </c>
      <c r="M538" s="49"/>
      <c r="N538" s="49"/>
      <c r="O538" s="49"/>
      <c r="P538" s="49"/>
      <c r="Q538" s="49"/>
      <c r="R538" s="49"/>
      <c r="S538" s="49"/>
      <c r="T538" s="49"/>
    </row>
    <row r="539">
      <c r="A539" s="49"/>
      <c r="B539" s="49"/>
      <c r="C539" s="51"/>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255</v>
      </c>
      <c r="M539" s="49"/>
      <c r="N539" s="49"/>
      <c r="O539" s="49"/>
      <c r="P539" s="49"/>
      <c r="Q539" s="49"/>
      <c r="R539" s="49"/>
      <c r="S539" s="49"/>
      <c r="T539" s="49"/>
    </row>
    <row r="540">
      <c r="A540" s="49"/>
      <c r="B540" s="49"/>
      <c r="C540" s="51"/>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255</v>
      </c>
      <c r="M540" s="49"/>
      <c r="N540" s="49"/>
      <c r="O540" s="49"/>
      <c r="P540" s="49"/>
      <c r="Q540" s="49"/>
      <c r="R540" s="49"/>
      <c r="S540" s="49"/>
      <c r="T540" s="49"/>
    </row>
    <row r="541">
      <c r="A541" s="49"/>
      <c r="B541" s="49"/>
      <c r="C541" s="51"/>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255</v>
      </c>
      <c r="M541" s="49"/>
      <c r="N541" s="49"/>
      <c r="O541" s="49"/>
      <c r="P541" s="49"/>
      <c r="Q541" s="49"/>
      <c r="R541" s="49"/>
      <c r="S541" s="49"/>
      <c r="T541" s="49"/>
    </row>
    <row r="542">
      <c r="A542" s="49"/>
      <c r="B542" s="49"/>
      <c r="C542" s="51"/>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255</v>
      </c>
      <c r="M542" s="49"/>
      <c r="N542" s="49"/>
      <c r="O542" s="49"/>
      <c r="P542" s="49"/>
      <c r="Q542" s="49"/>
      <c r="R542" s="49"/>
      <c r="S542" s="49"/>
      <c r="T542" s="49"/>
    </row>
    <row r="543">
      <c r="A543" s="49"/>
      <c r="B543" s="49"/>
      <c r="C543" s="51"/>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255</v>
      </c>
      <c r="M543" s="49"/>
      <c r="N543" s="49"/>
      <c r="O543" s="49"/>
      <c r="P543" s="49"/>
      <c r="Q543" s="49"/>
      <c r="R543" s="49"/>
      <c r="S543" s="49"/>
      <c r="T543" s="49"/>
    </row>
    <row r="544">
      <c r="A544" s="49"/>
      <c r="B544" s="49"/>
      <c r="C544" s="51"/>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255</v>
      </c>
      <c r="M544" s="49"/>
      <c r="N544" s="49"/>
      <c r="O544" s="49"/>
      <c r="P544" s="49"/>
      <c r="Q544" s="49"/>
      <c r="R544" s="49"/>
      <c r="S544" s="49"/>
      <c r="T544" s="49"/>
    </row>
    <row r="545">
      <c r="A545" s="49"/>
      <c r="B545" s="49"/>
      <c r="C545" s="51"/>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255</v>
      </c>
      <c r="M545" s="49"/>
      <c r="N545" s="49"/>
      <c r="O545" s="49"/>
      <c r="P545" s="49"/>
      <c r="Q545" s="49"/>
      <c r="R545" s="49"/>
      <c r="S545" s="49"/>
      <c r="T545" s="49"/>
    </row>
    <row r="546">
      <c r="A546" s="49"/>
      <c r="B546" s="49"/>
      <c r="C546" s="51"/>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255</v>
      </c>
      <c r="M546" s="49"/>
      <c r="N546" s="49"/>
      <c r="O546" s="49"/>
      <c r="P546" s="49"/>
      <c r="Q546" s="49"/>
      <c r="R546" s="49"/>
      <c r="S546" s="49"/>
      <c r="T546" s="49"/>
    </row>
    <row r="547">
      <c r="A547" s="49"/>
      <c r="B547" s="49"/>
      <c r="C547" s="51"/>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255</v>
      </c>
      <c r="M547" s="49"/>
      <c r="N547" s="49"/>
      <c r="O547" s="49"/>
      <c r="P547" s="49"/>
      <c r="Q547" s="49"/>
      <c r="R547" s="49"/>
      <c r="S547" s="49"/>
      <c r="T547" s="49"/>
    </row>
    <row r="548">
      <c r="A548" s="49"/>
      <c r="B548" s="49"/>
      <c r="C548" s="51"/>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255</v>
      </c>
      <c r="M548" s="49"/>
      <c r="N548" s="49"/>
      <c r="O548" s="49"/>
      <c r="P548" s="49"/>
      <c r="Q548" s="49"/>
      <c r="R548" s="49"/>
      <c r="S548" s="49"/>
      <c r="T548" s="49"/>
    </row>
    <row r="549">
      <c r="A549" s="49"/>
      <c r="B549" s="49"/>
      <c r="C549" s="51"/>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255</v>
      </c>
      <c r="M549" s="49"/>
      <c r="N549" s="49"/>
      <c r="O549" s="49"/>
      <c r="P549" s="49"/>
      <c r="Q549" s="49"/>
      <c r="R549" s="49"/>
      <c r="S549" s="49"/>
      <c r="T549" s="49"/>
    </row>
  </sheetData>
  <conditionalFormatting sqref="O2:O29">
    <cfRule type="containsText" dxfId="4" priority="1" operator="containsText" text="YES">
      <formula>NOT(ISERROR(SEARCH(("YES"),(O2))))</formula>
    </cfRule>
  </conditionalFormatting>
  <conditionalFormatting sqref="O2:O29">
    <cfRule type="cellIs" dxfId="5" priority="2" operator="equal">
      <formula>"NO"</formula>
    </cfRule>
  </conditionalFormatting>
  <conditionalFormatting sqref="P2:P29">
    <cfRule type="cellIs" dxfId="4" priority="3" operator="equal">
      <formula>"AVAILABLE"</formula>
    </cfRule>
  </conditionalFormatting>
  <conditionalFormatting sqref="P2:P29">
    <cfRule type="cellIs" dxfId="5" priority="4" operator="equal">
      <formula>"NOT AVAILABLE"</formula>
    </cfRule>
  </conditionalFormatting>
  <conditionalFormatting sqref="Q2:Q29">
    <cfRule type="cellIs" dxfId="4" priority="5" operator="equal">
      <formula>"AVAILABLE"</formula>
    </cfRule>
  </conditionalFormatting>
  <conditionalFormatting sqref="Q2:Q29">
    <cfRule type="cellIs" dxfId="6" priority="6" operator="equal">
      <formula>"UPLOADING"</formula>
    </cfRule>
  </conditionalFormatting>
  <conditionalFormatting sqref="Q2:Q29">
    <cfRule type="cellIs" dxfId="5" priority="7" operator="equal">
      <formula>"NOT AVAILABLE"</formula>
    </cfRule>
  </conditionalFormatting>
  <dataValidations>
    <dataValidation type="list" allowBlank="1" sqref="O2:O29">
      <formula1>"YES,NO"</formula1>
    </dataValidation>
    <dataValidation type="list" allowBlank="1" sqref="P2:P29">
      <formula1>"AVAILABLE,NOT AVAILABLE"</formula1>
    </dataValidation>
    <dataValidation type="list" allowBlank="1" sqref="Q2:Q29">
      <formula1>"AVAILABLE,UPLOADING,NOT AVAILABLE"</formula1>
    </dataValidation>
  </dataValidations>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1"/>
    <col customWidth="1" min="3" max="3" width="23.71"/>
    <col hidden="1" min="4" max="5" width="14.43"/>
    <col customWidth="1" min="6" max="6" width="34.57"/>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'UnBoxed' ORDER BY F"")"),"Opening Remarks")</f>
        <v>Opening Remarks</v>
      </c>
      <c r="B2" s="49" t="str">
        <f>IFERROR(__xludf.DUMMYFUNCTION("""COMPUTED_VALUE"""),"UnBoxed")</f>
        <v>UnBoxed</v>
      </c>
      <c r="C2" s="51" t="str">
        <f>IFERROR(__xludf.DUMMYFUNCTION("""COMPUTED_VALUE"""),"Lindsey Turrentine")</f>
        <v>Lindsey Turrentine</v>
      </c>
      <c r="D2" s="49" t="str">
        <f>IFERROR(__xludf.DUMMYFUNCTION("""COMPUTED_VALUE"""),"2019/11/05 11:00:00")</f>
        <v>2019/11/05 11:00:00</v>
      </c>
      <c r="E2" s="49" t="str">
        <f>IFERROR(__xludf.DUMMYFUNCTION("""COMPUTED_VALUE"""),"2019/11/05 11:15:00")</f>
        <v>2019/11/05 11:15:00</v>
      </c>
      <c r="F2" s="49" t="str">
        <f>IFERROR(__xludf.DUMMYFUNCTION("""COMPUTED_VALUE"""),"fb2eb711-8180-4ab8-a386-6e110d43d84e")</f>
        <v>fb2eb711-8180-4ab8-a386-6e110d43d84e</v>
      </c>
      <c r="G2" s="54">
        <f>IFERROR(__xludf.DUMMYFUNCTION("ARRAYFORMULA(SPLIT(D2:D23,"" ""))"),43774.0)</f>
        <v>43774</v>
      </c>
      <c r="H2" s="53">
        <f>IFERROR(__xludf.DUMMYFUNCTION("""COMPUTED_VALUE"""),0.4583333333333333)</f>
        <v>0.4583333333</v>
      </c>
      <c r="I2" s="54">
        <f>IFERROR(__xludf.DUMMYFUNCTION("ARRAYFORMULA(SPLIT(E2:E23,"" ""))"),43774.0)</f>
        <v>43774</v>
      </c>
      <c r="J2" s="53">
        <f>IFERROR(__xludf.DUMMYFUNCTION("""COMPUTED_VALUE"""),0.46875)</f>
        <v>0.46875</v>
      </c>
      <c r="K2" s="53">
        <f t="shared" ref="K2:K23" si="1">J2-H2</f>
        <v>0.01041666667</v>
      </c>
      <c r="L2" s="50" t="str">
        <f t="array" ref="L2:L23">TEXT(K2:K23,"hhmmss")</f>
        <v>001500</v>
      </c>
      <c r="M2" s="62" t="s">
        <v>517</v>
      </c>
      <c r="N2" s="62" t="str">
        <f t="shared" ref="N2:N11" si="2">CONCATENATE(M2,"_",F2,"_","000000_000000.mp4")</f>
        <v>UB_5_1_fb2eb711-8180-4ab8-a386-6e110d43d84e_000000_000000.mp4</v>
      </c>
      <c r="O2" s="48"/>
      <c r="P2" s="48"/>
      <c r="Q2" s="63"/>
      <c r="R2" s="49"/>
      <c r="S2" s="49"/>
      <c r="T2" s="49"/>
    </row>
    <row r="3">
      <c r="A3" s="49" t="str">
        <f>IFERROR(__xludf.DUMMYFUNCTION("""COMPUTED_VALUE"""),"New releases for the smart home")</f>
        <v>New releases for the smart home</v>
      </c>
      <c r="B3" s="49" t="str">
        <f>IFERROR(__xludf.DUMMYFUNCTION("""COMPUTED_VALUE"""),"UnBoxed")</f>
        <v>UnBoxed</v>
      </c>
      <c r="C3" s="51" t="str">
        <f>IFERROR(__xludf.DUMMYFUNCTION("""COMPUTED_VALUE"""),"Dominic Preston, Keaton Keller, Katie Collins and Lindsey Turrentine")</f>
        <v>Dominic Preston, Keaton Keller, Katie Collins and Lindsey Turrentine</v>
      </c>
      <c r="D3" s="49" t="str">
        <f>IFERROR(__xludf.DUMMYFUNCTION("""COMPUTED_VALUE"""),"2019/11/05 11:15:00")</f>
        <v>2019/11/05 11:15:00</v>
      </c>
      <c r="E3" s="49" t="str">
        <f>IFERROR(__xludf.DUMMYFUNCTION("""COMPUTED_VALUE"""),"2019/11/05 11:45:00")</f>
        <v>2019/11/05 11:45:00</v>
      </c>
      <c r="F3" s="49" t="str">
        <f>IFERROR(__xludf.DUMMYFUNCTION("""COMPUTED_VALUE"""),"af1046ce-9f13-4374-b494-6ae031dcefdd")</f>
        <v>af1046ce-9f13-4374-b494-6ae031dcefdd</v>
      </c>
      <c r="G3" s="52">
        <f>IFERROR(__xludf.DUMMYFUNCTION("""COMPUTED_VALUE"""),43774.0)</f>
        <v>43774</v>
      </c>
      <c r="H3" s="53">
        <f>IFERROR(__xludf.DUMMYFUNCTION("""COMPUTED_VALUE"""),0.46875)</f>
        <v>0.46875</v>
      </c>
      <c r="I3" s="52">
        <f>IFERROR(__xludf.DUMMYFUNCTION("""COMPUTED_VALUE"""),43774.0)</f>
        <v>43774</v>
      </c>
      <c r="J3" s="53">
        <f>IFERROR(__xludf.DUMMYFUNCTION("""COMPUTED_VALUE"""),0.4895833333333333)</f>
        <v>0.4895833333</v>
      </c>
      <c r="K3" s="53">
        <f t="shared" si="1"/>
        <v>0.02083333333</v>
      </c>
      <c r="L3" s="49" t="s">
        <v>105</v>
      </c>
      <c r="M3" s="62" t="s">
        <v>519</v>
      </c>
      <c r="N3" s="62" t="str">
        <f t="shared" si="2"/>
        <v>UB_5_2_af1046ce-9f13-4374-b494-6ae031dcefdd_000000_000000.mp4</v>
      </c>
      <c r="O3" s="48"/>
      <c r="P3" s="48"/>
      <c r="Q3" s="63"/>
      <c r="R3" s="49"/>
      <c r="S3" s="49"/>
      <c r="T3" s="49"/>
    </row>
    <row r="4">
      <c r="A4" s="49" t="str">
        <f>IFERROR(__xludf.DUMMYFUNCTION("""COMPUTED_VALUE"""),"Top new smartphones on the market for Christmas 2019: Collection A")</f>
        <v>Top new smartphones on the market for Christmas 2019: Collection A</v>
      </c>
      <c r="B4" s="49" t="str">
        <f>IFERROR(__xludf.DUMMYFUNCTION("""COMPUTED_VALUE"""),"UnBoxed")</f>
        <v>UnBoxed</v>
      </c>
      <c r="C4" s="51" t="str">
        <f>IFERROR(__xludf.DUMMYFUNCTION("""COMPUTED_VALUE"""),"Keaton Keller, Tom Honeyands, Jacklyn Dallas and Lindsey Turrentine")</f>
        <v>Keaton Keller, Tom Honeyands, Jacklyn Dallas and Lindsey Turrentine</v>
      </c>
      <c r="D4" s="49" t="str">
        <f>IFERROR(__xludf.DUMMYFUNCTION("""COMPUTED_VALUE"""),"2019/11/05 11:45:00")</f>
        <v>2019/11/05 11:45:00</v>
      </c>
      <c r="E4" s="49" t="str">
        <f>IFERROR(__xludf.DUMMYFUNCTION("""COMPUTED_VALUE"""),"2019/11/05 12:20:00")</f>
        <v>2019/11/05 12:20:00</v>
      </c>
      <c r="F4" s="49" t="str">
        <f>IFERROR(__xludf.DUMMYFUNCTION("""COMPUTED_VALUE"""),"03ad244e-f76e-4038-bbb3-c620dacf50a7")</f>
        <v>03ad244e-f76e-4038-bbb3-c620dacf50a7</v>
      </c>
      <c r="G4" s="52">
        <f>IFERROR(__xludf.DUMMYFUNCTION("""COMPUTED_VALUE"""),43774.0)</f>
        <v>43774</v>
      </c>
      <c r="H4" s="53">
        <f>IFERROR(__xludf.DUMMYFUNCTION("""COMPUTED_VALUE"""),0.4895833333333333)</f>
        <v>0.4895833333</v>
      </c>
      <c r="I4" s="52">
        <f>IFERROR(__xludf.DUMMYFUNCTION("""COMPUTED_VALUE"""),43774.0)</f>
        <v>43774</v>
      </c>
      <c r="J4" s="53">
        <f>IFERROR(__xludf.DUMMYFUNCTION("""COMPUTED_VALUE"""),0.5138888888888888)</f>
        <v>0.5138888889</v>
      </c>
      <c r="K4" s="53">
        <f t="shared" si="1"/>
        <v>0.02430555556</v>
      </c>
      <c r="L4" s="49" t="s">
        <v>158</v>
      </c>
      <c r="M4" s="62" t="s">
        <v>520</v>
      </c>
      <c r="N4" s="62" t="str">
        <f t="shared" si="2"/>
        <v>UB_5_3_03ad244e-f76e-4038-bbb3-c620dacf50a7_000000_000000.mp4</v>
      </c>
      <c r="O4" s="48"/>
      <c r="P4" s="48"/>
      <c r="Q4" s="63"/>
      <c r="R4" s="49"/>
      <c r="S4" s="49"/>
      <c r="T4" s="49"/>
    </row>
    <row r="5">
      <c r="A5" s="49" t="str">
        <f>IFERROR(__xludf.DUMMYFUNCTION("""COMPUTED_VALUE"""),"The best new smart speakers on the market")</f>
        <v>The best new smart speakers on the market</v>
      </c>
      <c r="B5" s="49" t="str">
        <f>IFERROR(__xludf.DUMMYFUNCTION("""COMPUTED_VALUE"""),"UnBoxed")</f>
        <v>UnBoxed</v>
      </c>
      <c r="C5" s="51" t="str">
        <f>IFERROR(__xludf.DUMMYFUNCTION("""COMPUTED_VALUE"""),"Dirk Kuchel, Daniel Catalão, Kevin Lynch and Lindsey Turrentine")</f>
        <v>Dirk Kuchel, Daniel Catalão, Kevin Lynch and Lindsey Turrentine</v>
      </c>
      <c r="D5" s="49" t="str">
        <f>IFERROR(__xludf.DUMMYFUNCTION("""COMPUTED_VALUE"""),"2019/11/05 12:20:00")</f>
        <v>2019/11/05 12:20:00</v>
      </c>
      <c r="E5" s="49" t="str">
        <f>IFERROR(__xludf.DUMMYFUNCTION("""COMPUTED_VALUE"""),"2019/11/05 12:45:00")</f>
        <v>2019/11/05 12:45:00</v>
      </c>
      <c r="F5" s="49" t="str">
        <f>IFERROR(__xludf.DUMMYFUNCTION("""COMPUTED_VALUE"""),"e2b32d36-da41-45cb-95f7-aacdcfd78bd4")</f>
        <v>e2b32d36-da41-45cb-95f7-aacdcfd78bd4</v>
      </c>
      <c r="G5" s="52">
        <f>IFERROR(__xludf.DUMMYFUNCTION("""COMPUTED_VALUE"""),43774.0)</f>
        <v>43774</v>
      </c>
      <c r="H5" s="53">
        <f>IFERROR(__xludf.DUMMYFUNCTION("""COMPUTED_VALUE"""),0.5138888888888888)</f>
        <v>0.5138888889</v>
      </c>
      <c r="I5" s="52">
        <f>IFERROR(__xludf.DUMMYFUNCTION("""COMPUTED_VALUE"""),43774.0)</f>
        <v>43774</v>
      </c>
      <c r="J5" s="53">
        <f>IFERROR(__xludf.DUMMYFUNCTION("""COMPUTED_VALUE"""),0.53125)</f>
        <v>0.53125</v>
      </c>
      <c r="K5" s="53">
        <f t="shared" si="1"/>
        <v>0.01736111111</v>
      </c>
      <c r="L5" s="49" t="s">
        <v>111</v>
      </c>
      <c r="M5" s="62" t="s">
        <v>521</v>
      </c>
      <c r="N5" s="62" t="str">
        <f t="shared" si="2"/>
        <v>UB_5_4_e2b32d36-da41-45cb-95f7-aacdcfd78bd4_000000_000000.mp4</v>
      </c>
      <c r="O5" s="48"/>
      <c r="P5" s="48"/>
      <c r="Q5" s="63"/>
      <c r="R5" s="49"/>
      <c r="S5" s="49"/>
      <c r="T5" s="49"/>
    </row>
    <row r="6">
      <c r="A6" s="49" t="str">
        <f>IFERROR(__xludf.DUMMYFUNCTION("""COMPUTED_VALUE"""),"A review of top smart watches to hit the market")</f>
        <v>A review of top smart watches to hit the market</v>
      </c>
      <c r="B6" s="49" t="str">
        <f>IFERROR(__xludf.DUMMYFUNCTION("""COMPUTED_VALUE"""),"UnBoxed")</f>
        <v>UnBoxed</v>
      </c>
      <c r="C6" s="51" t="str">
        <f>IFERROR(__xludf.DUMMYFUNCTION("""COMPUTED_VALUE"""),"Eli Etherton, Tom Honeyands, Katie Collins and Lindsey Turrentine")</f>
        <v>Eli Etherton, Tom Honeyands, Katie Collins and Lindsey Turrentine</v>
      </c>
      <c r="D6" s="49" t="str">
        <f>IFERROR(__xludf.DUMMYFUNCTION("""COMPUTED_VALUE"""),"2019/11/05 12:45:00")</f>
        <v>2019/11/05 12:45:00</v>
      </c>
      <c r="E6" s="49" t="str">
        <f>IFERROR(__xludf.DUMMYFUNCTION("""COMPUTED_VALUE"""),"2019/11/05 13:15:00")</f>
        <v>2019/11/05 13:15:00</v>
      </c>
      <c r="F6" s="49" t="str">
        <f>IFERROR(__xludf.DUMMYFUNCTION("""COMPUTED_VALUE"""),"0ddd2d08-0a01-4207-af98-ade08b4d210a")</f>
        <v>0ddd2d08-0a01-4207-af98-ade08b4d210a</v>
      </c>
      <c r="G6" s="52">
        <f>IFERROR(__xludf.DUMMYFUNCTION("""COMPUTED_VALUE"""),43774.0)</f>
        <v>43774</v>
      </c>
      <c r="H6" s="53">
        <f>IFERROR(__xludf.DUMMYFUNCTION("""COMPUTED_VALUE"""),0.53125)</f>
        <v>0.53125</v>
      </c>
      <c r="I6" s="52">
        <f>IFERROR(__xludf.DUMMYFUNCTION("""COMPUTED_VALUE"""),43774.0)</f>
        <v>43774</v>
      </c>
      <c r="J6" s="53">
        <f>IFERROR(__xludf.DUMMYFUNCTION("""COMPUTED_VALUE"""),0.5520833333333334)</f>
        <v>0.5520833333</v>
      </c>
      <c r="K6" s="53">
        <f t="shared" si="1"/>
        <v>0.02083333333</v>
      </c>
      <c r="L6" s="49" t="s">
        <v>105</v>
      </c>
      <c r="M6" s="62" t="s">
        <v>523</v>
      </c>
      <c r="N6" s="62" t="str">
        <f t="shared" si="2"/>
        <v>UB_5_5_0ddd2d08-0a01-4207-af98-ade08b4d210a_000000_000000.mp4</v>
      </c>
      <c r="O6" s="48"/>
      <c r="P6" s="48"/>
      <c r="Q6" s="63"/>
      <c r="R6" s="49"/>
      <c r="S6" s="49"/>
      <c r="T6" s="49"/>
    </row>
    <row r="7">
      <c r="A7" s="49" t="str">
        <f>IFERROR(__xludf.DUMMYFUNCTION("""COMPUTED_VALUE"""),"Lunch break")</f>
        <v>Lunch break</v>
      </c>
      <c r="B7" s="49" t="str">
        <f>IFERROR(__xludf.DUMMYFUNCTION("""COMPUTED_VALUE"""),"UnBoxed")</f>
        <v>UnBoxed</v>
      </c>
      <c r="C7" s="51" t="str">
        <f>IFERROR(__xludf.DUMMYFUNCTION("""COMPUTED_VALUE"""),"")</f>
        <v/>
      </c>
      <c r="D7" s="49" t="str">
        <f>IFERROR(__xludf.DUMMYFUNCTION("""COMPUTED_VALUE"""),"2019/11/05 13:15:00")</f>
        <v>2019/11/05 13:15:00</v>
      </c>
      <c r="E7" s="49" t="str">
        <f>IFERROR(__xludf.DUMMYFUNCTION("""COMPUTED_VALUE"""),"2019/11/05 14:15:00")</f>
        <v>2019/11/05 14:15:00</v>
      </c>
      <c r="F7" s="49" t="str">
        <f>IFERROR(__xludf.DUMMYFUNCTION("""COMPUTED_VALUE"""),"50f59da3-2fd5-4907-ae64-321d597f2cac")</f>
        <v>50f59da3-2fd5-4907-ae64-321d597f2cac</v>
      </c>
      <c r="G7" s="52">
        <f>IFERROR(__xludf.DUMMYFUNCTION("""COMPUTED_VALUE"""),43774.0)</f>
        <v>43774</v>
      </c>
      <c r="H7" s="53">
        <f>IFERROR(__xludf.DUMMYFUNCTION("""COMPUTED_VALUE"""),0.5520833333333334)</f>
        <v>0.5520833333</v>
      </c>
      <c r="I7" s="52">
        <f>IFERROR(__xludf.DUMMYFUNCTION("""COMPUTED_VALUE"""),43774.0)</f>
        <v>43774</v>
      </c>
      <c r="J7" s="53">
        <f>IFERROR(__xludf.DUMMYFUNCTION("""COMPUTED_VALUE"""),0.59375)</f>
        <v>0.59375</v>
      </c>
      <c r="K7" s="53">
        <f t="shared" si="1"/>
        <v>0.04166666667</v>
      </c>
      <c r="L7" s="49" t="s">
        <v>240</v>
      </c>
      <c r="M7" s="49"/>
      <c r="N7" s="62" t="str">
        <f t="shared" si="2"/>
        <v>_50f59da3-2fd5-4907-ae64-321d597f2cac_000000_000000.mp4</v>
      </c>
      <c r="O7" s="48"/>
      <c r="P7" s="48"/>
      <c r="Q7" s="63"/>
      <c r="R7" s="49"/>
      <c r="S7" s="49"/>
      <c r="T7" s="49"/>
    </row>
    <row r="8">
      <c r="A8" s="49" t="str">
        <f>IFERROR(__xludf.DUMMYFUNCTION("""COMPUTED_VALUE"""),"Opening remarks")</f>
        <v>Opening remarks</v>
      </c>
      <c r="B8" s="49" t="str">
        <f>IFERROR(__xludf.DUMMYFUNCTION("""COMPUTED_VALUE"""),"UnBoxed")</f>
        <v>UnBoxed</v>
      </c>
      <c r="C8" s="51" t="str">
        <f>IFERROR(__xludf.DUMMYFUNCTION("""COMPUTED_VALUE"""),"Jess Kelly")</f>
        <v>Jess Kelly</v>
      </c>
      <c r="D8" s="49" t="str">
        <f>IFERROR(__xludf.DUMMYFUNCTION("""COMPUTED_VALUE"""),"2019/11/05 14:15:00")</f>
        <v>2019/11/05 14:15:00</v>
      </c>
      <c r="E8" s="49" t="str">
        <f>IFERROR(__xludf.DUMMYFUNCTION("""COMPUTED_VALUE"""),"2019/11/05 14:30:00")</f>
        <v>2019/11/05 14:30:00</v>
      </c>
      <c r="F8" s="49" t="str">
        <f>IFERROR(__xludf.DUMMYFUNCTION("""COMPUTED_VALUE"""),"31ec60f4-3c46-4c68-bae1-e4d13dc6e8c6")</f>
        <v>31ec60f4-3c46-4c68-bae1-e4d13dc6e8c6</v>
      </c>
      <c r="G8" s="52">
        <f>IFERROR(__xludf.DUMMYFUNCTION("""COMPUTED_VALUE"""),43774.0)</f>
        <v>43774</v>
      </c>
      <c r="H8" s="53">
        <f>IFERROR(__xludf.DUMMYFUNCTION("""COMPUTED_VALUE"""),0.59375)</f>
        <v>0.59375</v>
      </c>
      <c r="I8" s="52">
        <f>IFERROR(__xludf.DUMMYFUNCTION("""COMPUTED_VALUE"""),43774.0)</f>
        <v>43774</v>
      </c>
      <c r="J8" s="53">
        <f>IFERROR(__xludf.DUMMYFUNCTION("""COMPUTED_VALUE"""),0.6041666666666666)</f>
        <v>0.6041666667</v>
      </c>
      <c r="K8" s="53">
        <f t="shared" si="1"/>
        <v>0.01041666667</v>
      </c>
      <c r="L8" s="49" t="s">
        <v>118</v>
      </c>
      <c r="M8" s="62" t="s">
        <v>526</v>
      </c>
      <c r="N8" s="62" t="str">
        <f t="shared" si="2"/>
        <v>UB_5_6_31ec60f4-3c46-4c68-bae1-e4d13dc6e8c6_000000_000000.mp4</v>
      </c>
      <c r="O8" s="48"/>
      <c r="P8" s="48"/>
      <c r="Q8" s="63"/>
      <c r="R8" s="49"/>
      <c r="S8" s="49"/>
      <c r="T8" s="49"/>
    </row>
    <row r="9">
      <c r="A9" s="49" t="str">
        <f>IFERROR(__xludf.DUMMYFUNCTION("""COMPUTED_VALUE"""),"Top new laptop releases")</f>
        <v>Top new laptop releases</v>
      </c>
      <c r="B9" s="49" t="str">
        <f>IFERROR(__xludf.DUMMYFUNCTION("""COMPUTED_VALUE"""),"UnBoxed")</f>
        <v>UnBoxed</v>
      </c>
      <c r="C9" s="51" t="str">
        <f>IFERROR(__xludf.DUMMYFUNCTION("""COMPUTED_VALUE"""),"Eli Etherton, Tom Honeyands, Jacklyn Dallas and Jess Kelly")</f>
        <v>Eli Etherton, Tom Honeyands, Jacklyn Dallas and Jess Kelly</v>
      </c>
      <c r="D9" s="49" t="str">
        <f>IFERROR(__xludf.DUMMYFUNCTION("""COMPUTED_VALUE"""),"2019/11/05 14:30:00")</f>
        <v>2019/11/05 14:30:00</v>
      </c>
      <c r="E9" s="49" t="str">
        <f>IFERROR(__xludf.DUMMYFUNCTION("""COMPUTED_VALUE"""),"2019/11/05 15:00:00")</f>
        <v>2019/11/05 15:00:00</v>
      </c>
      <c r="F9" s="49" t="str">
        <f>IFERROR(__xludf.DUMMYFUNCTION("""COMPUTED_VALUE"""),"d021f579-3162-45c0-b54e-34272155149c")</f>
        <v>d021f579-3162-45c0-b54e-34272155149c</v>
      </c>
      <c r="G9" s="52">
        <f>IFERROR(__xludf.DUMMYFUNCTION("""COMPUTED_VALUE"""),43774.0)</f>
        <v>43774</v>
      </c>
      <c r="H9" s="53">
        <f>IFERROR(__xludf.DUMMYFUNCTION("""COMPUTED_VALUE"""),0.6041666666666666)</f>
        <v>0.6041666667</v>
      </c>
      <c r="I9" s="52">
        <f>IFERROR(__xludf.DUMMYFUNCTION("""COMPUTED_VALUE"""),43774.0)</f>
        <v>43774</v>
      </c>
      <c r="J9" s="53">
        <f>IFERROR(__xludf.DUMMYFUNCTION("""COMPUTED_VALUE"""),0.625)</f>
        <v>0.625</v>
      </c>
      <c r="K9" s="53">
        <f t="shared" si="1"/>
        <v>0.02083333333</v>
      </c>
      <c r="L9" s="49" t="s">
        <v>105</v>
      </c>
      <c r="M9" s="62" t="s">
        <v>528</v>
      </c>
      <c r="N9" s="62" t="str">
        <f t="shared" si="2"/>
        <v>UB_5_7_d021f579-3162-45c0-b54e-34272155149c_000000_000000.mp4</v>
      </c>
      <c r="O9" s="48"/>
      <c r="P9" s="48"/>
      <c r="Q9" s="63"/>
      <c r="R9" s="49"/>
      <c r="S9" s="49"/>
      <c r="T9" s="49"/>
    </row>
    <row r="10">
      <c r="A10" s="49" t="str">
        <f>IFERROR(__xludf.DUMMYFUNCTION("""COMPUTED_VALUE"""),"Headphones to soundtrack your life with")</f>
        <v>Headphones to soundtrack your life with</v>
      </c>
      <c r="B10" s="49" t="str">
        <f>IFERROR(__xludf.DUMMYFUNCTION("""COMPUTED_VALUE"""),"UnBoxed")</f>
        <v>UnBoxed</v>
      </c>
      <c r="C10" s="51" t="str">
        <f>IFERROR(__xludf.DUMMYFUNCTION("""COMPUTED_VALUE"""),"Kris Carlon, Kevin Lynch, Daniel Catalão and Jess Kelly")</f>
        <v>Kris Carlon, Kevin Lynch, Daniel Catalão and Jess Kelly</v>
      </c>
      <c r="D10" s="49" t="str">
        <f>IFERROR(__xludf.DUMMYFUNCTION("""COMPUTED_VALUE"""),"2019/11/05 15:00:00")</f>
        <v>2019/11/05 15:00:00</v>
      </c>
      <c r="E10" s="49" t="str">
        <f>IFERROR(__xludf.DUMMYFUNCTION("""COMPUTED_VALUE"""),"2019/11/05 15:25:00")</f>
        <v>2019/11/05 15:25:00</v>
      </c>
      <c r="F10" s="49" t="str">
        <f>IFERROR(__xludf.DUMMYFUNCTION("""COMPUTED_VALUE"""),"22b9440e-d57c-40bb-8bb6-a1658e5a7e01")</f>
        <v>22b9440e-d57c-40bb-8bb6-a1658e5a7e01</v>
      </c>
      <c r="G10" s="52">
        <f>IFERROR(__xludf.DUMMYFUNCTION("""COMPUTED_VALUE"""),43774.0)</f>
        <v>43774</v>
      </c>
      <c r="H10" s="53">
        <f>IFERROR(__xludf.DUMMYFUNCTION("""COMPUTED_VALUE"""),0.625)</f>
        <v>0.625</v>
      </c>
      <c r="I10" s="52">
        <f>IFERROR(__xludf.DUMMYFUNCTION("""COMPUTED_VALUE"""),43774.0)</f>
        <v>43774</v>
      </c>
      <c r="J10" s="53">
        <f>IFERROR(__xludf.DUMMYFUNCTION("""COMPUTED_VALUE"""),0.6423611111111112)</f>
        <v>0.6423611111</v>
      </c>
      <c r="K10" s="53">
        <f t="shared" si="1"/>
        <v>0.01736111111</v>
      </c>
      <c r="L10" s="49" t="s">
        <v>111</v>
      </c>
      <c r="M10" s="62" t="s">
        <v>530</v>
      </c>
      <c r="N10" s="62" t="str">
        <f t="shared" si="2"/>
        <v>UB_5_8_22b9440e-d57c-40bb-8bb6-a1658e5a7e01_000000_000000.mp4</v>
      </c>
      <c r="O10" s="48"/>
      <c r="P10" s="48"/>
      <c r="Q10" s="63"/>
      <c r="R10" s="49"/>
      <c r="S10" s="49"/>
      <c r="T10" s="49"/>
    </row>
    <row r="11">
      <c r="A11" s="49" t="str">
        <f>IFERROR(__xludf.DUMMYFUNCTION("""COMPUTED_VALUE"""),"New smartphones on the market for Christmas 2019: Collection B")</f>
        <v>New smartphones on the market for Christmas 2019: Collection B</v>
      </c>
      <c r="B11" s="49" t="str">
        <f>IFERROR(__xludf.DUMMYFUNCTION("""COMPUTED_VALUE"""),"UnBoxed")</f>
        <v>UnBoxed</v>
      </c>
      <c r="C11" s="51" t="str">
        <f>IFERROR(__xludf.DUMMYFUNCTION("""COMPUTED_VALUE"""),"Dominic Preston, Kris Carlon, Jacklyn Dallas and Jess Kelly")</f>
        <v>Dominic Preston, Kris Carlon, Jacklyn Dallas and Jess Kelly</v>
      </c>
      <c r="D11" s="49" t="str">
        <f>IFERROR(__xludf.DUMMYFUNCTION("""COMPUTED_VALUE"""),"2019/11/05 15:25:00")</f>
        <v>2019/11/05 15:25:00</v>
      </c>
      <c r="E11" s="49" t="str">
        <f>IFERROR(__xludf.DUMMYFUNCTION("""COMPUTED_VALUE"""),"2019/11/05 16:00:00")</f>
        <v>2019/11/05 16:00:00</v>
      </c>
      <c r="F11" s="49" t="str">
        <f>IFERROR(__xludf.DUMMYFUNCTION("""COMPUTED_VALUE"""),"d2c5f1a6-8983-4e30-a2a5-13b24f1603ea")</f>
        <v>d2c5f1a6-8983-4e30-a2a5-13b24f1603ea</v>
      </c>
      <c r="G11" s="52">
        <f>IFERROR(__xludf.DUMMYFUNCTION("""COMPUTED_VALUE"""),43774.0)</f>
        <v>43774</v>
      </c>
      <c r="H11" s="53">
        <f>IFERROR(__xludf.DUMMYFUNCTION("""COMPUTED_VALUE"""),0.6423611111111112)</f>
        <v>0.6423611111</v>
      </c>
      <c r="I11" s="52">
        <f>IFERROR(__xludf.DUMMYFUNCTION("""COMPUTED_VALUE"""),43774.0)</f>
        <v>43774</v>
      </c>
      <c r="J11" s="53">
        <f>IFERROR(__xludf.DUMMYFUNCTION("""COMPUTED_VALUE"""),0.6666666666666666)</f>
        <v>0.6666666667</v>
      </c>
      <c r="K11" s="53">
        <f t="shared" si="1"/>
        <v>0.02430555556</v>
      </c>
      <c r="L11" s="49" t="s">
        <v>158</v>
      </c>
      <c r="M11" s="62" t="s">
        <v>532</v>
      </c>
      <c r="N11" s="62" t="str">
        <f t="shared" si="2"/>
        <v>UB_5_9_d2c5f1a6-8983-4e30-a2a5-13b24f1603ea_000000_000000.mp4</v>
      </c>
      <c r="O11" s="48"/>
      <c r="P11" s="48"/>
      <c r="Q11" s="63"/>
      <c r="R11" s="49"/>
      <c r="S11" s="49"/>
      <c r="T11" s="49"/>
    </row>
    <row r="12">
      <c r="A12" s="49"/>
      <c r="B12" s="49"/>
      <c r="C12" s="51"/>
      <c r="D12" s="49"/>
      <c r="E12" s="49"/>
      <c r="F12" s="49"/>
      <c r="G12" s="49" t="str">
        <f>IFERROR(__xludf.DUMMYFUNCTION("""COMPUTED_VALUE"""),"#VALUE!")</f>
        <v>#VALUE!</v>
      </c>
      <c r="H12" s="49" t="str">
        <f>IFERROR(__xludf.DUMMYFUNCTION("""COMPUTED_VALUE"""),"")</f>
        <v/>
      </c>
      <c r="I12" s="49" t="str">
        <f>IFERROR(__xludf.DUMMYFUNCTION("""COMPUTED_VALUE"""),"#VALUE!")</f>
        <v>#VALUE!</v>
      </c>
      <c r="J12" s="49" t="str">
        <f>IFERROR(__xludf.DUMMYFUNCTION("""COMPUTED_VALUE"""),"")</f>
        <v/>
      </c>
      <c r="K12" s="49">
        <f t="shared" si="1"/>
        <v>0</v>
      </c>
      <c r="L12" s="49" t="s">
        <v>255</v>
      </c>
      <c r="M12" s="49"/>
      <c r="N12" s="49"/>
      <c r="O12" s="49"/>
      <c r="P12" s="49"/>
      <c r="Q12" s="49"/>
      <c r="R12" s="49"/>
      <c r="S12" s="49"/>
      <c r="T12" s="49"/>
    </row>
    <row r="13">
      <c r="A13" s="49"/>
      <c r="B13" s="49"/>
      <c r="C13" s="51"/>
      <c r="D13" s="49"/>
      <c r="E13" s="49"/>
      <c r="F13" s="49"/>
      <c r="G13" s="49" t="str">
        <f>IFERROR(__xludf.DUMMYFUNCTION("""COMPUTED_VALUE"""),"#VALUE!")</f>
        <v>#VALUE!</v>
      </c>
      <c r="H13" s="49" t="str">
        <f>IFERROR(__xludf.DUMMYFUNCTION("""COMPUTED_VALUE"""),"")</f>
        <v/>
      </c>
      <c r="I13" s="49" t="str">
        <f>IFERROR(__xludf.DUMMYFUNCTION("""COMPUTED_VALUE"""),"#VALUE!")</f>
        <v>#VALUE!</v>
      </c>
      <c r="J13" s="49" t="str">
        <f>IFERROR(__xludf.DUMMYFUNCTION("""COMPUTED_VALUE"""),"")</f>
        <v/>
      </c>
      <c r="K13" s="49">
        <f t="shared" si="1"/>
        <v>0</v>
      </c>
      <c r="L13" s="49" t="s">
        <v>255</v>
      </c>
      <c r="M13" s="49"/>
      <c r="N13" s="49"/>
      <c r="O13" s="49"/>
      <c r="P13" s="49"/>
      <c r="Q13" s="49"/>
      <c r="R13" s="49"/>
      <c r="S13" s="49"/>
      <c r="T13" s="49"/>
    </row>
    <row r="14">
      <c r="A14" s="49"/>
      <c r="B14" s="49"/>
      <c r="C14" s="51"/>
      <c r="D14" s="49"/>
      <c r="E14" s="49"/>
      <c r="F14" s="49"/>
      <c r="G14" s="49" t="str">
        <f>IFERROR(__xludf.DUMMYFUNCTION("""COMPUTED_VALUE"""),"#VALUE!")</f>
        <v>#VALUE!</v>
      </c>
      <c r="H14" s="49" t="str">
        <f>IFERROR(__xludf.DUMMYFUNCTION("""COMPUTED_VALUE"""),"")</f>
        <v/>
      </c>
      <c r="I14" s="49" t="str">
        <f>IFERROR(__xludf.DUMMYFUNCTION("""COMPUTED_VALUE"""),"#VALUE!")</f>
        <v>#VALUE!</v>
      </c>
      <c r="J14" s="49" t="str">
        <f>IFERROR(__xludf.DUMMYFUNCTION("""COMPUTED_VALUE"""),"")</f>
        <v/>
      </c>
      <c r="K14" s="49">
        <f t="shared" si="1"/>
        <v>0</v>
      </c>
      <c r="L14" s="49" t="s">
        <v>255</v>
      </c>
      <c r="M14" s="49"/>
      <c r="N14" s="49"/>
      <c r="O14" s="49"/>
      <c r="P14" s="49"/>
      <c r="Q14" s="49"/>
      <c r="R14" s="49"/>
      <c r="S14" s="49"/>
      <c r="T14" s="49"/>
    </row>
    <row r="15">
      <c r="A15" s="49"/>
      <c r="B15" s="49"/>
      <c r="C15" s="51"/>
      <c r="D15" s="49"/>
      <c r="E15" s="49"/>
      <c r="F15" s="49"/>
      <c r="G15" s="49" t="str">
        <f>IFERROR(__xludf.DUMMYFUNCTION("""COMPUTED_VALUE"""),"#VALUE!")</f>
        <v>#VALUE!</v>
      </c>
      <c r="H15" s="49" t="str">
        <f>IFERROR(__xludf.DUMMYFUNCTION("""COMPUTED_VALUE"""),"")</f>
        <v/>
      </c>
      <c r="I15" s="49" t="str">
        <f>IFERROR(__xludf.DUMMYFUNCTION("""COMPUTED_VALUE"""),"#VALUE!")</f>
        <v>#VALUE!</v>
      </c>
      <c r="J15" s="49" t="str">
        <f>IFERROR(__xludf.DUMMYFUNCTION("""COMPUTED_VALUE"""),"")</f>
        <v/>
      </c>
      <c r="K15" s="49">
        <f t="shared" si="1"/>
        <v>0</v>
      </c>
      <c r="L15" s="49" t="s">
        <v>255</v>
      </c>
      <c r="M15" s="49"/>
      <c r="N15" s="49"/>
      <c r="O15" s="49"/>
      <c r="P15" s="49"/>
      <c r="Q15" s="49"/>
      <c r="R15" s="49"/>
      <c r="S15" s="49"/>
      <c r="T15" s="49"/>
    </row>
    <row r="16">
      <c r="A16" s="49"/>
      <c r="B16" s="49"/>
      <c r="C16" s="51"/>
      <c r="D16" s="49"/>
      <c r="E16" s="49"/>
      <c r="F16" s="49"/>
      <c r="G16" s="49" t="str">
        <f>IFERROR(__xludf.DUMMYFUNCTION("""COMPUTED_VALUE"""),"#VALUE!")</f>
        <v>#VALUE!</v>
      </c>
      <c r="H16" s="49" t="str">
        <f>IFERROR(__xludf.DUMMYFUNCTION("""COMPUTED_VALUE"""),"")</f>
        <v/>
      </c>
      <c r="I16" s="49" t="str">
        <f>IFERROR(__xludf.DUMMYFUNCTION("""COMPUTED_VALUE"""),"#VALUE!")</f>
        <v>#VALUE!</v>
      </c>
      <c r="J16" s="49" t="str">
        <f>IFERROR(__xludf.DUMMYFUNCTION("""COMPUTED_VALUE"""),"")</f>
        <v/>
      </c>
      <c r="K16" s="49">
        <f t="shared" si="1"/>
        <v>0</v>
      </c>
      <c r="L16" s="49" t="s">
        <v>255</v>
      </c>
      <c r="M16" s="49"/>
      <c r="N16" s="49"/>
      <c r="O16" s="49"/>
      <c r="P16" s="49"/>
      <c r="Q16" s="49"/>
      <c r="R16" s="49"/>
      <c r="S16" s="49"/>
      <c r="T16" s="49"/>
    </row>
    <row r="17">
      <c r="A17" s="49"/>
      <c r="B17" s="49"/>
      <c r="C17" s="51"/>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255</v>
      </c>
      <c r="M17" s="49"/>
      <c r="N17" s="49"/>
      <c r="O17" s="49"/>
      <c r="P17" s="49"/>
      <c r="Q17" s="49"/>
      <c r="R17" s="49"/>
      <c r="S17" s="49"/>
      <c r="T17" s="49"/>
    </row>
    <row r="18">
      <c r="A18" s="49"/>
      <c r="B18" s="49"/>
      <c r="C18" s="51"/>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255</v>
      </c>
      <c r="M18" s="49"/>
      <c r="N18" s="49"/>
      <c r="O18" s="49"/>
      <c r="P18" s="49"/>
      <c r="Q18" s="49"/>
      <c r="R18" s="49"/>
      <c r="S18" s="49"/>
      <c r="T18" s="49"/>
    </row>
    <row r="19">
      <c r="A19" s="49"/>
      <c r="B19" s="49"/>
      <c r="C19" s="51"/>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255</v>
      </c>
      <c r="M19" s="49"/>
      <c r="N19" s="49"/>
      <c r="O19" s="49"/>
      <c r="P19" s="49"/>
      <c r="Q19" s="49"/>
      <c r="R19" s="49"/>
      <c r="S19" s="49"/>
      <c r="T19" s="49"/>
    </row>
    <row r="20">
      <c r="A20" s="49"/>
      <c r="B20" s="49"/>
      <c r="C20" s="51"/>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255</v>
      </c>
      <c r="M20" s="49"/>
      <c r="N20" s="49"/>
      <c r="O20" s="49"/>
      <c r="P20" s="49"/>
      <c r="Q20" s="49"/>
      <c r="R20" s="49"/>
      <c r="S20" s="49"/>
      <c r="T20" s="49"/>
    </row>
    <row r="21">
      <c r="A21" s="49"/>
      <c r="B21" s="49"/>
      <c r="C21" s="51"/>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255</v>
      </c>
      <c r="M21" s="49"/>
      <c r="N21" s="49"/>
      <c r="O21" s="49"/>
      <c r="P21" s="49"/>
      <c r="Q21" s="49"/>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255</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f t="shared" si="1"/>
        <v>0</v>
      </c>
      <c r="L23" s="49" t="s">
        <v>255</v>
      </c>
      <c r="M23" s="49"/>
      <c r="N23" s="49"/>
      <c r="O23" s="49"/>
      <c r="P23" s="49"/>
      <c r="Q23" s="49"/>
      <c r="R23" s="49"/>
      <c r="S23" s="49"/>
      <c r="T23" s="49"/>
    </row>
  </sheetData>
  <conditionalFormatting sqref="O2:O11">
    <cfRule type="containsText" dxfId="4" priority="1" operator="containsText" text="YES">
      <formula>NOT(ISERROR(SEARCH(("YES"),(O2))))</formula>
    </cfRule>
  </conditionalFormatting>
  <conditionalFormatting sqref="O2:O11">
    <cfRule type="cellIs" dxfId="5" priority="2" operator="equal">
      <formula>"NO"</formula>
    </cfRule>
  </conditionalFormatting>
  <conditionalFormatting sqref="P2:P11">
    <cfRule type="cellIs" dxfId="4" priority="3" operator="equal">
      <formula>"AVAILABLE"</formula>
    </cfRule>
  </conditionalFormatting>
  <conditionalFormatting sqref="P2:P11">
    <cfRule type="cellIs" dxfId="5" priority="4" operator="equal">
      <formula>"NOT AVAILABLE"</formula>
    </cfRule>
  </conditionalFormatting>
  <conditionalFormatting sqref="Q2:Q11">
    <cfRule type="cellIs" dxfId="4" priority="5" operator="equal">
      <formula>"AVAILABLE"</formula>
    </cfRule>
  </conditionalFormatting>
  <conditionalFormatting sqref="Q2:Q11">
    <cfRule type="cellIs" dxfId="6" priority="6" operator="equal">
      <formula>"UPLOADING"</formula>
    </cfRule>
  </conditionalFormatting>
  <conditionalFormatting sqref="Q2:Q11">
    <cfRule type="cellIs" dxfId="5" priority="7" operator="equal">
      <formula>"NOT AVAILABLE"</formula>
    </cfRule>
  </conditionalFormatting>
  <dataValidations>
    <dataValidation type="list" allowBlank="1" sqref="O2:O11">
      <formula1>"YES,NO"</formula1>
    </dataValidation>
    <dataValidation type="list" allowBlank="1" sqref="P2:P11">
      <formula1>"AVAILABLE,NOT AVAILABLE"</formula1>
    </dataValidation>
    <dataValidation type="list" allowBlank="1" sqref="Q2:Q11">
      <formula1>"AVAILABLE,UPLOADING,NOT AVAILABLE"</formula1>
    </dataValidation>
  </dataValidations>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71"/>
    <col customWidth="1" min="3" max="3" width="25.14"/>
    <col hidden="1" min="4" max="5" width="14.43"/>
    <col customWidth="1" min="6" max="6" width="37.86"/>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'DeepTech' ORDER BY F"")"),"Opening remarks")</f>
        <v>Opening remarks</v>
      </c>
      <c r="B2" s="49" t="str">
        <f>IFERROR(__xludf.DUMMYFUNCTION("""COMPUTED_VALUE"""),"DeepTech")</f>
        <v>DeepTech</v>
      </c>
      <c r="C2" s="51" t="str">
        <f>IFERROR(__xludf.DUMMYFUNCTION("""COMPUTED_VALUE"""),"Vikram Ahuja")</f>
        <v>Vikram Ahuja</v>
      </c>
      <c r="D2" s="49" t="str">
        <f>IFERROR(__xludf.DUMMYFUNCTION("""COMPUTED_VALUE"""),"2019/11/06 11:00:00")</f>
        <v>2019/11/06 11:00:00</v>
      </c>
      <c r="E2" s="49" t="str">
        <f>IFERROR(__xludf.DUMMYFUNCTION("""COMPUTED_VALUE"""),"2019/11/06 11:05:00")</f>
        <v>2019/11/06 11:05:00</v>
      </c>
      <c r="F2" s="49" t="str">
        <f>IFERROR(__xludf.DUMMYFUNCTION("""COMPUTED_VALUE"""),"a6f78178-23f5-492b-96f7-1ebbf8969876")</f>
        <v>a6f78178-23f5-492b-96f7-1ebbf8969876</v>
      </c>
      <c r="G2" s="54">
        <f>IFERROR(__xludf.DUMMYFUNCTION("ARRAYFORMULA(SPLIT(D2:D524,"" ""))"),43775.0)</f>
        <v>43775</v>
      </c>
      <c r="H2" s="53">
        <f>IFERROR(__xludf.DUMMYFUNCTION("""COMPUTED_VALUE"""),0.4583333333333333)</f>
        <v>0.4583333333</v>
      </c>
      <c r="I2" s="54">
        <f>IFERROR(__xludf.DUMMYFUNCTION("ARRAYFORMULA(SPLIT(E2:E524,"" ""))"),43775.0)</f>
        <v>43775</v>
      </c>
      <c r="J2" s="53">
        <f>IFERROR(__xludf.DUMMYFUNCTION("""COMPUTED_VALUE"""),0.4618055555555556)</f>
        <v>0.4618055556</v>
      </c>
      <c r="K2" s="53">
        <f t="shared" ref="K2:K23" si="1">J2-H2</f>
        <v>0.003472222222</v>
      </c>
      <c r="L2" s="50" t="str">
        <f t="array" ref="L2:L524">TEXT(K2:K524,"hhmmss")</f>
        <v>000500</v>
      </c>
      <c r="M2" s="62" t="s">
        <v>547</v>
      </c>
      <c r="N2" s="62" t="str">
        <f t="shared" ref="N2:N19" si="2">CONCATENATE(M2,"_",F2,"_","000000_000000.mp4")</f>
        <v>DT_6_1_a6f78178-23f5-492b-96f7-1ebbf8969876_000000_000000.mp4</v>
      </c>
      <c r="O2" s="48"/>
      <c r="P2" s="48"/>
      <c r="Q2" s="63"/>
      <c r="R2" s="49"/>
      <c r="S2" s="49"/>
      <c r="T2" s="49"/>
    </row>
    <row r="3">
      <c r="A3" s="49" t="str">
        <f>IFERROR(__xludf.DUMMYFUNCTION("""COMPUTED_VALUE"""),"Is Siri sexist?")</f>
        <v>Is Siri sexist?</v>
      </c>
      <c r="B3" s="49" t="str">
        <f>IFERROR(__xludf.DUMMYFUNCTION("""COMPUTED_VALUE"""),"DeepTech")</f>
        <v>DeepTech</v>
      </c>
      <c r="C3" s="51" t="str">
        <f>IFERROR(__xludf.DUMMYFUNCTION("""COMPUTED_VALUE"""),"Saniye Gülser Corat and Esther Paniagua")</f>
        <v>Saniye Gülser Corat and Esther Paniagua</v>
      </c>
      <c r="D3" s="49" t="str">
        <f>IFERROR(__xludf.DUMMYFUNCTION("""COMPUTED_VALUE"""),"2019/11/06 11:05:00")</f>
        <v>2019/11/06 11:05:00</v>
      </c>
      <c r="E3" s="49" t="str">
        <f>IFERROR(__xludf.DUMMYFUNCTION("""COMPUTED_VALUE"""),"2019/11/06 11:20:00")</f>
        <v>2019/11/06 11:20:00</v>
      </c>
      <c r="F3" s="49" t="str">
        <f>IFERROR(__xludf.DUMMYFUNCTION("""COMPUTED_VALUE"""),"aad6febc-2c87-400b-8682-c3e5a06e17e2")</f>
        <v>aad6febc-2c87-400b-8682-c3e5a06e17e2</v>
      </c>
      <c r="G3" s="52">
        <f>IFERROR(__xludf.DUMMYFUNCTION("""COMPUTED_VALUE"""),43775.0)</f>
        <v>43775</v>
      </c>
      <c r="H3" s="53">
        <f>IFERROR(__xludf.DUMMYFUNCTION("""COMPUTED_VALUE"""),0.4618055555555556)</f>
        <v>0.4618055556</v>
      </c>
      <c r="I3" s="52">
        <f>IFERROR(__xludf.DUMMYFUNCTION("""COMPUTED_VALUE"""),43775.0)</f>
        <v>43775</v>
      </c>
      <c r="J3" s="53">
        <f>IFERROR(__xludf.DUMMYFUNCTION("""COMPUTED_VALUE"""),0.4722222222222222)</f>
        <v>0.4722222222</v>
      </c>
      <c r="K3" s="53">
        <f t="shared" si="1"/>
        <v>0.01041666667</v>
      </c>
      <c r="L3" s="49" t="s">
        <v>118</v>
      </c>
      <c r="M3" s="62" t="s">
        <v>548</v>
      </c>
      <c r="N3" s="62" t="str">
        <f t="shared" si="2"/>
        <v>DT_6_2_aad6febc-2c87-400b-8682-c3e5a06e17e2_000000_000000.mp4</v>
      </c>
      <c r="O3" s="48"/>
      <c r="P3" s="48"/>
      <c r="Q3" s="63"/>
      <c r="R3" s="49"/>
      <c r="S3" s="49"/>
      <c r="T3" s="49"/>
    </row>
    <row r="4">
      <c r="A4" s="49" t="str">
        <f>IFERROR(__xludf.DUMMYFUNCTION("""COMPUTED_VALUE"""),"AI takes aim at cancer")</f>
        <v>AI takes aim at cancer</v>
      </c>
      <c r="B4" s="49" t="str">
        <f>IFERROR(__xludf.DUMMYFUNCTION("""COMPUTED_VALUE"""),"DeepTech")</f>
        <v>DeepTech</v>
      </c>
      <c r="C4" s="51" t="str">
        <f>IFERROR(__xludf.DUMMYFUNCTION("""COMPUTED_VALUE"""),"Constance Lehman and Alan Griffin")</f>
        <v>Constance Lehman and Alan Griffin</v>
      </c>
      <c r="D4" s="49" t="str">
        <f>IFERROR(__xludf.DUMMYFUNCTION("""COMPUTED_VALUE"""),"2019/11/06 11:20:00")</f>
        <v>2019/11/06 11:20:00</v>
      </c>
      <c r="E4" s="49" t="str">
        <f>IFERROR(__xludf.DUMMYFUNCTION("""COMPUTED_VALUE"""),"2019/11/06 11:35:00")</f>
        <v>2019/11/06 11:35:00</v>
      </c>
      <c r="F4" s="49" t="str">
        <f>IFERROR(__xludf.DUMMYFUNCTION("""COMPUTED_VALUE"""),"d7a8ec79-364a-44b7-900f-1d9579adcb44")</f>
        <v>d7a8ec79-364a-44b7-900f-1d9579adcb44</v>
      </c>
      <c r="G4" s="52">
        <f>IFERROR(__xludf.DUMMYFUNCTION("""COMPUTED_VALUE"""),43775.0)</f>
        <v>43775</v>
      </c>
      <c r="H4" s="53">
        <f>IFERROR(__xludf.DUMMYFUNCTION("""COMPUTED_VALUE"""),0.4722222222222222)</f>
        <v>0.4722222222</v>
      </c>
      <c r="I4" s="52">
        <f>IFERROR(__xludf.DUMMYFUNCTION("""COMPUTED_VALUE"""),43775.0)</f>
        <v>43775</v>
      </c>
      <c r="J4" s="53">
        <f>IFERROR(__xludf.DUMMYFUNCTION("""COMPUTED_VALUE"""),0.4826388888888889)</f>
        <v>0.4826388889</v>
      </c>
      <c r="K4" s="53">
        <f t="shared" si="1"/>
        <v>0.01041666667</v>
      </c>
      <c r="L4" s="49" t="s">
        <v>118</v>
      </c>
      <c r="M4" s="62" t="s">
        <v>549</v>
      </c>
      <c r="N4" s="62" t="str">
        <f t="shared" si="2"/>
        <v>DT_6_3_d7a8ec79-364a-44b7-900f-1d9579adcb44_000000_000000.mp4</v>
      </c>
      <c r="O4" s="48"/>
      <c r="P4" s="48"/>
      <c r="Q4" s="63"/>
      <c r="R4" s="49"/>
      <c r="S4" s="49"/>
      <c r="T4" s="49"/>
    </row>
    <row r="5">
      <c r="A5" s="49" t="str">
        <f>IFERROR(__xludf.DUMMYFUNCTION("""COMPUTED_VALUE"""),"Injecting tech into drug discovery")</f>
        <v>Injecting tech into drug discovery</v>
      </c>
      <c r="B5" s="49" t="str">
        <f>IFERROR(__xludf.DUMMYFUNCTION("""COMPUTED_VALUE"""),"DeepTech")</f>
        <v>DeepTech</v>
      </c>
      <c r="C5" s="51" t="str">
        <f>IFERROR(__xludf.DUMMYFUNCTION("""COMPUTED_VALUE"""),"Andrew Hopkins and Alex Deane")</f>
        <v>Andrew Hopkins and Alex Deane</v>
      </c>
      <c r="D5" s="49" t="str">
        <f>IFERROR(__xludf.DUMMYFUNCTION("""COMPUTED_VALUE"""),"2019/11/06 11:35:00")</f>
        <v>2019/11/06 11:35:00</v>
      </c>
      <c r="E5" s="49" t="str">
        <f>IFERROR(__xludf.DUMMYFUNCTION("""COMPUTED_VALUE"""),"2019/11/06 11:50:00")</f>
        <v>2019/11/06 11:50:00</v>
      </c>
      <c r="F5" s="49" t="str">
        <f>IFERROR(__xludf.DUMMYFUNCTION("""COMPUTED_VALUE"""),"5e52d7c0-1a51-42b8-8270-ebb4e54b46c9")</f>
        <v>5e52d7c0-1a51-42b8-8270-ebb4e54b46c9</v>
      </c>
      <c r="G5" s="52">
        <f>IFERROR(__xludf.DUMMYFUNCTION("""COMPUTED_VALUE"""),43775.0)</f>
        <v>43775</v>
      </c>
      <c r="H5" s="53">
        <f>IFERROR(__xludf.DUMMYFUNCTION("""COMPUTED_VALUE"""),0.4826388888888889)</f>
        <v>0.4826388889</v>
      </c>
      <c r="I5" s="52">
        <f>IFERROR(__xludf.DUMMYFUNCTION("""COMPUTED_VALUE"""),43775.0)</f>
        <v>43775</v>
      </c>
      <c r="J5" s="53">
        <f>IFERROR(__xludf.DUMMYFUNCTION("""COMPUTED_VALUE"""),0.4930555555555556)</f>
        <v>0.4930555556</v>
      </c>
      <c r="K5" s="53">
        <f t="shared" si="1"/>
        <v>0.01041666667</v>
      </c>
      <c r="L5" s="49" t="s">
        <v>118</v>
      </c>
      <c r="M5" s="62" t="s">
        <v>550</v>
      </c>
      <c r="N5" s="62" t="str">
        <f t="shared" si="2"/>
        <v>DT_6_4_5e52d7c0-1a51-42b8-8270-ebb4e54b46c9_000000_000000.mp4</v>
      </c>
      <c r="O5" s="48"/>
      <c r="P5" s="48"/>
      <c r="Q5" s="63"/>
      <c r="R5" s="49"/>
      <c r="S5" s="49"/>
      <c r="T5" s="49"/>
    </row>
    <row r="6">
      <c r="A6" s="49" t="str">
        <f>IFERROR(__xludf.DUMMYFUNCTION("""COMPUTED_VALUE"""),"We have Quantum Supremacy – now what?  ")</f>
        <v>We have Quantum Supremacy – now what?  </v>
      </c>
      <c r="B6" s="49" t="str">
        <f>IFERROR(__xludf.DUMMYFUNCTION("""COMPUTED_VALUE"""),"DeepTech")</f>
        <v>DeepTech</v>
      </c>
      <c r="C6" s="51" t="str">
        <f>IFERROR(__xludf.DUMMYFUNCTION("""COMPUTED_VALUE"""),"Philipp Gerbert and Jeremy Wilks")</f>
        <v>Philipp Gerbert and Jeremy Wilks</v>
      </c>
      <c r="D6" s="49" t="str">
        <f>IFERROR(__xludf.DUMMYFUNCTION("""COMPUTED_VALUE"""),"2019/11/06 11:50:00")</f>
        <v>2019/11/06 11:50:00</v>
      </c>
      <c r="E6" s="49" t="str">
        <f>IFERROR(__xludf.DUMMYFUNCTION("""COMPUTED_VALUE"""),"2019/11/06 12:10:00")</f>
        <v>2019/11/06 12:10:00</v>
      </c>
      <c r="F6" s="49" t="str">
        <f>IFERROR(__xludf.DUMMYFUNCTION("""COMPUTED_VALUE"""),"1c58246b-8649-440a-b197-4a80396fede6")</f>
        <v>1c58246b-8649-440a-b197-4a80396fede6</v>
      </c>
      <c r="G6" s="52">
        <f>IFERROR(__xludf.DUMMYFUNCTION("""COMPUTED_VALUE"""),43775.0)</f>
        <v>43775</v>
      </c>
      <c r="H6" s="53">
        <f>IFERROR(__xludf.DUMMYFUNCTION("""COMPUTED_VALUE"""),0.4930555555555556)</f>
        <v>0.4930555556</v>
      </c>
      <c r="I6" s="52">
        <f>IFERROR(__xludf.DUMMYFUNCTION("""COMPUTED_VALUE"""),43775.0)</f>
        <v>43775</v>
      </c>
      <c r="J6" s="53">
        <f>IFERROR(__xludf.DUMMYFUNCTION("""COMPUTED_VALUE"""),0.5069444444444444)</f>
        <v>0.5069444444</v>
      </c>
      <c r="K6" s="53">
        <f t="shared" si="1"/>
        <v>0.01388888889</v>
      </c>
      <c r="L6" s="49" t="s">
        <v>109</v>
      </c>
      <c r="M6" s="62" t="s">
        <v>551</v>
      </c>
      <c r="N6" s="62" t="str">
        <f t="shared" si="2"/>
        <v>DT_6_5_1c58246b-8649-440a-b197-4a80396fede6_000000_000000.mp4</v>
      </c>
      <c r="O6" s="48"/>
      <c r="P6" s="48"/>
      <c r="Q6" s="63"/>
      <c r="R6" s="49"/>
      <c r="S6" s="49"/>
      <c r="T6" s="49"/>
    </row>
    <row r="7">
      <c r="A7" s="49" t="str">
        <f>IFERROR(__xludf.DUMMYFUNCTION("""COMPUTED_VALUE"""),"Should robots have rights?")</f>
        <v>Should robots have rights?</v>
      </c>
      <c r="B7" s="49" t="str">
        <f>IFERROR(__xludf.DUMMYFUNCTION("""COMPUTED_VALUE"""),"DeepTech")</f>
        <v>DeepTech</v>
      </c>
      <c r="C7" s="51" t="str">
        <f>IFERROR(__xludf.DUMMYFUNCTION("""COMPUTED_VALUE"""),"John Basl, Steve Petersen, Ben Goertzel, Fouzia Adjailia and Louise Lucas")</f>
        <v>John Basl, Steve Petersen, Ben Goertzel, Fouzia Adjailia and Louise Lucas</v>
      </c>
      <c r="D7" s="49" t="str">
        <f>IFERROR(__xludf.DUMMYFUNCTION("""COMPUTED_VALUE"""),"2019/11/06 12:10:00")</f>
        <v>2019/11/06 12:10:00</v>
      </c>
      <c r="E7" s="49" t="str">
        <f>IFERROR(__xludf.DUMMYFUNCTION("""COMPUTED_VALUE"""),"2019/11/06 12:35:00")</f>
        <v>2019/11/06 12:35:00</v>
      </c>
      <c r="F7" s="49" t="str">
        <f>IFERROR(__xludf.DUMMYFUNCTION("""COMPUTED_VALUE"""),"cad13a64-b9db-4862-b091-0435773e2aec")</f>
        <v>cad13a64-b9db-4862-b091-0435773e2aec</v>
      </c>
      <c r="G7" s="52">
        <f>IFERROR(__xludf.DUMMYFUNCTION("""COMPUTED_VALUE"""),43775.0)</f>
        <v>43775</v>
      </c>
      <c r="H7" s="53">
        <f>IFERROR(__xludf.DUMMYFUNCTION("""COMPUTED_VALUE"""),0.5069444444444444)</f>
        <v>0.5069444444</v>
      </c>
      <c r="I7" s="52">
        <f>IFERROR(__xludf.DUMMYFUNCTION("""COMPUTED_VALUE"""),43775.0)</f>
        <v>43775</v>
      </c>
      <c r="J7" s="53">
        <f>IFERROR(__xludf.DUMMYFUNCTION("""COMPUTED_VALUE"""),0.5243055555555556)</f>
        <v>0.5243055556</v>
      </c>
      <c r="K7" s="53">
        <f t="shared" si="1"/>
        <v>0.01736111111</v>
      </c>
      <c r="L7" s="49" t="s">
        <v>111</v>
      </c>
      <c r="M7" s="62" t="s">
        <v>552</v>
      </c>
      <c r="N7" s="62" t="str">
        <f t="shared" si="2"/>
        <v>DT_6_6_cad13a64-b9db-4862-b091-0435773e2aec_000000_000000.mp4</v>
      </c>
      <c r="O7" s="48"/>
      <c r="P7" s="48"/>
      <c r="Q7" s="63"/>
      <c r="R7" s="49"/>
      <c r="S7" s="49"/>
      <c r="T7" s="49"/>
    </row>
    <row r="8">
      <c r="A8" s="49" t="str">
        <f>IFERROR(__xludf.DUMMYFUNCTION("""COMPUTED_VALUE"""),"The evolution of currency")</f>
        <v>The evolution of currency</v>
      </c>
      <c r="B8" s="49" t="str">
        <f>IFERROR(__xludf.DUMMYFUNCTION("""COMPUTED_VALUE"""),"DeepTech")</f>
        <v>DeepTech</v>
      </c>
      <c r="C8" s="51" t="str">
        <f>IFERROR(__xludf.DUMMYFUNCTION("""COMPUTED_VALUE"""),"David Chaum")</f>
        <v>David Chaum</v>
      </c>
      <c r="D8" s="49" t="str">
        <f>IFERROR(__xludf.DUMMYFUNCTION("""COMPUTED_VALUE"""),"2019/11/06 12:35:00")</f>
        <v>2019/11/06 12:35:00</v>
      </c>
      <c r="E8" s="49" t="str">
        <f>IFERROR(__xludf.DUMMYFUNCTION("""COMPUTED_VALUE"""),"2019/11/06 12:55:00")</f>
        <v>2019/11/06 12:55:00</v>
      </c>
      <c r="F8" s="49" t="str">
        <f>IFERROR(__xludf.DUMMYFUNCTION("""COMPUTED_VALUE"""),"ebf971a5-06c6-45f3-9d82-04babddc96c9")</f>
        <v>ebf971a5-06c6-45f3-9d82-04babddc96c9</v>
      </c>
      <c r="G8" s="52">
        <f>IFERROR(__xludf.DUMMYFUNCTION("""COMPUTED_VALUE"""),43775.0)</f>
        <v>43775</v>
      </c>
      <c r="H8" s="53">
        <f>IFERROR(__xludf.DUMMYFUNCTION("""COMPUTED_VALUE"""),0.5243055555555556)</f>
        <v>0.5243055556</v>
      </c>
      <c r="I8" s="52">
        <f>IFERROR(__xludf.DUMMYFUNCTION("""COMPUTED_VALUE"""),43775.0)</f>
        <v>43775</v>
      </c>
      <c r="J8" s="53">
        <f>IFERROR(__xludf.DUMMYFUNCTION("""COMPUTED_VALUE"""),0.5381944444444444)</f>
        <v>0.5381944444</v>
      </c>
      <c r="K8" s="53">
        <f t="shared" si="1"/>
        <v>0.01388888889</v>
      </c>
      <c r="L8" s="49" t="s">
        <v>109</v>
      </c>
      <c r="M8" s="62" t="s">
        <v>553</v>
      </c>
      <c r="N8" s="62" t="str">
        <f t="shared" si="2"/>
        <v>DT_6_7_ebf971a5-06c6-45f3-9d82-04babddc96c9_000000_000000.mp4</v>
      </c>
      <c r="O8" s="48"/>
      <c r="P8" s="48"/>
      <c r="Q8" s="63"/>
      <c r="R8" s="49"/>
      <c r="S8" s="49"/>
      <c r="T8" s="49"/>
    </row>
    <row r="9">
      <c r="A9" s="49" t="str">
        <f>IFERROR(__xludf.DUMMYFUNCTION("""COMPUTED_VALUE"""),"Robosexual: The future of human-robot relations")</f>
        <v>Robosexual: The future of human-robot relations</v>
      </c>
      <c r="B9" s="49" t="str">
        <f>IFERROR(__xludf.DUMMYFUNCTION("""COMPUTED_VALUE"""),"DeepTech")</f>
        <v>DeepTech</v>
      </c>
      <c r="C9" s="51" t="str">
        <f>IFERROR(__xludf.DUMMYFUNCTION("""COMPUTED_VALUE"""),"Stephanie Alys, Marianne Brandon and Esther Paniagua")</f>
        <v>Stephanie Alys, Marianne Brandon and Esther Paniagua</v>
      </c>
      <c r="D9" s="49" t="str">
        <f>IFERROR(__xludf.DUMMYFUNCTION("""COMPUTED_VALUE"""),"2019/11/06 12:55:00")</f>
        <v>2019/11/06 12:55:00</v>
      </c>
      <c r="E9" s="49" t="str">
        <f>IFERROR(__xludf.DUMMYFUNCTION("""COMPUTED_VALUE"""),"2019/11/06 13:15:00")</f>
        <v>2019/11/06 13:15:00</v>
      </c>
      <c r="F9" s="49" t="str">
        <f>IFERROR(__xludf.DUMMYFUNCTION("""COMPUTED_VALUE"""),"e2859cde-d7fd-465c-a7c5-ca36e88fda84")</f>
        <v>e2859cde-d7fd-465c-a7c5-ca36e88fda84</v>
      </c>
      <c r="G9" s="52">
        <f>IFERROR(__xludf.DUMMYFUNCTION("""COMPUTED_VALUE"""),43775.0)</f>
        <v>43775</v>
      </c>
      <c r="H9" s="53">
        <f>IFERROR(__xludf.DUMMYFUNCTION("""COMPUTED_VALUE"""),0.5381944444444444)</f>
        <v>0.5381944444</v>
      </c>
      <c r="I9" s="52">
        <f>IFERROR(__xludf.DUMMYFUNCTION("""COMPUTED_VALUE"""),43775.0)</f>
        <v>43775</v>
      </c>
      <c r="J9" s="53">
        <f>IFERROR(__xludf.DUMMYFUNCTION("""COMPUTED_VALUE"""),0.5520833333333334)</f>
        <v>0.5520833333</v>
      </c>
      <c r="K9" s="53">
        <f t="shared" si="1"/>
        <v>0.01388888889</v>
      </c>
      <c r="L9" s="49" t="s">
        <v>109</v>
      </c>
      <c r="M9" s="62" t="s">
        <v>554</v>
      </c>
      <c r="N9" s="62" t="str">
        <f t="shared" si="2"/>
        <v>DT_6_8_e2859cde-d7fd-465c-a7c5-ca36e88fda84_000000_000000.mp4</v>
      </c>
      <c r="O9" s="48"/>
      <c r="P9" s="48"/>
      <c r="Q9" s="63"/>
      <c r="R9" s="49"/>
      <c r="S9" s="49"/>
      <c r="T9" s="49"/>
    </row>
    <row r="10">
      <c r="A10" s="49" t="str">
        <f>IFERROR(__xludf.DUMMYFUNCTION("""COMPUTED_VALUE"""),"Lunch break")</f>
        <v>Lunch break</v>
      </c>
      <c r="B10" s="49" t="str">
        <f>IFERROR(__xludf.DUMMYFUNCTION("""COMPUTED_VALUE"""),"DeepTech")</f>
        <v>DeepTech</v>
      </c>
      <c r="C10" s="51" t="str">
        <f>IFERROR(__xludf.DUMMYFUNCTION("""COMPUTED_VALUE"""),"")</f>
        <v/>
      </c>
      <c r="D10" s="49" t="str">
        <f>IFERROR(__xludf.DUMMYFUNCTION("""COMPUTED_VALUE"""),"2019/11/06 13:15:00")</f>
        <v>2019/11/06 13:15:00</v>
      </c>
      <c r="E10" s="49" t="str">
        <f>IFERROR(__xludf.DUMMYFUNCTION("""COMPUTED_VALUE"""),"2019/11/06 13:50:00")</f>
        <v>2019/11/06 13:50:00</v>
      </c>
      <c r="F10" s="49" t="str">
        <f>IFERROR(__xludf.DUMMYFUNCTION("""COMPUTED_VALUE"""),"3c08a900-4299-4ea4-b72a-9c13a1a1916e")</f>
        <v>3c08a900-4299-4ea4-b72a-9c13a1a1916e</v>
      </c>
      <c r="G10" s="52">
        <f>IFERROR(__xludf.DUMMYFUNCTION("""COMPUTED_VALUE"""),43775.0)</f>
        <v>43775</v>
      </c>
      <c r="H10" s="53">
        <f>IFERROR(__xludf.DUMMYFUNCTION("""COMPUTED_VALUE"""),0.5520833333333334)</f>
        <v>0.5520833333</v>
      </c>
      <c r="I10" s="52">
        <f>IFERROR(__xludf.DUMMYFUNCTION("""COMPUTED_VALUE"""),43775.0)</f>
        <v>43775</v>
      </c>
      <c r="J10" s="53">
        <f>IFERROR(__xludf.DUMMYFUNCTION("""COMPUTED_VALUE"""),0.5763888888888888)</f>
        <v>0.5763888889</v>
      </c>
      <c r="K10" s="53">
        <f t="shared" si="1"/>
        <v>0.02430555556</v>
      </c>
      <c r="L10" s="49" t="s">
        <v>158</v>
      </c>
      <c r="M10" s="49"/>
      <c r="N10" s="62" t="str">
        <f t="shared" si="2"/>
        <v>_3c08a900-4299-4ea4-b72a-9c13a1a1916e_000000_000000.mp4</v>
      </c>
      <c r="O10" s="48"/>
      <c r="P10" s="48"/>
      <c r="Q10" s="63"/>
      <c r="R10" s="49"/>
      <c r="S10" s="49"/>
      <c r="T10" s="49"/>
    </row>
    <row r="11">
      <c r="A11" s="49" t="str">
        <f>IFERROR(__xludf.DUMMYFUNCTION("""COMPUTED_VALUE"""),"Opening remarks")</f>
        <v>Opening remarks</v>
      </c>
      <c r="B11" s="49" t="str">
        <f>IFERROR(__xludf.DUMMYFUNCTION("""COMPUTED_VALUE"""),"DeepTech")</f>
        <v>DeepTech</v>
      </c>
      <c r="C11" s="51" t="str">
        <f>IFERROR(__xludf.DUMMYFUNCTION("""COMPUTED_VALUE"""),"Matthew Fornaciari")</f>
        <v>Matthew Fornaciari</v>
      </c>
      <c r="D11" s="49" t="str">
        <f>IFERROR(__xludf.DUMMYFUNCTION("""COMPUTED_VALUE"""),"2019/11/06 13:50:00")</f>
        <v>2019/11/06 13:50:00</v>
      </c>
      <c r="E11" s="49" t="str">
        <f>IFERROR(__xludf.DUMMYFUNCTION("""COMPUTED_VALUE"""),"2019/11/06 13:55:00")</f>
        <v>2019/11/06 13:55:00</v>
      </c>
      <c r="F11" s="49" t="str">
        <f>IFERROR(__xludf.DUMMYFUNCTION("""COMPUTED_VALUE"""),"b2c907b9-1735-4fdc-a3bc-ae0eaf3a20bb")</f>
        <v>b2c907b9-1735-4fdc-a3bc-ae0eaf3a20bb</v>
      </c>
      <c r="G11" s="52">
        <f>IFERROR(__xludf.DUMMYFUNCTION("""COMPUTED_VALUE"""),43775.0)</f>
        <v>43775</v>
      </c>
      <c r="H11" s="53">
        <f>IFERROR(__xludf.DUMMYFUNCTION("""COMPUTED_VALUE"""),0.5763888888888888)</f>
        <v>0.5763888889</v>
      </c>
      <c r="I11" s="52">
        <f>IFERROR(__xludf.DUMMYFUNCTION("""COMPUTED_VALUE"""),43775.0)</f>
        <v>43775</v>
      </c>
      <c r="J11" s="53">
        <f>IFERROR(__xludf.DUMMYFUNCTION("""COMPUTED_VALUE"""),0.5798611111111112)</f>
        <v>0.5798611111</v>
      </c>
      <c r="K11" s="53">
        <f t="shared" si="1"/>
        <v>0.003472222222</v>
      </c>
      <c r="L11" s="49" t="s">
        <v>228</v>
      </c>
      <c r="M11" s="62" t="s">
        <v>555</v>
      </c>
      <c r="N11" s="62" t="str">
        <f t="shared" si="2"/>
        <v>DT_6_9_b2c907b9-1735-4fdc-a3bc-ae0eaf3a20bb_000000_000000.mp4</v>
      </c>
      <c r="O11" s="48"/>
      <c r="P11" s="48"/>
      <c r="Q11" s="63"/>
      <c r="R11" s="49"/>
      <c r="S11" s="49"/>
      <c r="T11" s="49"/>
    </row>
    <row r="12">
      <c r="A12" s="49" t="str">
        <f>IFERROR(__xludf.DUMMYFUNCTION("""COMPUTED_VALUE"""),"Making the most of data")</f>
        <v>Making the most of data</v>
      </c>
      <c r="B12" s="49" t="str">
        <f>IFERROR(__xludf.DUMMYFUNCTION("""COMPUTED_VALUE"""),"DeepTech")</f>
        <v>DeepTech</v>
      </c>
      <c r="C12" s="51" t="str">
        <f>IFERROR(__xludf.DUMMYFUNCTION("""COMPUTED_VALUE"""),"Daniela Braga, Stijn Christiaens, Helen Zeitoun and Rani Molla")</f>
        <v>Daniela Braga, Stijn Christiaens, Helen Zeitoun and Rani Molla</v>
      </c>
      <c r="D12" s="49" t="str">
        <f>IFERROR(__xludf.DUMMYFUNCTION("""COMPUTED_VALUE"""),"2019/11/06 13:55:00")</f>
        <v>2019/11/06 13:55:00</v>
      </c>
      <c r="E12" s="49" t="str">
        <f>IFERROR(__xludf.DUMMYFUNCTION("""COMPUTED_VALUE"""),"2019/11/06 14:15:00")</f>
        <v>2019/11/06 14:15:00</v>
      </c>
      <c r="F12" s="49" t="str">
        <f>IFERROR(__xludf.DUMMYFUNCTION("""COMPUTED_VALUE"""),"7a5613f7-7237-4db7-a4ca-32fc0718ee9a")</f>
        <v>7a5613f7-7237-4db7-a4ca-32fc0718ee9a</v>
      </c>
      <c r="G12" s="52">
        <f>IFERROR(__xludf.DUMMYFUNCTION("""COMPUTED_VALUE"""),43775.0)</f>
        <v>43775</v>
      </c>
      <c r="H12" s="53">
        <f>IFERROR(__xludf.DUMMYFUNCTION("""COMPUTED_VALUE"""),0.5798611111111112)</f>
        <v>0.5798611111</v>
      </c>
      <c r="I12" s="52">
        <f>IFERROR(__xludf.DUMMYFUNCTION("""COMPUTED_VALUE"""),43775.0)</f>
        <v>43775</v>
      </c>
      <c r="J12" s="53">
        <f>IFERROR(__xludf.DUMMYFUNCTION("""COMPUTED_VALUE"""),0.59375)</f>
        <v>0.59375</v>
      </c>
      <c r="K12" s="53">
        <f t="shared" si="1"/>
        <v>0.01388888889</v>
      </c>
      <c r="L12" s="49" t="s">
        <v>109</v>
      </c>
      <c r="M12" s="62" t="s">
        <v>556</v>
      </c>
      <c r="N12" s="62" t="str">
        <f t="shared" si="2"/>
        <v>DT_6_10_7a5613f7-7237-4db7-a4ca-32fc0718ee9a_000000_000000.mp4</v>
      </c>
      <c r="O12" s="48"/>
      <c r="P12" s="48"/>
      <c r="Q12" s="63"/>
      <c r="R12" s="49"/>
      <c r="S12" s="49"/>
      <c r="T12" s="49"/>
    </row>
    <row r="13">
      <c r="A13" s="49" t="str">
        <f>IFERROR(__xludf.DUMMYFUNCTION("""COMPUTED_VALUE"""),"Your Brain 2.0: Unlocking machines with your mind")</f>
        <v>Your Brain 2.0: Unlocking machines with your mind</v>
      </c>
      <c r="B13" s="49" t="str">
        <f>IFERROR(__xludf.DUMMYFUNCTION("""COMPUTED_VALUE"""),"DeepTech")</f>
        <v>DeepTech</v>
      </c>
      <c r="C13" s="51" t="str">
        <f>IFERROR(__xludf.DUMMYFUNCTION("""COMPUTED_VALUE"""),"Thomas Reardon")</f>
        <v>Thomas Reardon</v>
      </c>
      <c r="D13" s="49" t="str">
        <f>IFERROR(__xludf.DUMMYFUNCTION("""COMPUTED_VALUE"""),"2019/11/06 14:15:00")</f>
        <v>2019/11/06 14:15:00</v>
      </c>
      <c r="E13" s="49" t="str">
        <f>IFERROR(__xludf.DUMMYFUNCTION("""COMPUTED_VALUE"""),"2019/11/06 14:30:00")</f>
        <v>2019/11/06 14:30:00</v>
      </c>
      <c r="F13" s="49" t="str">
        <f>IFERROR(__xludf.DUMMYFUNCTION("""COMPUTED_VALUE"""),"df0a2710-99b3-48fe-93b7-e754edb86be8")</f>
        <v>df0a2710-99b3-48fe-93b7-e754edb86be8</v>
      </c>
      <c r="G13" s="52">
        <f>IFERROR(__xludf.DUMMYFUNCTION("""COMPUTED_VALUE"""),43775.0)</f>
        <v>43775</v>
      </c>
      <c r="H13" s="53">
        <f>IFERROR(__xludf.DUMMYFUNCTION("""COMPUTED_VALUE"""),0.59375)</f>
        <v>0.59375</v>
      </c>
      <c r="I13" s="52">
        <f>IFERROR(__xludf.DUMMYFUNCTION("""COMPUTED_VALUE"""),43775.0)</f>
        <v>43775</v>
      </c>
      <c r="J13" s="53">
        <f>IFERROR(__xludf.DUMMYFUNCTION("""COMPUTED_VALUE"""),0.6041666666666666)</f>
        <v>0.6041666667</v>
      </c>
      <c r="K13" s="53">
        <f t="shared" si="1"/>
        <v>0.01041666667</v>
      </c>
      <c r="L13" s="49" t="s">
        <v>118</v>
      </c>
      <c r="M13" s="62" t="s">
        <v>557</v>
      </c>
      <c r="N13" s="62" t="str">
        <f t="shared" si="2"/>
        <v>DT_6_11_df0a2710-99b3-48fe-93b7-e754edb86be8_000000_000000.mp4</v>
      </c>
      <c r="O13" s="48"/>
      <c r="P13" s="48"/>
      <c r="Q13" s="63"/>
      <c r="R13" s="49"/>
      <c r="S13" s="49"/>
      <c r="T13" s="49"/>
    </row>
    <row r="14">
      <c r="A14" s="49" t="str">
        <f>IFERROR(__xludf.DUMMYFUNCTION("""COMPUTED_VALUE"""),"The future of space: from AI to the multiverse ")</f>
        <v>The future of space: from AI to the multiverse </v>
      </c>
      <c r="B14" s="49" t="str">
        <f>IFERROR(__xludf.DUMMYFUNCTION("""COMPUTED_VALUE"""),"DeepTech")</f>
        <v>DeepTech</v>
      </c>
      <c r="C14" s="51" t="str">
        <f>IFERROR(__xludf.DUMMYFUNCTION("""COMPUTED_VALUE"""),"Roberto Trotta")</f>
        <v>Roberto Trotta</v>
      </c>
      <c r="D14" s="49" t="str">
        <f>IFERROR(__xludf.DUMMYFUNCTION("""COMPUTED_VALUE"""),"2019/11/06 14:30:00")</f>
        <v>2019/11/06 14:30:00</v>
      </c>
      <c r="E14" s="49" t="str">
        <f>IFERROR(__xludf.DUMMYFUNCTION("""COMPUTED_VALUE"""),"2019/11/06 14:50:00")</f>
        <v>2019/11/06 14:50:00</v>
      </c>
      <c r="F14" s="49" t="str">
        <f>IFERROR(__xludf.DUMMYFUNCTION("""COMPUTED_VALUE"""),"47536078-a25d-4729-b47d-74e8169a3703")</f>
        <v>47536078-a25d-4729-b47d-74e8169a3703</v>
      </c>
      <c r="G14" s="52">
        <f>IFERROR(__xludf.DUMMYFUNCTION("""COMPUTED_VALUE"""),43775.0)</f>
        <v>43775</v>
      </c>
      <c r="H14" s="53">
        <f>IFERROR(__xludf.DUMMYFUNCTION("""COMPUTED_VALUE"""),0.6041666666666666)</f>
        <v>0.6041666667</v>
      </c>
      <c r="I14" s="52">
        <f>IFERROR(__xludf.DUMMYFUNCTION("""COMPUTED_VALUE"""),43775.0)</f>
        <v>43775</v>
      </c>
      <c r="J14" s="53">
        <f>IFERROR(__xludf.DUMMYFUNCTION("""COMPUTED_VALUE"""),0.6180555555555556)</f>
        <v>0.6180555556</v>
      </c>
      <c r="K14" s="53">
        <f t="shared" si="1"/>
        <v>0.01388888889</v>
      </c>
      <c r="L14" s="49" t="s">
        <v>109</v>
      </c>
      <c r="M14" s="62" t="s">
        <v>558</v>
      </c>
      <c r="N14" s="62" t="str">
        <f t="shared" si="2"/>
        <v>DT_6_12_47536078-a25d-4729-b47d-74e8169a3703_000000_000000.mp4</v>
      </c>
      <c r="O14" s="48"/>
      <c r="P14" s="48"/>
      <c r="Q14" s="63"/>
      <c r="R14" s="49"/>
      <c r="S14" s="49"/>
      <c r="T14" s="49"/>
    </row>
    <row r="15">
      <c r="A15" s="49" t="str">
        <f>IFERROR(__xludf.DUMMYFUNCTION("""COMPUTED_VALUE"""),"Star Wars: Rise of the space junk")</f>
        <v>Star Wars: Rise of the space junk</v>
      </c>
      <c r="B15" s="49" t="str">
        <f>IFERROR(__xludf.DUMMYFUNCTION("""COMPUTED_VALUE"""),"DeepTech")</f>
        <v>DeepTech</v>
      </c>
      <c r="C15" s="51" t="str">
        <f>IFERROR(__xludf.DUMMYFUNCTION("""COMPUTED_VALUE"""),"Holger Krag, Nobu Okada, Peter Martinez and Jeremy Wilks")</f>
        <v>Holger Krag, Nobu Okada, Peter Martinez and Jeremy Wilks</v>
      </c>
      <c r="D15" s="49" t="str">
        <f>IFERROR(__xludf.DUMMYFUNCTION("""COMPUTED_VALUE"""),"2019/11/06 14:50:00")</f>
        <v>2019/11/06 14:50:00</v>
      </c>
      <c r="E15" s="49" t="str">
        <f>IFERROR(__xludf.DUMMYFUNCTION("""COMPUTED_VALUE"""),"2019/11/06 15:15:00")</f>
        <v>2019/11/06 15:15:00</v>
      </c>
      <c r="F15" s="49" t="str">
        <f>IFERROR(__xludf.DUMMYFUNCTION("""COMPUTED_VALUE"""),"871689fc-ecc3-489d-82f1-f443c7b6c01e")</f>
        <v>871689fc-ecc3-489d-82f1-f443c7b6c01e</v>
      </c>
      <c r="G15" s="52">
        <f>IFERROR(__xludf.DUMMYFUNCTION("""COMPUTED_VALUE"""),43775.0)</f>
        <v>43775</v>
      </c>
      <c r="H15" s="53">
        <f>IFERROR(__xludf.DUMMYFUNCTION("""COMPUTED_VALUE"""),0.6180555555555556)</f>
        <v>0.6180555556</v>
      </c>
      <c r="I15" s="52">
        <f>IFERROR(__xludf.DUMMYFUNCTION("""COMPUTED_VALUE"""),43775.0)</f>
        <v>43775</v>
      </c>
      <c r="J15" s="53">
        <f>IFERROR(__xludf.DUMMYFUNCTION("""COMPUTED_VALUE"""),0.6354166666666666)</f>
        <v>0.6354166667</v>
      </c>
      <c r="K15" s="53">
        <f t="shared" si="1"/>
        <v>0.01736111111</v>
      </c>
      <c r="L15" s="49" t="s">
        <v>111</v>
      </c>
      <c r="M15" s="62" t="s">
        <v>559</v>
      </c>
      <c r="N15" s="62" t="str">
        <f t="shared" si="2"/>
        <v>DT_6_13_871689fc-ecc3-489d-82f1-f443c7b6c01e_000000_000000.mp4</v>
      </c>
      <c r="O15" s="48"/>
      <c r="P15" s="48"/>
      <c r="Q15" s="63"/>
      <c r="R15" s="49"/>
      <c r="S15" s="49"/>
      <c r="T15" s="49"/>
    </row>
    <row r="16">
      <c r="A16" s="49" t="str">
        <f>IFERROR(__xludf.DUMMYFUNCTION("""COMPUTED_VALUE"""),"Combating the weaponization of data")</f>
        <v>Combating the weaponization of data</v>
      </c>
      <c r="B16" s="49" t="str">
        <f>IFERROR(__xludf.DUMMYFUNCTION("""COMPUTED_VALUE"""),"DeepTech")</f>
        <v>DeepTech</v>
      </c>
      <c r="C16" s="51" t="str">
        <f>IFERROR(__xludf.DUMMYFUNCTION("""COMPUTED_VALUE"""),"Brittany Kaiser and Mark Di Stefano")</f>
        <v>Brittany Kaiser and Mark Di Stefano</v>
      </c>
      <c r="D16" s="49" t="str">
        <f>IFERROR(__xludf.DUMMYFUNCTION("""COMPUTED_VALUE"""),"2019/11/06 15:15:00")</f>
        <v>2019/11/06 15:15:00</v>
      </c>
      <c r="E16" s="49" t="str">
        <f>IFERROR(__xludf.DUMMYFUNCTION("""COMPUTED_VALUE"""),"2019/11/06 15:35:00")</f>
        <v>2019/11/06 15:35:00</v>
      </c>
      <c r="F16" s="49" t="str">
        <f>IFERROR(__xludf.DUMMYFUNCTION("""COMPUTED_VALUE"""),"0fb8a55b-7f8f-45a2-91ef-d82a226dcad6")</f>
        <v>0fb8a55b-7f8f-45a2-91ef-d82a226dcad6</v>
      </c>
      <c r="G16" s="52">
        <f>IFERROR(__xludf.DUMMYFUNCTION("""COMPUTED_VALUE"""),43775.0)</f>
        <v>43775</v>
      </c>
      <c r="H16" s="53">
        <f>IFERROR(__xludf.DUMMYFUNCTION("""COMPUTED_VALUE"""),0.6354166666666666)</f>
        <v>0.6354166667</v>
      </c>
      <c r="I16" s="52">
        <f>IFERROR(__xludf.DUMMYFUNCTION("""COMPUTED_VALUE"""),43775.0)</f>
        <v>43775</v>
      </c>
      <c r="J16" s="53">
        <f>IFERROR(__xludf.DUMMYFUNCTION("""COMPUTED_VALUE"""),0.6493055555555556)</f>
        <v>0.6493055556</v>
      </c>
      <c r="K16" s="53">
        <f t="shared" si="1"/>
        <v>0.01388888889</v>
      </c>
      <c r="L16" s="49" t="s">
        <v>109</v>
      </c>
      <c r="M16" s="62" t="s">
        <v>560</v>
      </c>
      <c r="N16" s="62" t="str">
        <f t="shared" si="2"/>
        <v>DT_6_14_0fb8a55b-7f8f-45a2-91ef-d82a226dcad6_000000_000000.mp4</v>
      </c>
      <c r="O16" s="48"/>
      <c r="P16" s="48"/>
      <c r="Q16" s="63"/>
      <c r="R16" s="49"/>
      <c r="S16" s="49"/>
      <c r="T16" s="49"/>
    </row>
    <row r="17">
      <c r="A17" s="49" t="str">
        <f>IFERROR(__xludf.DUMMYFUNCTION("""COMPUTED_VALUE"""),"What will the first human martians look like?")</f>
        <v>What will the first human martians look like?</v>
      </c>
      <c r="B17" s="49" t="str">
        <f>IFERROR(__xludf.DUMMYFUNCTION("""COMPUTED_VALUE"""),"DeepTech")</f>
        <v>DeepTech</v>
      </c>
      <c r="C17" s="51" t="str">
        <f>IFERROR(__xludf.DUMMYFUNCTION("""COMPUTED_VALUE"""),"Scott Solomon")</f>
        <v>Scott Solomon</v>
      </c>
      <c r="D17" s="49" t="str">
        <f>IFERROR(__xludf.DUMMYFUNCTION("""COMPUTED_VALUE"""),"2019/11/06 15:35:00")</f>
        <v>2019/11/06 15:35:00</v>
      </c>
      <c r="E17" s="49" t="str">
        <f>IFERROR(__xludf.DUMMYFUNCTION("""COMPUTED_VALUE"""),"2019/11/06 15:55:00")</f>
        <v>2019/11/06 15:55:00</v>
      </c>
      <c r="F17" s="49" t="str">
        <f>IFERROR(__xludf.DUMMYFUNCTION("""COMPUTED_VALUE"""),"b834088e-e41d-4ee5-8b35-5691609ff728")</f>
        <v>b834088e-e41d-4ee5-8b35-5691609ff728</v>
      </c>
      <c r="G17" s="52">
        <f>IFERROR(__xludf.DUMMYFUNCTION("""COMPUTED_VALUE"""),43775.0)</f>
        <v>43775</v>
      </c>
      <c r="H17" s="53">
        <f>IFERROR(__xludf.DUMMYFUNCTION("""COMPUTED_VALUE"""),0.6493055555555556)</f>
        <v>0.6493055556</v>
      </c>
      <c r="I17" s="52">
        <f>IFERROR(__xludf.DUMMYFUNCTION("""COMPUTED_VALUE"""),43775.0)</f>
        <v>43775</v>
      </c>
      <c r="J17" s="53">
        <f>IFERROR(__xludf.DUMMYFUNCTION("""COMPUTED_VALUE"""),0.6631944444444444)</f>
        <v>0.6631944444</v>
      </c>
      <c r="K17" s="53">
        <f t="shared" si="1"/>
        <v>0.01388888889</v>
      </c>
      <c r="L17" s="49" t="s">
        <v>109</v>
      </c>
      <c r="M17" s="62" t="s">
        <v>561</v>
      </c>
      <c r="N17" s="62" t="str">
        <f t="shared" si="2"/>
        <v>DT_6_15_b834088e-e41d-4ee5-8b35-5691609ff728_000000_000000.mp4</v>
      </c>
      <c r="O17" s="48"/>
      <c r="P17" s="48"/>
      <c r="Q17" s="63"/>
      <c r="R17" s="49"/>
      <c r="S17" s="49"/>
      <c r="T17" s="49"/>
    </row>
    <row r="18">
      <c r="A18" s="49" t="str">
        <f>IFERROR(__xludf.DUMMYFUNCTION("""COMPUTED_VALUE"""),"Where will we be in 2050?")</f>
        <v>Where will we be in 2050?</v>
      </c>
      <c r="B18" s="49" t="str">
        <f>IFERROR(__xludf.DUMMYFUNCTION("""COMPUTED_VALUE"""),"DeepTech")</f>
        <v>DeepTech</v>
      </c>
      <c r="C18" s="51" t="str">
        <f>IFERROR(__xludf.DUMMYFUNCTION("""COMPUTED_VALUE"""),"Alex Wright-Gladstein, Marc Mengler, Mitchell Baker, Peter O'Malley and Robin Pagnamenta")</f>
        <v>Alex Wright-Gladstein, Marc Mengler, Mitchell Baker, Peter O'Malley and Robin Pagnamenta</v>
      </c>
      <c r="D18" s="49" t="str">
        <f>IFERROR(__xludf.DUMMYFUNCTION("""COMPUTED_VALUE"""),"2019/11/06 15:55:00")</f>
        <v>2019/11/06 15:55:00</v>
      </c>
      <c r="E18" s="49" t="str">
        <f>IFERROR(__xludf.DUMMYFUNCTION("""COMPUTED_VALUE"""),"2019/11/06 16:20:00")</f>
        <v>2019/11/06 16:20:00</v>
      </c>
      <c r="F18" s="49" t="str">
        <f>IFERROR(__xludf.DUMMYFUNCTION("""COMPUTED_VALUE"""),"892f1ab6-eb0b-4dc6-81b7-c3abc9d9eba2")</f>
        <v>892f1ab6-eb0b-4dc6-81b7-c3abc9d9eba2</v>
      </c>
      <c r="G18" s="52">
        <f>IFERROR(__xludf.DUMMYFUNCTION("""COMPUTED_VALUE"""),43775.0)</f>
        <v>43775</v>
      </c>
      <c r="H18" s="53">
        <f>IFERROR(__xludf.DUMMYFUNCTION("""COMPUTED_VALUE"""),0.6631944444444444)</f>
        <v>0.6631944444</v>
      </c>
      <c r="I18" s="52">
        <f>IFERROR(__xludf.DUMMYFUNCTION("""COMPUTED_VALUE"""),43775.0)</f>
        <v>43775</v>
      </c>
      <c r="J18" s="53">
        <f>IFERROR(__xludf.DUMMYFUNCTION("""COMPUTED_VALUE"""),0.6805555555555556)</f>
        <v>0.6805555556</v>
      </c>
      <c r="K18" s="53">
        <f t="shared" si="1"/>
        <v>0.01736111111</v>
      </c>
      <c r="L18" s="49" t="s">
        <v>111</v>
      </c>
      <c r="M18" s="62" t="s">
        <v>562</v>
      </c>
      <c r="N18" s="62" t="str">
        <f t="shared" si="2"/>
        <v>DT_6_16_892f1ab6-eb0b-4dc6-81b7-c3abc9d9eba2_000000_000000.mp4</v>
      </c>
      <c r="O18" s="48"/>
      <c r="P18" s="48"/>
      <c r="Q18" s="63"/>
      <c r="R18" s="49"/>
      <c r="S18" s="49"/>
      <c r="T18" s="49"/>
    </row>
    <row r="19">
      <c r="A19" s="49" t="str">
        <f>IFERROR(__xludf.DUMMYFUNCTION("""COMPUTED_VALUE"""),"Extraterrestrial entrepreneurs: Doing business in the new space market")</f>
        <v>Extraterrestrial entrepreneurs: Doing business in the new space market</v>
      </c>
      <c r="B19" s="49" t="str">
        <f>IFERROR(__xludf.DUMMYFUNCTION("""COMPUTED_VALUE"""),"DeepTech")</f>
        <v>DeepTech</v>
      </c>
      <c r="C19" s="51" t="str">
        <f>IFERROR(__xludf.DUMMYFUNCTION("""COMPUTED_VALUE"""),"Alan Boehme and Chantelle Baier")</f>
        <v>Alan Boehme and Chantelle Baier</v>
      </c>
      <c r="D19" s="49" t="str">
        <f>IFERROR(__xludf.DUMMYFUNCTION("""COMPUTED_VALUE"""),"2019/11/06 16:20:00")</f>
        <v>2019/11/06 16:20:00</v>
      </c>
      <c r="E19" s="49" t="str">
        <f>IFERROR(__xludf.DUMMYFUNCTION("""COMPUTED_VALUE"""),"2019/11/06 16:40:00")</f>
        <v>2019/11/06 16:40:00</v>
      </c>
      <c r="F19" s="49" t="str">
        <f>IFERROR(__xludf.DUMMYFUNCTION("""COMPUTED_VALUE"""),"102a2943-0682-4789-8944-33e68885e9c9")</f>
        <v>102a2943-0682-4789-8944-33e68885e9c9</v>
      </c>
      <c r="G19" s="52">
        <f>IFERROR(__xludf.DUMMYFUNCTION("""COMPUTED_VALUE"""),43775.0)</f>
        <v>43775</v>
      </c>
      <c r="H19" s="53">
        <f>IFERROR(__xludf.DUMMYFUNCTION("""COMPUTED_VALUE"""),0.6805555555555556)</f>
        <v>0.6805555556</v>
      </c>
      <c r="I19" s="52">
        <f>IFERROR(__xludf.DUMMYFUNCTION("""COMPUTED_VALUE"""),43775.0)</f>
        <v>43775</v>
      </c>
      <c r="J19" s="53">
        <f>IFERROR(__xludf.DUMMYFUNCTION("""COMPUTED_VALUE"""),0.6944444444444444)</f>
        <v>0.6944444444</v>
      </c>
      <c r="K19" s="53">
        <f t="shared" si="1"/>
        <v>0.01388888889</v>
      </c>
      <c r="L19" s="49" t="s">
        <v>109</v>
      </c>
      <c r="M19" s="62" t="s">
        <v>563</v>
      </c>
      <c r="N19" s="62" t="str">
        <f t="shared" si="2"/>
        <v>DT_6_17_102a2943-0682-4789-8944-33e68885e9c9_000000_000000.mp4</v>
      </c>
      <c r="O19" s="48"/>
      <c r="P19" s="48"/>
      <c r="Q19" s="63"/>
      <c r="R19" s="49"/>
      <c r="S19" s="49"/>
      <c r="T19" s="49"/>
    </row>
    <row r="20">
      <c r="A20" s="49"/>
      <c r="B20" s="49"/>
      <c r="C20" s="51"/>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255</v>
      </c>
      <c r="M20" s="49"/>
      <c r="N20" s="49"/>
      <c r="O20" s="49"/>
      <c r="P20" s="49"/>
      <c r="Q20" s="49"/>
      <c r="R20" s="49"/>
      <c r="S20" s="49"/>
      <c r="T20" s="49"/>
    </row>
    <row r="21">
      <c r="A21" s="49"/>
      <c r="B21" s="49"/>
      <c r="C21" s="51"/>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255</v>
      </c>
      <c r="M21" s="49"/>
      <c r="N21" s="49"/>
      <c r="O21" s="49"/>
      <c r="P21" s="49"/>
      <c r="Q21" s="49"/>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255</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f t="shared" si="1"/>
        <v>0</v>
      </c>
      <c r="L23" s="49" t="s">
        <v>255</v>
      </c>
      <c r="M23" s="49"/>
      <c r="N23" s="49"/>
      <c r="O23" s="49"/>
      <c r="P23" s="49"/>
      <c r="Q23" s="49"/>
      <c r="R23" s="49"/>
      <c r="S23" s="49"/>
      <c r="T23" s="49"/>
    </row>
    <row r="24">
      <c r="A24" s="49"/>
      <c r="B24" s="49"/>
      <c r="C24" s="51"/>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255</v>
      </c>
      <c r="M24" s="49"/>
      <c r="N24" s="49"/>
      <c r="O24" s="49"/>
      <c r="P24" s="49"/>
      <c r="Q24" s="49"/>
      <c r="R24" s="49"/>
      <c r="S24" s="49"/>
      <c r="T24" s="49"/>
    </row>
    <row r="25">
      <c r="A25" s="49"/>
      <c r="B25" s="49"/>
      <c r="C25" s="51"/>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255</v>
      </c>
      <c r="M25" s="49"/>
      <c r="N25" s="49"/>
      <c r="O25" s="49"/>
      <c r="P25" s="49"/>
      <c r="Q25" s="49"/>
      <c r="R25" s="49"/>
      <c r="S25" s="49"/>
      <c r="T25" s="49"/>
    </row>
    <row r="26">
      <c r="A26" s="49"/>
      <c r="B26" s="49"/>
      <c r="C26" s="51"/>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255</v>
      </c>
      <c r="M26" s="49"/>
      <c r="N26" s="49"/>
      <c r="O26" s="49"/>
      <c r="P26" s="49"/>
      <c r="Q26" s="49"/>
      <c r="R26" s="49"/>
      <c r="S26" s="49"/>
      <c r="T26" s="49"/>
    </row>
    <row r="27">
      <c r="A27" s="49"/>
      <c r="B27" s="49"/>
      <c r="C27" s="51"/>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255</v>
      </c>
      <c r="M27" s="49"/>
      <c r="N27" s="49"/>
      <c r="O27" s="49"/>
      <c r="P27" s="49"/>
      <c r="Q27" s="49"/>
      <c r="R27" s="49"/>
      <c r="S27" s="49"/>
      <c r="T27" s="49"/>
    </row>
    <row r="28">
      <c r="A28" s="49"/>
      <c r="B28" s="49"/>
      <c r="C28" s="51"/>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255</v>
      </c>
      <c r="M28" s="49"/>
      <c r="N28" s="49"/>
      <c r="O28" s="49"/>
      <c r="P28" s="49"/>
      <c r="Q28" s="49"/>
      <c r="R28" s="49"/>
      <c r="S28" s="49"/>
      <c r="T28" s="49"/>
    </row>
    <row r="29">
      <c r="A29" s="49"/>
      <c r="B29" s="49"/>
      <c r="C29" s="51"/>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255</v>
      </c>
      <c r="M29" s="49"/>
      <c r="N29" s="49"/>
      <c r="O29" s="49"/>
      <c r="P29" s="49"/>
      <c r="Q29" s="49"/>
      <c r="R29" s="49"/>
      <c r="S29" s="49"/>
      <c r="T29" s="49"/>
    </row>
    <row r="30">
      <c r="A30" s="49"/>
      <c r="B30" s="49"/>
      <c r="C30" s="51"/>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255</v>
      </c>
      <c r="M30" s="49"/>
      <c r="N30" s="49"/>
      <c r="O30" s="49"/>
      <c r="P30" s="49"/>
      <c r="Q30" s="49"/>
      <c r="R30" s="49"/>
      <c r="S30" s="49"/>
      <c r="T30" s="49"/>
    </row>
    <row r="31">
      <c r="A31" s="49"/>
      <c r="B31" s="49"/>
      <c r="C31" s="51"/>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255</v>
      </c>
      <c r="M31" s="49"/>
      <c r="N31" s="49"/>
      <c r="O31" s="49"/>
      <c r="P31" s="49"/>
      <c r="Q31" s="49"/>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255</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255</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255</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255</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255</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255</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255</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255</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255</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255</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255</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255</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255</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255</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255</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255</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255</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255</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255</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255</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255</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255</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255</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255</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255</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255</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255</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255</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255</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255</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255</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255</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255</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255</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255</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255</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255</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255</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255</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255</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255</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255</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255</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255</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255</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255</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255</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255</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255</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255</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255</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255</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255</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255</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255</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255</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255</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255</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255</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255</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255</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255</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255</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255</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255</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255</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255</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255</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255</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255</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255</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255</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255</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255</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255</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255</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255</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255</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255</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255</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255</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255</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255</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255</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255</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255</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255</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255</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255</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255</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255</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255</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255</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255</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255</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255</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255</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255</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255</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255</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255</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255</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255</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255</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255</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255</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255</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255</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255</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255</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255</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255</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255</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255</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255</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255</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255</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255</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255</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255</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255</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255</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255</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255</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255</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255</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255</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255</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255</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255</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255</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255</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255</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255</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255</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255</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255</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255</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255</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255</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255</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255</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255</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255</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255</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255</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255</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255</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255</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255</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255</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255</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255</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255</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255</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255</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255</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255</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255</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255</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255</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255</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255</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255</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255</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255</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255</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255</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255</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255</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255</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255</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255</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255</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255</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255</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255</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255</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255</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255</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255</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255</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255</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255</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255</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255</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255</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255</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255</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255</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255</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255</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255</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255</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255</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255</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255</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255</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255</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255</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255</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255</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255</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255</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255</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255</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255</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255</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255</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255</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255</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255</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255</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255</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255</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255</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255</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255</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255</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255</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255</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255</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255</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255</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255</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255</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255</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255</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255</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255</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255</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255</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255</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255</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255</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255</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255</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255</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255</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255</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255</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255</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255</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255</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255</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255</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255</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255</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255</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255</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255</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255</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255</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255</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255</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255</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255</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255</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255</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255</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255</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255</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255</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255</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255</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255</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255</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255</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255</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255</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255</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255</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255</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255</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255</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255</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255</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255</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255</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255</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255</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255</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255</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255</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255</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255</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255</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255</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255</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255</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255</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255</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255</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255</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255</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255</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255</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255</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255</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255</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255</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255</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255</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255</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255</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255</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255</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255</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255</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255</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255</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255</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255</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255</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255</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255</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255</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255</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255</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255</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255</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255</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255</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255</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255</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255</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255</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255</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255</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255</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255</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255</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255</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255</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255</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255</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255</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255</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255</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255</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255</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255</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255</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255</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255</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255</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255</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255</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255</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255</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255</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255</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255</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255</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255</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255</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255</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255</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255</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255</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255</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255</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255</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255</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255</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255</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255</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255</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255</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255</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255</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255</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255</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255</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255</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255</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255</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255</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255</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255</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255</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255</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255</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255</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255</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255</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255</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255</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255</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255</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255</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255</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255</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255</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255</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255</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255</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255</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255</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255</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255</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255</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255</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255</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255</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255</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255</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255</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255</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255</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255</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255</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255</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255</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255</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255</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255</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255</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255</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255</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255</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255</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255</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255</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255</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255</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255</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255</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255</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255</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255</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255</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255</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255</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255</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255</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255</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255</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255</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255</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255</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255</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255</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255</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255</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255</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255</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255</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255</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255</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255</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255</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255</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255</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255</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255</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255</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255</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255</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255</v>
      </c>
      <c r="M524" s="49"/>
      <c r="N524" s="49"/>
      <c r="O524" s="49"/>
      <c r="P524" s="49"/>
      <c r="Q524" s="49"/>
      <c r="R524" s="49"/>
      <c r="S524" s="49"/>
      <c r="T524" s="49"/>
    </row>
  </sheetData>
  <conditionalFormatting sqref="O2:O19">
    <cfRule type="containsText" dxfId="4" priority="1" operator="containsText" text="YES">
      <formula>NOT(ISERROR(SEARCH(("YES"),(O2))))</formula>
    </cfRule>
  </conditionalFormatting>
  <conditionalFormatting sqref="O2:O19">
    <cfRule type="cellIs" dxfId="5" priority="2" operator="equal">
      <formula>"NO"</formula>
    </cfRule>
  </conditionalFormatting>
  <conditionalFormatting sqref="P2:P19">
    <cfRule type="cellIs" dxfId="4" priority="3" operator="equal">
      <formula>"AVAILABLE"</formula>
    </cfRule>
  </conditionalFormatting>
  <conditionalFormatting sqref="P2:P19">
    <cfRule type="cellIs" dxfId="5" priority="4" operator="equal">
      <formula>"NOT AVAILABLE"</formula>
    </cfRule>
  </conditionalFormatting>
  <conditionalFormatting sqref="Q2:Q19">
    <cfRule type="cellIs" dxfId="4" priority="5" operator="equal">
      <formula>"AVAILABLE"</formula>
    </cfRule>
  </conditionalFormatting>
  <conditionalFormatting sqref="Q2:Q19">
    <cfRule type="cellIs" dxfId="6" priority="6" operator="equal">
      <formula>"UPLOADING"</formula>
    </cfRule>
  </conditionalFormatting>
  <conditionalFormatting sqref="Q2:Q19">
    <cfRule type="cellIs" dxfId="5" priority="7" operator="equal">
      <formula>"NOT AVAILABLE"</formula>
    </cfRule>
  </conditionalFormatting>
  <dataValidations>
    <dataValidation type="list" allowBlank="1" sqref="O2:O19">
      <formula1>"YES,NO"</formula1>
    </dataValidation>
    <dataValidation type="list" allowBlank="1" sqref="P2:P19">
      <formula1>"AVAILABLE,NOT AVAILABLE"</formula1>
    </dataValidation>
    <dataValidation type="list" allowBlank="1" sqref="Q2:Q19">
      <formula1>"AVAILABLE,UPLOADING,NOT AVAILABLE"</formula1>
    </dataValidation>
  </dataValidations>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86"/>
    <col customWidth="1" min="2" max="2" width="10.86"/>
    <col customWidth="1" min="3" max="3" width="30.0"/>
    <col hidden="1" min="4" max="5" width="14.43"/>
    <col customWidth="1" min="6" max="6" width="38.71"/>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'MusicNotes' ORDER BY F"")"),"Opening remarks")</f>
        <v>Opening remarks</v>
      </c>
      <c r="B2" s="49" t="str">
        <f>IFERROR(__xludf.DUMMYFUNCTION("""COMPUTED_VALUE"""),"MusicNotes")</f>
        <v>MusicNotes</v>
      </c>
      <c r="C2" s="51" t="str">
        <f>IFERROR(__xludf.DUMMYFUNCTION("""COMPUTED_VALUE"""),"Anastasia Markova")</f>
        <v>Anastasia Markova</v>
      </c>
      <c r="D2" s="49" t="str">
        <f>IFERROR(__xludf.DUMMYFUNCTION("""COMPUTED_VALUE"""),"2019/11/07 10:45:00")</f>
        <v>2019/11/07 10:45:00</v>
      </c>
      <c r="E2" s="49" t="str">
        <f>IFERROR(__xludf.DUMMYFUNCTION("""COMPUTED_VALUE"""),"2019/11/07 11:00:00")</f>
        <v>2019/11/07 11:00:00</v>
      </c>
      <c r="F2" s="49" t="str">
        <f>IFERROR(__xludf.DUMMYFUNCTION("""COMPUTED_VALUE"""),"15f8a1a9-677a-465c-8c5d-e9d61399bccd")</f>
        <v>15f8a1a9-677a-465c-8c5d-e9d61399bccd</v>
      </c>
      <c r="G2" s="54">
        <f>IFERROR(__xludf.DUMMYFUNCTION("ARRAYFORMULA(SPLIT(D2:D523,"" ""))"),43776.0)</f>
        <v>43776</v>
      </c>
      <c r="H2" s="53">
        <f>IFERROR(__xludf.DUMMYFUNCTION("""COMPUTED_VALUE"""),0.4479166666666667)</f>
        <v>0.4479166667</v>
      </c>
      <c r="I2" s="52">
        <f>IFERROR(__xludf.DUMMYFUNCTION("ARRAYFORMULA(SPLIT(E2:E523,"" ""))"),43776.0)</f>
        <v>43776</v>
      </c>
      <c r="J2" s="53">
        <f>IFERROR(__xludf.DUMMYFUNCTION("""COMPUTED_VALUE"""),0.4583333333333333)</f>
        <v>0.4583333333</v>
      </c>
      <c r="K2" s="53">
        <f t="shared" ref="K2:K22" si="1">J2-H2</f>
        <v>0.01041666667</v>
      </c>
      <c r="L2" s="50" t="str">
        <f t="array" ref="L2:L523">TEXT(K2:K523,"hhmmss")</f>
        <v>001500</v>
      </c>
      <c r="M2" s="62" t="s">
        <v>564</v>
      </c>
      <c r="N2" s="62" t="str">
        <f>CONCATENATE(M2,"_",F2,"_","000000_000000.mp4")</f>
        <v>MN_7_1_15f8a1a9-677a-465c-8c5d-e9d61399bccd_000000_000000.mp4</v>
      </c>
      <c r="O2" s="48"/>
      <c r="P2" s="48"/>
      <c r="Q2" s="63"/>
      <c r="R2" s="49"/>
      <c r="S2" s="49"/>
      <c r="T2" s="49"/>
    </row>
    <row r="3">
      <c r="A3" s="49" t="str">
        <f>IFERROR(__xludf.DUMMYFUNCTION("""COMPUTED_VALUE"""),"Will the machines eat us all?")</f>
        <v>Will the machines eat us all?</v>
      </c>
      <c r="B3" s="49" t="str">
        <f>IFERROR(__xludf.DUMMYFUNCTION("""COMPUTED_VALUE"""),"MusicNotes")</f>
        <v>MusicNotes</v>
      </c>
      <c r="C3" s="51" t="str">
        <f>IFERROR(__xludf.DUMMYFUNCTION("""COMPUTED_VALUE"""),"Christopher Leacock")</f>
        <v>Christopher Leacock</v>
      </c>
      <c r="D3" s="49" t="str">
        <f>IFERROR(__xludf.DUMMYFUNCTION("""COMPUTED_VALUE"""),"2019/11/07 11:00:00")</f>
        <v>2019/11/07 11:00:00</v>
      </c>
      <c r="E3" s="49" t="str">
        <f>IFERROR(__xludf.DUMMYFUNCTION("""COMPUTED_VALUE"""),"2019/11/07 11:20:00")</f>
        <v>2019/11/07 11:20:00</v>
      </c>
      <c r="F3" s="49" t="str">
        <f>IFERROR(__xludf.DUMMYFUNCTION("""COMPUTED_VALUE"""),"ff1cf35a-7993-44fe-9d51-f8e75084a33c")</f>
        <v>ff1cf35a-7993-44fe-9d51-f8e75084a33c</v>
      </c>
      <c r="G3" s="52">
        <f>IFERROR(__xludf.DUMMYFUNCTION("""COMPUTED_VALUE"""),43776.0)</f>
        <v>43776</v>
      </c>
      <c r="H3" s="53">
        <f>IFERROR(__xludf.DUMMYFUNCTION("""COMPUTED_VALUE"""),0.4583333333333333)</f>
        <v>0.4583333333</v>
      </c>
      <c r="I3" s="52">
        <f>IFERROR(__xludf.DUMMYFUNCTION("""COMPUTED_VALUE"""),43776.0)</f>
        <v>43776</v>
      </c>
      <c r="J3" s="53">
        <f>IFERROR(__xludf.DUMMYFUNCTION("""COMPUTED_VALUE"""),0.4722222222222222)</f>
        <v>0.4722222222</v>
      </c>
      <c r="K3" s="53">
        <f t="shared" si="1"/>
        <v>0.01388888889</v>
      </c>
      <c r="L3" s="49" t="s">
        <v>109</v>
      </c>
      <c r="M3" s="62" t="s">
        <v>565</v>
      </c>
      <c r="N3" s="49"/>
      <c r="O3" s="48"/>
      <c r="P3" s="48"/>
      <c r="Q3" s="63"/>
      <c r="R3" s="49"/>
      <c r="S3" s="49"/>
      <c r="T3" s="49"/>
    </row>
    <row r="4">
      <c r="A4" s="49" t="str">
        <f>IFERROR(__xludf.DUMMYFUNCTION("""COMPUTED_VALUE"""),"Every brand needs a music POV")</f>
        <v>Every brand needs a music POV</v>
      </c>
      <c r="B4" s="49" t="str">
        <f>IFERROR(__xludf.DUMMYFUNCTION("""COMPUTED_VALUE"""),"MusicNotes")</f>
        <v>MusicNotes</v>
      </c>
      <c r="C4" s="51" t="str">
        <f>IFERROR(__xludf.DUMMYFUNCTION("""COMPUTED_VALUE"""),"Olivier Robert-Murphy")</f>
        <v>Olivier Robert-Murphy</v>
      </c>
      <c r="D4" s="49" t="str">
        <f>IFERROR(__xludf.DUMMYFUNCTION("""COMPUTED_VALUE"""),"2019/11/07 11:20:00")</f>
        <v>2019/11/07 11:20:00</v>
      </c>
      <c r="E4" s="49" t="str">
        <f>IFERROR(__xludf.DUMMYFUNCTION("""COMPUTED_VALUE"""),"2019/11/07 11:35:00")</f>
        <v>2019/11/07 11:35:00</v>
      </c>
      <c r="F4" s="49" t="str">
        <f>IFERROR(__xludf.DUMMYFUNCTION("""COMPUTED_VALUE"""),"2f0f101b-0592-46bd-8b45-6530301ac771")</f>
        <v>2f0f101b-0592-46bd-8b45-6530301ac771</v>
      </c>
      <c r="G4" s="52">
        <f>IFERROR(__xludf.DUMMYFUNCTION("""COMPUTED_VALUE"""),43776.0)</f>
        <v>43776</v>
      </c>
      <c r="H4" s="53">
        <f>IFERROR(__xludf.DUMMYFUNCTION("""COMPUTED_VALUE"""),0.4722222222222222)</f>
        <v>0.4722222222</v>
      </c>
      <c r="I4" s="52">
        <f>IFERROR(__xludf.DUMMYFUNCTION("""COMPUTED_VALUE"""),43776.0)</f>
        <v>43776</v>
      </c>
      <c r="J4" s="53">
        <f>IFERROR(__xludf.DUMMYFUNCTION("""COMPUTED_VALUE"""),0.4826388888888889)</f>
        <v>0.4826388889</v>
      </c>
      <c r="K4" s="53">
        <f t="shared" si="1"/>
        <v>0.01041666667</v>
      </c>
      <c r="L4" s="49" t="s">
        <v>118</v>
      </c>
      <c r="M4" s="62" t="s">
        <v>566</v>
      </c>
      <c r="N4" s="49"/>
      <c r="O4" s="48"/>
      <c r="P4" s="48"/>
      <c r="Q4" s="63"/>
      <c r="R4" s="49"/>
      <c r="S4" s="49"/>
      <c r="T4" s="49"/>
    </row>
    <row r="5">
      <c r="A5" s="49" t="str">
        <f>IFERROR(__xludf.DUMMYFUNCTION("""COMPUTED_VALUE"""),"Keynote with Roland Lamb")</f>
        <v>Keynote with Roland Lamb</v>
      </c>
      <c r="B5" s="49" t="str">
        <f>IFERROR(__xludf.DUMMYFUNCTION("""COMPUTED_VALUE"""),"MusicNotes")</f>
        <v>MusicNotes</v>
      </c>
      <c r="C5" s="51" t="str">
        <f>IFERROR(__xludf.DUMMYFUNCTION("""COMPUTED_VALUE"""),"Roland Lamb")</f>
        <v>Roland Lamb</v>
      </c>
      <c r="D5" s="49" t="str">
        <f>IFERROR(__xludf.DUMMYFUNCTION("""COMPUTED_VALUE"""),"2019/11/07 11:35:00")</f>
        <v>2019/11/07 11:35:00</v>
      </c>
      <c r="E5" s="49" t="str">
        <f>IFERROR(__xludf.DUMMYFUNCTION("""COMPUTED_VALUE"""),"2019/11/07 11:55:00")</f>
        <v>2019/11/07 11:55:00</v>
      </c>
      <c r="F5" s="49" t="str">
        <f>IFERROR(__xludf.DUMMYFUNCTION("""COMPUTED_VALUE"""),"d202a93f-3a50-42cb-9180-fc0a048c905f")</f>
        <v>d202a93f-3a50-42cb-9180-fc0a048c905f</v>
      </c>
      <c r="G5" s="52">
        <f>IFERROR(__xludf.DUMMYFUNCTION("""COMPUTED_VALUE"""),43776.0)</f>
        <v>43776</v>
      </c>
      <c r="H5" s="53">
        <f>IFERROR(__xludf.DUMMYFUNCTION("""COMPUTED_VALUE"""),0.4826388888888889)</f>
        <v>0.4826388889</v>
      </c>
      <c r="I5" s="52">
        <f>IFERROR(__xludf.DUMMYFUNCTION("""COMPUTED_VALUE"""),43776.0)</f>
        <v>43776</v>
      </c>
      <c r="J5" s="53">
        <f>IFERROR(__xludf.DUMMYFUNCTION("""COMPUTED_VALUE"""),0.4965277777777778)</f>
        <v>0.4965277778</v>
      </c>
      <c r="K5" s="53">
        <f t="shared" si="1"/>
        <v>0.01388888889</v>
      </c>
      <c r="L5" s="49" t="s">
        <v>109</v>
      </c>
      <c r="M5" s="62" t="s">
        <v>567</v>
      </c>
      <c r="N5" s="49"/>
      <c r="O5" s="48"/>
      <c r="P5" s="48"/>
      <c r="Q5" s="63"/>
      <c r="R5" s="49"/>
      <c r="S5" s="49"/>
      <c r="T5" s="49"/>
    </row>
    <row r="6">
      <c r="A6" s="49" t="str">
        <f>IFERROR(__xludf.DUMMYFUNCTION("""COMPUTED_VALUE"""),"Live music: Getting fans out more")</f>
        <v>Live music: Getting fans out more</v>
      </c>
      <c r="B6" s="49" t="str">
        <f>IFERROR(__xludf.DUMMYFUNCTION("""COMPUTED_VALUE"""),"MusicNotes")</f>
        <v>MusicNotes</v>
      </c>
      <c r="C6" s="51" t="str">
        <f>IFERROR(__xludf.DUMMYFUNCTION("""COMPUTED_VALUE"""),"Phil Hutcheon, Gabrielle Jenks and Kieran Yates")</f>
        <v>Phil Hutcheon, Gabrielle Jenks and Kieran Yates</v>
      </c>
      <c r="D6" s="49" t="str">
        <f>IFERROR(__xludf.DUMMYFUNCTION("""COMPUTED_VALUE"""),"2019/11/07 11:55:00")</f>
        <v>2019/11/07 11:55:00</v>
      </c>
      <c r="E6" s="49" t="str">
        <f>IFERROR(__xludf.DUMMYFUNCTION("""COMPUTED_VALUE"""),"2019/11/07 12:15:00")</f>
        <v>2019/11/07 12:15:00</v>
      </c>
      <c r="F6" s="49" t="str">
        <f>IFERROR(__xludf.DUMMYFUNCTION("""COMPUTED_VALUE"""),"46662c4d-efc2-4bc7-965b-96faa2abbe9b")</f>
        <v>46662c4d-efc2-4bc7-965b-96faa2abbe9b</v>
      </c>
      <c r="G6" s="52">
        <f>IFERROR(__xludf.DUMMYFUNCTION("""COMPUTED_VALUE"""),43776.0)</f>
        <v>43776</v>
      </c>
      <c r="H6" s="53">
        <f>IFERROR(__xludf.DUMMYFUNCTION("""COMPUTED_VALUE"""),0.4965277777777778)</f>
        <v>0.4965277778</v>
      </c>
      <c r="I6" s="52">
        <f>IFERROR(__xludf.DUMMYFUNCTION("""COMPUTED_VALUE"""),43776.0)</f>
        <v>43776</v>
      </c>
      <c r="J6" s="53">
        <f>IFERROR(__xludf.DUMMYFUNCTION("""COMPUTED_VALUE"""),0.5104166666666666)</f>
        <v>0.5104166667</v>
      </c>
      <c r="K6" s="53">
        <f t="shared" si="1"/>
        <v>0.01388888889</v>
      </c>
      <c r="L6" s="49" t="s">
        <v>109</v>
      </c>
      <c r="M6" s="62" t="s">
        <v>568</v>
      </c>
      <c r="N6" s="49"/>
      <c r="O6" s="48"/>
      <c r="P6" s="48"/>
      <c r="Q6" s="63"/>
      <c r="R6" s="49"/>
      <c r="S6" s="49"/>
      <c r="T6" s="49"/>
    </row>
    <row r="7">
      <c r="A7" s="49" t="str">
        <f>IFERROR(__xludf.DUMMYFUNCTION("""COMPUTED_VALUE"""),"Life as the fourth major")</f>
        <v>Life as the fourth major</v>
      </c>
      <c r="B7" s="49" t="str">
        <f>IFERROR(__xludf.DUMMYFUNCTION("""COMPUTED_VALUE"""),"MusicNotes")</f>
        <v>MusicNotes</v>
      </c>
      <c r="C7" s="51" t="str">
        <f>IFERROR(__xludf.DUMMYFUNCTION("""COMPUTED_VALUE"""),"Hartwig Masuch and Mark Savage")</f>
        <v>Hartwig Masuch and Mark Savage</v>
      </c>
      <c r="D7" s="49" t="str">
        <f>IFERROR(__xludf.DUMMYFUNCTION("""COMPUTED_VALUE"""),"2019/11/07 12:15:00")</f>
        <v>2019/11/07 12:15:00</v>
      </c>
      <c r="E7" s="49" t="str">
        <f>IFERROR(__xludf.DUMMYFUNCTION("""COMPUTED_VALUE"""),"2019/11/07 12:35:00")</f>
        <v>2019/11/07 12:35:00</v>
      </c>
      <c r="F7" s="49" t="str">
        <f>IFERROR(__xludf.DUMMYFUNCTION("""COMPUTED_VALUE"""),"146a3ec7-5517-4d81-b735-78a9239e71fc")</f>
        <v>146a3ec7-5517-4d81-b735-78a9239e71fc</v>
      </c>
      <c r="G7" s="52">
        <f>IFERROR(__xludf.DUMMYFUNCTION("""COMPUTED_VALUE"""),43776.0)</f>
        <v>43776</v>
      </c>
      <c r="H7" s="53">
        <f>IFERROR(__xludf.DUMMYFUNCTION("""COMPUTED_VALUE"""),0.5104166666666666)</f>
        <v>0.5104166667</v>
      </c>
      <c r="I7" s="52">
        <f>IFERROR(__xludf.DUMMYFUNCTION("""COMPUTED_VALUE"""),43776.0)</f>
        <v>43776</v>
      </c>
      <c r="J7" s="53">
        <f>IFERROR(__xludf.DUMMYFUNCTION("""COMPUTED_VALUE"""),0.5243055555555556)</f>
        <v>0.5243055556</v>
      </c>
      <c r="K7" s="53">
        <f t="shared" si="1"/>
        <v>0.01388888889</v>
      </c>
      <c r="L7" s="49" t="s">
        <v>109</v>
      </c>
      <c r="M7" s="62" t="s">
        <v>569</v>
      </c>
      <c r="N7" s="49"/>
      <c r="O7" s="48"/>
      <c r="P7" s="48"/>
      <c r="Q7" s="63"/>
      <c r="R7" s="49"/>
      <c r="S7" s="49"/>
      <c r="T7" s="49"/>
    </row>
    <row r="8">
      <c r="A8" s="49" t="str">
        <f>IFERROR(__xludf.DUMMYFUNCTION("""COMPUTED_VALUE"""),"Music Innovation Prize 2019")</f>
        <v>Music Innovation Prize 2019</v>
      </c>
      <c r="B8" s="49" t="str">
        <f>IFERROR(__xludf.DUMMYFUNCTION("""COMPUTED_VALUE"""),"MusicNotes")</f>
        <v>MusicNotes</v>
      </c>
      <c r="C8" s="51" t="str">
        <f>IFERROR(__xludf.DUMMYFUNCTION("""COMPUTED_VALUE"""),"Graham Tull, George Wright, Phil Briot, Karén Chiftalaryan and Nuno Fonseca")</f>
        <v>Graham Tull, George Wright, Phil Briot, Karén Chiftalaryan and Nuno Fonseca</v>
      </c>
      <c r="D8" s="49" t="str">
        <f>IFERROR(__xludf.DUMMYFUNCTION("""COMPUTED_VALUE"""),"2019/11/07 12:35:00")</f>
        <v>2019/11/07 12:35:00</v>
      </c>
      <c r="E8" s="49" t="str">
        <f>IFERROR(__xludf.DUMMYFUNCTION("""COMPUTED_VALUE"""),"2019/11/07 13:05:00")</f>
        <v>2019/11/07 13:05:00</v>
      </c>
      <c r="F8" s="49" t="str">
        <f>IFERROR(__xludf.DUMMYFUNCTION("""COMPUTED_VALUE"""),"6de38082-d758-49eb-a19b-652a8f340afc")</f>
        <v>6de38082-d758-49eb-a19b-652a8f340afc</v>
      </c>
      <c r="G8" s="52">
        <f>IFERROR(__xludf.DUMMYFUNCTION("""COMPUTED_VALUE"""),43776.0)</f>
        <v>43776</v>
      </c>
      <c r="H8" s="53">
        <f>IFERROR(__xludf.DUMMYFUNCTION("""COMPUTED_VALUE"""),0.5243055555555556)</f>
        <v>0.5243055556</v>
      </c>
      <c r="I8" s="52">
        <f>IFERROR(__xludf.DUMMYFUNCTION("""COMPUTED_VALUE"""),43776.0)</f>
        <v>43776</v>
      </c>
      <c r="J8" s="53">
        <f>IFERROR(__xludf.DUMMYFUNCTION("""COMPUTED_VALUE"""),0.5451388888888888)</f>
        <v>0.5451388889</v>
      </c>
      <c r="K8" s="53">
        <f t="shared" si="1"/>
        <v>0.02083333333</v>
      </c>
      <c r="L8" s="49" t="s">
        <v>105</v>
      </c>
      <c r="M8" s="62" t="s">
        <v>570</v>
      </c>
      <c r="N8" s="49"/>
      <c r="O8" s="48"/>
      <c r="P8" s="48"/>
      <c r="Q8" s="63"/>
      <c r="R8" s="49"/>
      <c r="S8" s="49"/>
      <c r="T8" s="49"/>
    </row>
    <row r="9">
      <c r="A9" s="49" t="str">
        <f>IFERROR(__xludf.DUMMYFUNCTION("""COMPUTED_VALUE"""),"Lunch break")</f>
        <v>Lunch break</v>
      </c>
      <c r="B9" s="49" t="str">
        <f>IFERROR(__xludf.DUMMYFUNCTION("""COMPUTED_VALUE"""),"MusicNotes")</f>
        <v>MusicNotes</v>
      </c>
      <c r="C9" s="51" t="str">
        <f>IFERROR(__xludf.DUMMYFUNCTION("""COMPUTED_VALUE"""),"")</f>
        <v/>
      </c>
      <c r="D9" s="49" t="str">
        <f>IFERROR(__xludf.DUMMYFUNCTION("""COMPUTED_VALUE"""),"2019/11/07 13:05:00")</f>
        <v>2019/11/07 13:05:00</v>
      </c>
      <c r="E9" s="49" t="str">
        <f>IFERROR(__xludf.DUMMYFUNCTION("""COMPUTED_VALUE"""),"2019/11/07 13:45:00")</f>
        <v>2019/11/07 13:45:00</v>
      </c>
      <c r="F9" s="49" t="str">
        <f>IFERROR(__xludf.DUMMYFUNCTION("""COMPUTED_VALUE"""),"83cdffa9-6368-4b3f-be46-5801b15acb6f")</f>
        <v>83cdffa9-6368-4b3f-be46-5801b15acb6f</v>
      </c>
      <c r="G9" s="52">
        <f>IFERROR(__xludf.DUMMYFUNCTION("""COMPUTED_VALUE"""),43776.0)</f>
        <v>43776</v>
      </c>
      <c r="H9" s="53">
        <f>IFERROR(__xludf.DUMMYFUNCTION("""COMPUTED_VALUE"""),0.5451388888888888)</f>
        <v>0.5451388889</v>
      </c>
      <c r="I9" s="52">
        <f>IFERROR(__xludf.DUMMYFUNCTION("""COMPUTED_VALUE"""),43776.0)</f>
        <v>43776</v>
      </c>
      <c r="J9" s="53">
        <f>IFERROR(__xludf.DUMMYFUNCTION("""COMPUTED_VALUE"""),0.5729166666666666)</f>
        <v>0.5729166667</v>
      </c>
      <c r="K9" s="53">
        <f t="shared" si="1"/>
        <v>0.02777777778</v>
      </c>
      <c r="L9" s="49" t="s">
        <v>571</v>
      </c>
      <c r="M9" s="62" t="s">
        <v>572</v>
      </c>
      <c r="N9" s="49"/>
      <c r="O9" s="48"/>
      <c r="P9" s="48"/>
      <c r="Q9" s="63"/>
      <c r="R9" s="49"/>
      <c r="S9" s="49"/>
      <c r="T9" s="49"/>
    </row>
    <row r="10">
      <c r="A10" s="49" t="str">
        <f>IFERROR(__xludf.DUMMYFUNCTION("""COMPUTED_VALUE"""),"Opening remarks")</f>
        <v>Opening remarks</v>
      </c>
      <c r="B10" s="49" t="str">
        <f>IFERROR(__xludf.DUMMYFUNCTION("""COMPUTED_VALUE"""),"MusicNotes")</f>
        <v>MusicNotes</v>
      </c>
      <c r="C10" s="51" t="str">
        <f>IFERROR(__xludf.DUMMYFUNCTION("""COMPUTED_VALUE"""),"Jane Gideon")</f>
        <v>Jane Gideon</v>
      </c>
      <c r="D10" s="49" t="str">
        <f>IFERROR(__xludf.DUMMYFUNCTION("""COMPUTED_VALUE"""),"2019/11/07 13:45:00")</f>
        <v>2019/11/07 13:45:00</v>
      </c>
      <c r="E10" s="49" t="str">
        <f>IFERROR(__xludf.DUMMYFUNCTION("""COMPUTED_VALUE"""),"2019/11/07 14:00:00")</f>
        <v>2019/11/07 14:00:00</v>
      </c>
      <c r="F10" s="49" t="str">
        <f>IFERROR(__xludf.DUMMYFUNCTION("""COMPUTED_VALUE"""),"49ccd40c-1f83-468b-a46a-3b0b3af46969")</f>
        <v>49ccd40c-1f83-468b-a46a-3b0b3af46969</v>
      </c>
      <c r="G10" s="52">
        <f>IFERROR(__xludf.DUMMYFUNCTION("""COMPUTED_VALUE"""),43776.0)</f>
        <v>43776</v>
      </c>
      <c r="H10" s="53">
        <f>IFERROR(__xludf.DUMMYFUNCTION("""COMPUTED_VALUE"""),0.5729166666666666)</f>
        <v>0.5729166667</v>
      </c>
      <c r="I10" s="52">
        <f>IFERROR(__xludf.DUMMYFUNCTION("""COMPUTED_VALUE"""),43776.0)</f>
        <v>43776</v>
      </c>
      <c r="J10" s="53">
        <f>IFERROR(__xludf.DUMMYFUNCTION("""COMPUTED_VALUE"""),0.5833333333333334)</f>
        <v>0.5833333333</v>
      </c>
      <c r="K10" s="53">
        <f t="shared" si="1"/>
        <v>0.01041666667</v>
      </c>
      <c r="L10" s="49" t="s">
        <v>118</v>
      </c>
      <c r="M10" s="62" t="s">
        <v>573</v>
      </c>
      <c r="N10" s="49"/>
      <c r="O10" s="48"/>
      <c r="P10" s="48"/>
      <c r="Q10" s="63"/>
      <c r="R10" s="49"/>
      <c r="S10" s="49"/>
      <c r="T10" s="49"/>
    </row>
    <row r="11">
      <c r="A11" s="49" t="str">
        <f>IFERROR(__xludf.DUMMYFUNCTION("""COMPUTED_VALUE"""),"Welcome to Planet Jarre")</f>
        <v>Welcome to Planet Jarre</v>
      </c>
      <c r="B11" s="49" t="str">
        <f>IFERROR(__xludf.DUMMYFUNCTION("""COMPUTED_VALUE"""),"MusicNotes")</f>
        <v>MusicNotes</v>
      </c>
      <c r="C11" s="51" t="str">
        <f>IFERROR(__xludf.DUMMYFUNCTION("""COMPUTED_VALUE"""),"Jean-Michel Jarre and Rob Schwartz")</f>
        <v>Jean-Michel Jarre and Rob Schwartz</v>
      </c>
      <c r="D11" s="49" t="str">
        <f>IFERROR(__xludf.DUMMYFUNCTION("""COMPUTED_VALUE"""),"2019/11/07 14:00:00")</f>
        <v>2019/11/07 14:00:00</v>
      </c>
      <c r="E11" s="49" t="str">
        <f>IFERROR(__xludf.DUMMYFUNCTION("""COMPUTED_VALUE"""),"2019/11/07 14:20:00")</f>
        <v>2019/11/07 14:20:00</v>
      </c>
      <c r="F11" s="49" t="str">
        <f>IFERROR(__xludf.DUMMYFUNCTION("""COMPUTED_VALUE"""),"24a288aa-6c13-497f-b100-4267601509c2")</f>
        <v>24a288aa-6c13-497f-b100-4267601509c2</v>
      </c>
      <c r="G11" s="52">
        <f>IFERROR(__xludf.DUMMYFUNCTION("""COMPUTED_VALUE"""),43776.0)</f>
        <v>43776</v>
      </c>
      <c r="H11" s="53">
        <f>IFERROR(__xludf.DUMMYFUNCTION("""COMPUTED_VALUE"""),0.5833333333333334)</f>
        <v>0.5833333333</v>
      </c>
      <c r="I11" s="52">
        <f>IFERROR(__xludf.DUMMYFUNCTION("""COMPUTED_VALUE"""),43776.0)</f>
        <v>43776</v>
      </c>
      <c r="J11" s="53">
        <f>IFERROR(__xludf.DUMMYFUNCTION("""COMPUTED_VALUE"""),0.5972222222222222)</f>
        <v>0.5972222222</v>
      </c>
      <c r="K11" s="53">
        <f t="shared" si="1"/>
        <v>0.01388888889</v>
      </c>
      <c r="L11" s="49" t="s">
        <v>109</v>
      </c>
      <c r="M11" s="62" t="s">
        <v>574</v>
      </c>
      <c r="N11" s="49"/>
      <c r="O11" s="48"/>
      <c r="P11" s="48"/>
      <c r="Q11" s="63"/>
      <c r="R11" s="49"/>
      <c r="S11" s="49"/>
      <c r="T11" s="49"/>
    </row>
    <row r="12">
      <c r="A12" s="49" t="str">
        <f>IFERROR(__xludf.DUMMYFUNCTION("""COMPUTED_VALUE"""),"Balancing culture and commerce")</f>
        <v>Balancing culture and commerce</v>
      </c>
      <c r="B12" s="49" t="str">
        <f>IFERROR(__xludf.DUMMYFUNCTION("""COMPUTED_VALUE"""),"MusicNotes")</f>
        <v>MusicNotes</v>
      </c>
      <c r="C12" s="51" t="str">
        <f>IFERROR(__xludf.DUMMYFUNCTION("""COMPUTED_VALUE"""),"Gilles Peterson and Damian Bradfield")</f>
        <v>Gilles Peterson and Damian Bradfield</v>
      </c>
      <c r="D12" s="49" t="str">
        <f>IFERROR(__xludf.DUMMYFUNCTION("""COMPUTED_VALUE"""),"2019/11/07 14:20:00")</f>
        <v>2019/11/07 14:20:00</v>
      </c>
      <c r="E12" s="49" t="str">
        <f>IFERROR(__xludf.DUMMYFUNCTION("""COMPUTED_VALUE"""),"2019/11/07 14:40:00")</f>
        <v>2019/11/07 14:40:00</v>
      </c>
      <c r="F12" s="49" t="str">
        <f>IFERROR(__xludf.DUMMYFUNCTION("""COMPUTED_VALUE"""),"c2d44328-13a2-4612-ab0f-dd73a6c8efef")</f>
        <v>c2d44328-13a2-4612-ab0f-dd73a6c8efef</v>
      </c>
      <c r="G12" s="52">
        <f>IFERROR(__xludf.DUMMYFUNCTION("""COMPUTED_VALUE"""),43776.0)</f>
        <v>43776</v>
      </c>
      <c r="H12" s="53">
        <f>IFERROR(__xludf.DUMMYFUNCTION("""COMPUTED_VALUE"""),0.5972222222222222)</f>
        <v>0.5972222222</v>
      </c>
      <c r="I12" s="52">
        <f>IFERROR(__xludf.DUMMYFUNCTION("""COMPUTED_VALUE"""),43776.0)</f>
        <v>43776</v>
      </c>
      <c r="J12" s="53">
        <f>IFERROR(__xludf.DUMMYFUNCTION("""COMPUTED_VALUE"""),0.6111111111111112)</f>
        <v>0.6111111111</v>
      </c>
      <c r="K12" s="53">
        <f t="shared" si="1"/>
        <v>0.01388888889</v>
      </c>
      <c r="L12" s="49" t="s">
        <v>109</v>
      </c>
      <c r="M12" s="62" t="s">
        <v>575</v>
      </c>
      <c r="N12" s="49"/>
      <c r="O12" s="48"/>
      <c r="P12" s="48"/>
      <c r="Q12" s="63"/>
      <c r="R12" s="49"/>
      <c r="S12" s="49"/>
      <c r="T12" s="49"/>
    </row>
    <row r="13">
      <c r="A13" s="49" t="str">
        <f>IFERROR(__xludf.DUMMYFUNCTION("""COMPUTED_VALUE"""),"How to solve our human problems")</f>
        <v>How to solve our human problems</v>
      </c>
      <c r="B13" s="49" t="str">
        <f>IFERROR(__xludf.DUMMYFUNCTION("""COMPUTED_VALUE"""),"MusicNotes")</f>
        <v>MusicNotes</v>
      </c>
      <c r="C13" s="51" t="str">
        <f>IFERROR(__xludf.DUMMYFUNCTION("""COMPUTED_VALUE"""),"Stuart Murdoch, Laura Taylor and Mark Savage")</f>
        <v>Stuart Murdoch, Laura Taylor and Mark Savage</v>
      </c>
      <c r="D13" s="49" t="str">
        <f>IFERROR(__xludf.DUMMYFUNCTION("""COMPUTED_VALUE"""),"2019/11/07 14:40:00")</f>
        <v>2019/11/07 14:40:00</v>
      </c>
      <c r="E13" s="49" t="str">
        <f>IFERROR(__xludf.DUMMYFUNCTION("""COMPUTED_VALUE"""),"2019/11/07 15:00:00")</f>
        <v>2019/11/07 15:00:00</v>
      </c>
      <c r="F13" s="49" t="str">
        <f>IFERROR(__xludf.DUMMYFUNCTION("""COMPUTED_VALUE"""),"d5773870-1697-4da5-b1ce-8788fb0ed697")</f>
        <v>d5773870-1697-4da5-b1ce-8788fb0ed697</v>
      </c>
      <c r="G13" s="52">
        <f>IFERROR(__xludf.DUMMYFUNCTION("""COMPUTED_VALUE"""),43776.0)</f>
        <v>43776</v>
      </c>
      <c r="H13" s="53">
        <f>IFERROR(__xludf.DUMMYFUNCTION("""COMPUTED_VALUE"""),0.6111111111111112)</f>
        <v>0.6111111111</v>
      </c>
      <c r="I13" s="52">
        <f>IFERROR(__xludf.DUMMYFUNCTION("""COMPUTED_VALUE"""),43776.0)</f>
        <v>43776</v>
      </c>
      <c r="J13" s="53">
        <f>IFERROR(__xludf.DUMMYFUNCTION("""COMPUTED_VALUE"""),0.625)</f>
        <v>0.625</v>
      </c>
      <c r="K13" s="53">
        <f t="shared" si="1"/>
        <v>0.01388888889</v>
      </c>
      <c r="L13" s="49" t="s">
        <v>109</v>
      </c>
      <c r="M13" s="62" t="s">
        <v>576</v>
      </c>
      <c r="N13" s="49"/>
      <c r="O13" s="48"/>
      <c r="P13" s="48"/>
      <c r="Q13" s="63"/>
      <c r="R13" s="49"/>
      <c r="S13" s="49"/>
      <c r="T13" s="49"/>
    </row>
    <row r="14">
      <c r="A14" s="49" t="str">
        <f>IFERROR(__xludf.DUMMYFUNCTION("""COMPUTED_VALUE"""),"Abbey Road: From yesterday to tomorrow never knows")</f>
        <v>Abbey Road: From yesterday to tomorrow never knows</v>
      </c>
      <c r="B14" s="49" t="str">
        <f>IFERROR(__xludf.DUMMYFUNCTION("""COMPUTED_VALUE"""),"MusicNotes")</f>
        <v>MusicNotes</v>
      </c>
      <c r="C14" s="51" t="str">
        <f>IFERROR(__xludf.DUMMYFUNCTION("""COMPUTED_VALUE"""),"Isabel Garvey")</f>
        <v>Isabel Garvey</v>
      </c>
      <c r="D14" s="49" t="str">
        <f>IFERROR(__xludf.DUMMYFUNCTION("""COMPUTED_VALUE"""),"2019/11/07 15:00:00")</f>
        <v>2019/11/07 15:00:00</v>
      </c>
      <c r="E14" s="49" t="str">
        <f>IFERROR(__xludf.DUMMYFUNCTION("""COMPUTED_VALUE"""),"2019/11/07 15:15:00")</f>
        <v>2019/11/07 15:15:00</v>
      </c>
      <c r="F14" s="49" t="str">
        <f>IFERROR(__xludf.DUMMYFUNCTION("""COMPUTED_VALUE"""),"92612d79-b319-4b37-b083-527248be59b3")</f>
        <v>92612d79-b319-4b37-b083-527248be59b3</v>
      </c>
      <c r="G14" s="52">
        <f>IFERROR(__xludf.DUMMYFUNCTION("""COMPUTED_VALUE"""),43776.0)</f>
        <v>43776</v>
      </c>
      <c r="H14" s="53">
        <f>IFERROR(__xludf.DUMMYFUNCTION("""COMPUTED_VALUE"""),0.625)</f>
        <v>0.625</v>
      </c>
      <c r="I14" s="52">
        <f>IFERROR(__xludf.DUMMYFUNCTION("""COMPUTED_VALUE"""),43776.0)</f>
        <v>43776</v>
      </c>
      <c r="J14" s="53">
        <f>IFERROR(__xludf.DUMMYFUNCTION("""COMPUTED_VALUE"""),0.6354166666666666)</f>
        <v>0.6354166667</v>
      </c>
      <c r="K14" s="53">
        <f t="shared" si="1"/>
        <v>0.01041666667</v>
      </c>
      <c r="L14" s="49" t="s">
        <v>118</v>
      </c>
      <c r="M14" s="62" t="s">
        <v>577</v>
      </c>
      <c r="N14" s="49"/>
      <c r="O14" s="48"/>
      <c r="P14" s="48"/>
      <c r="Q14" s="63"/>
      <c r="R14" s="49"/>
      <c r="S14" s="49"/>
      <c r="T14" s="49"/>
    </row>
    <row r="15">
      <c r="A15" s="49" t="str">
        <f>IFERROR(__xludf.DUMMYFUNCTION("""COMPUTED_VALUE"""),"Making innovation instrumental")</f>
        <v>Making innovation instrumental</v>
      </c>
      <c r="B15" s="49" t="str">
        <f>IFERROR(__xludf.DUMMYFUNCTION("""COMPUTED_VALUE"""),"MusicNotes")</f>
        <v>MusicNotes</v>
      </c>
      <c r="C15" s="51" t="str">
        <f>IFERROR(__xludf.DUMMYFUNCTION("""COMPUTED_VALUE"""),"Andy Mooney")</f>
        <v>Andy Mooney</v>
      </c>
      <c r="D15" s="49" t="str">
        <f>IFERROR(__xludf.DUMMYFUNCTION("""COMPUTED_VALUE"""),"2019/11/07 15:15:00")</f>
        <v>2019/11/07 15:15:00</v>
      </c>
      <c r="E15" s="49" t="str">
        <f>IFERROR(__xludf.DUMMYFUNCTION("""COMPUTED_VALUE"""),"2019/11/07 15:35:00")</f>
        <v>2019/11/07 15:35:00</v>
      </c>
      <c r="F15" s="49" t="str">
        <f>IFERROR(__xludf.DUMMYFUNCTION("""COMPUTED_VALUE"""),"6e4ef6f9-b2b7-46fb-b62d-205e7229be0c")</f>
        <v>6e4ef6f9-b2b7-46fb-b62d-205e7229be0c</v>
      </c>
      <c r="G15" s="52">
        <f>IFERROR(__xludf.DUMMYFUNCTION("""COMPUTED_VALUE"""),43776.0)</f>
        <v>43776</v>
      </c>
      <c r="H15" s="53">
        <f>IFERROR(__xludf.DUMMYFUNCTION("""COMPUTED_VALUE"""),0.6354166666666666)</f>
        <v>0.6354166667</v>
      </c>
      <c r="I15" s="52">
        <f>IFERROR(__xludf.DUMMYFUNCTION("""COMPUTED_VALUE"""),43776.0)</f>
        <v>43776</v>
      </c>
      <c r="J15" s="53">
        <f>IFERROR(__xludf.DUMMYFUNCTION("""COMPUTED_VALUE"""),0.6493055555555556)</f>
        <v>0.6493055556</v>
      </c>
      <c r="K15" s="53">
        <f t="shared" si="1"/>
        <v>0.01388888889</v>
      </c>
      <c r="L15" s="49" t="s">
        <v>109</v>
      </c>
      <c r="M15" s="62" t="s">
        <v>578</v>
      </c>
      <c r="N15" s="49"/>
      <c r="O15" s="48"/>
      <c r="P15" s="48"/>
      <c r="Q15" s="63"/>
      <c r="R15" s="49"/>
      <c r="S15" s="49"/>
      <c r="T15" s="49"/>
    </row>
    <row r="16">
      <c r="A16" s="49" t="str">
        <f>IFERROR(__xludf.DUMMYFUNCTION("""COMPUTED_VALUE"""),"Music 2030: What the future holds  ")</f>
        <v>Music 2030: What the future holds  </v>
      </c>
      <c r="B16" s="49" t="str">
        <f>IFERROR(__xludf.DUMMYFUNCTION("""COMPUTED_VALUE"""),"MusicNotes")</f>
        <v>MusicNotes</v>
      </c>
      <c r="C16" s="51" t="str">
        <f>IFERROR(__xludf.DUMMYFUNCTION("""COMPUTED_VALUE"""),"Jean-Michel Jarre, Pieter Van Rijn, Gigi Johnson and Eamonn Forde")</f>
        <v>Jean-Michel Jarre, Pieter Van Rijn, Gigi Johnson and Eamonn Forde</v>
      </c>
      <c r="D16" s="49" t="str">
        <f>IFERROR(__xludf.DUMMYFUNCTION("""COMPUTED_VALUE"""),"2019/11/07 15:35:00")</f>
        <v>2019/11/07 15:35:00</v>
      </c>
      <c r="E16" s="49" t="str">
        <f>IFERROR(__xludf.DUMMYFUNCTION("""COMPUTED_VALUE"""),"2019/11/07 16:00:00")</f>
        <v>2019/11/07 16:00:00</v>
      </c>
      <c r="F16" s="49" t="str">
        <f>IFERROR(__xludf.DUMMYFUNCTION("""COMPUTED_VALUE"""),"90a1f14c-da9d-44df-b565-c402b6114bb5")</f>
        <v>90a1f14c-da9d-44df-b565-c402b6114bb5</v>
      </c>
      <c r="G16" s="52">
        <f>IFERROR(__xludf.DUMMYFUNCTION("""COMPUTED_VALUE"""),43776.0)</f>
        <v>43776</v>
      </c>
      <c r="H16" s="53">
        <f>IFERROR(__xludf.DUMMYFUNCTION("""COMPUTED_VALUE"""),0.6493055555555556)</f>
        <v>0.6493055556</v>
      </c>
      <c r="I16" s="52">
        <f>IFERROR(__xludf.DUMMYFUNCTION("""COMPUTED_VALUE"""),43776.0)</f>
        <v>43776</v>
      </c>
      <c r="J16" s="53">
        <f>IFERROR(__xludf.DUMMYFUNCTION("""COMPUTED_VALUE"""),0.6666666666666666)</f>
        <v>0.6666666667</v>
      </c>
      <c r="K16" s="53">
        <f t="shared" si="1"/>
        <v>0.01736111111</v>
      </c>
      <c r="L16" s="49" t="s">
        <v>111</v>
      </c>
      <c r="M16" s="62" t="s">
        <v>579</v>
      </c>
      <c r="N16" s="49"/>
      <c r="O16" s="48"/>
      <c r="P16" s="48"/>
      <c r="Q16" s="63"/>
      <c r="R16" s="49"/>
      <c r="S16" s="49"/>
      <c r="T16" s="49"/>
    </row>
    <row r="17">
      <c r="A17" s="49"/>
      <c r="B17" s="49"/>
      <c r="C17" s="51"/>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255</v>
      </c>
      <c r="M17" s="49"/>
      <c r="N17" s="49"/>
      <c r="O17" s="49"/>
      <c r="P17" s="49"/>
      <c r="Q17" s="49"/>
      <c r="R17" s="49"/>
      <c r="S17" s="49"/>
      <c r="T17" s="49"/>
    </row>
    <row r="18">
      <c r="A18" s="49"/>
      <c r="B18" s="49"/>
      <c r="C18" s="51"/>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255</v>
      </c>
      <c r="M18" s="49"/>
      <c r="N18" s="49"/>
      <c r="O18" s="49"/>
      <c r="P18" s="49"/>
      <c r="Q18" s="49"/>
      <c r="R18" s="49"/>
      <c r="S18" s="49"/>
      <c r="T18" s="49"/>
    </row>
    <row r="19">
      <c r="A19" s="49"/>
      <c r="B19" s="49"/>
      <c r="C19" s="51"/>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255</v>
      </c>
      <c r="M19" s="49"/>
      <c r="N19" s="49"/>
      <c r="O19" s="49"/>
      <c r="P19" s="49"/>
      <c r="Q19" s="49"/>
      <c r="R19" s="49"/>
      <c r="S19" s="49"/>
      <c r="T19" s="49"/>
    </row>
    <row r="20">
      <c r="A20" s="49"/>
      <c r="B20" s="49"/>
      <c r="C20" s="51"/>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255</v>
      </c>
      <c r="M20" s="49"/>
      <c r="N20" s="49"/>
      <c r="O20" s="49"/>
      <c r="P20" s="49"/>
      <c r="Q20" s="49"/>
      <c r="R20" s="49"/>
      <c r="S20" s="49"/>
      <c r="T20" s="49"/>
    </row>
    <row r="21">
      <c r="A21" s="49"/>
      <c r="B21" s="49"/>
      <c r="C21" s="51"/>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255</v>
      </c>
      <c r="M21" s="49"/>
      <c r="N21" s="49"/>
      <c r="O21" s="49"/>
      <c r="P21" s="49"/>
      <c r="Q21" s="49"/>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255</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c r="L23" s="49" t="s">
        <v>255</v>
      </c>
      <c r="M23" s="49"/>
      <c r="N23" s="49"/>
      <c r="O23" s="49"/>
      <c r="P23" s="49"/>
      <c r="Q23" s="49"/>
      <c r="R23" s="49"/>
      <c r="S23" s="49"/>
      <c r="T23" s="49"/>
    </row>
    <row r="24">
      <c r="A24" s="49"/>
      <c r="B24" s="49"/>
      <c r="C24" s="51"/>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255</v>
      </c>
      <c r="M24" s="49"/>
      <c r="N24" s="49"/>
      <c r="O24" s="49"/>
      <c r="P24" s="49"/>
      <c r="Q24" s="49"/>
      <c r="R24" s="49"/>
      <c r="S24" s="49"/>
      <c r="T24" s="49"/>
    </row>
    <row r="25">
      <c r="A25" s="49"/>
      <c r="B25" s="49"/>
      <c r="C25" s="51"/>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255</v>
      </c>
      <c r="M25" s="49"/>
      <c r="N25" s="49"/>
      <c r="O25" s="49"/>
      <c r="P25" s="49"/>
      <c r="Q25" s="49"/>
      <c r="R25" s="49"/>
      <c r="S25" s="49"/>
      <c r="T25" s="49"/>
    </row>
    <row r="26">
      <c r="A26" s="49"/>
      <c r="B26" s="49"/>
      <c r="C26" s="51"/>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255</v>
      </c>
      <c r="M26" s="49"/>
      <c r="N26" s="49"/>
      <c r="O26" s="49"/>
      <c r="P26" s="49"/>
      <c r="Q26" s="49"/>
      <c r="R26" s="49"/>
      <c r="S26" s="49"/>
      <c r="T26" s="49"/>
    </row>
    <row r="27">
      <c r="A27" s="49"/>
      <c r="B27" s="49"/>
      <c r="C27" s="51"/>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255</v>
      </c>
      <c r="M27" s="49"/>
      <c r="N27" s="49"/>
      <c r="O27" s="49"/>
      <c r="P27" s="49"/>
      <c r="Q27" s="49"/>
      <c r="R27" s="49"/>
      <c r="S27" s="49"/>
      <c r="T27" s="49"/>
    </row>
    <row r="28">
      <c r="A28" s="49"/>
      <c r="B28" s="49"/>
      <c r="C28" s="51"/>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255</v>
      </c>
      <c r="M28" s="49"/>
      <c r="N28" s="49"/>
      <c r="O28" s="49"/>
      <c r="P28" s="49"/>
      <c r="Q28" s="49"/>
      <c r="R28" s="49"/>
      <c r="S28" s="49"/>
      <c r="T28" s="49"/>
    </row>
    <row r="29">
      <c r="A29" s="49"/>
      <c r="B29" s="49"/>
      <c r="C29" s="51"/>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255</v>
      </c>
      <c r="M29" s="49"/>
      <c r="N29" s="49"/>
      <c r="O29" s="49"/>
      <c r="P29" s="49"/>
      <c r="Q29" s="49"/>
      <c r="R29" s="49"/>
      <c r="S29" s="49"/>
      <c r="T29" s="49"/>
    </row>
    <row r="30">
      <c r="A30" s="49"/>
      <c r="B30" s="49"/>
      <c r="C30" s="51"/>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255</v>
      </c>
      <c r="M30" s="49"/>
      <c r="N30" s="49"/>
      <c r="O30" s="49"/>
      <c r="P30" s="49"/>
      <c r="Q30" s="49"/>
      <c r="R30" s="49"/>
      <c r="S30" s="49"/>
      <c r="T30" s="49"/>
    </row>
    <row r="31">
      <c r="A31" s="49"/>
      <c r="B31" s="49"/>
      <c r="C31" s="51"/>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255</v>
      </c>
      <c r="M31" s="49"/>
      <c r="N31" s="49"/>
      <c r="O31" s="49"/>
      <c r="P31" s="49"/>
      <c r="Q31" s="49"/>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255</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255</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255</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255</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255</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255</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255</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255</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255</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255</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255</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255</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255</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255</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255</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255</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255</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255</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255</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255</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255</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255</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255</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255</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255</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255</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255</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255</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255</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255</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255</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255</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255</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255</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255</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255</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255</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255</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255</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255</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255</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255</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255</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255</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255</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255</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255</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255</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255</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255</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255</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255</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255</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255</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255</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255</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255</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255</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255</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255</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255</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255</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255</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255</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255</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255</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255</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255</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255</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255</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255</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255</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255</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255</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255</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255</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255</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255</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255</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255</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255</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255</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255</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255</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255</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255</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255</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255</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255</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255</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255</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255</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255</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255</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255</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255</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255</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255</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255</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255</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255</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255</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255</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255</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255</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255</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255</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255</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255</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255</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255</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255</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255</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255</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255</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255</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255</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255</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255</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255</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255</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255</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255</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255</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255</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255</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255</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255</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255</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255</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255</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255</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255</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255</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255</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255</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255</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255</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255</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255</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255</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255</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255</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255</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255</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255</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255</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255</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255</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255</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255</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255</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255</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255</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255</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255</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255</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255</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255</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255</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255</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255</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255</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255</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255</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255</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255</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255</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255</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255</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255</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255</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255</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255</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255</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255</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255</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255</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255</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255</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255</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255</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255</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255</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255</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255</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255</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255</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255</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255</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255</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255</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255</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255</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255</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255</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255</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255</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255</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255</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255</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255</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255</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255</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255</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255</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255</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255</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255</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255</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255</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255</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255</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255</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255</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255</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255</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255</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255</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255</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255</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255</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255</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255</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255</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255</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255</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255</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255</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255</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255</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255</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255</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255</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255</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255</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255</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255</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255</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255</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255</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255</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255</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255</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255</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255</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255</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255</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255</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255</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255</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255</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255</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255</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255</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255</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255</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255</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255</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255</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255</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255</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255</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255</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255</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255</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255</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255</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255</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255</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255</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255</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255</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255</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255</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255</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255</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255</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255</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255</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255</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255</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255</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255</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255</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255</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255</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255</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255</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255</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255</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255</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255</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255</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255</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255</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255</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255</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255</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255</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255</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255</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255</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255</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255</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255</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255</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255</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255</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255</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255</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255</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255</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255</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255</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255</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255</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255</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255</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255</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255</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255</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255</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255</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255</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255</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255</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255</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255</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255</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255</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255</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255</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255</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255</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255</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255</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255</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255</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255</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255</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255</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255</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255</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255</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255</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255</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255</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255</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255</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255</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255</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255</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255</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255</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255</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255</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255</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255</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255</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255</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255</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255</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255</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255</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255</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255</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255</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255</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255</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255</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255</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255</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255</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255</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255</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255</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255</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255</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255</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255</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255</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255</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255</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255</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255</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255</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255</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255</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255</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255</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255</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255</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255</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255</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255</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255</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255</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255</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255</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255</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255</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255</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255</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255</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255</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255</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255</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255</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255</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255</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255</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255</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255</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255</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255</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255</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255</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255</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255</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255</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255</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255</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255</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255</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255</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255</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255</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255</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255</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255</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255</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255</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255</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255</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255</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255</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255</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255</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255</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255</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255</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255</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255</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255</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255</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255</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255</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255</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255</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255</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255</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255</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255</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255</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255</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255</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255</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255</v>
      </c>
      <c r="M523" s="49"/>
      <c r="N523" s="49"/>
      <c r="O523" s="49"/>
      <c r="P523" s="49"/>
      <c r="Q523" s="49"/>
      <c r="R523" s="49"/>
      <c r="S523" s="49"/>
      <c r="T523" s="49"/>
    </row>
  </sheetData>
  <conditionalFormatting sqref="O2:O16">
    <cfRule type="containsText" dxfId="4" priority="1" operator="containsText" text="YES">
      <formula>NOT(ISERROR(SEARCH(("YES"),(O2))))</formula>
    </cfRule>
  </conditionalFormatting>
  <conditionalFormatting sqref="O2:O16">
    <cfRule type="cellIs" dxfId="5" priority="2" operator="equal">
      <formula>"NO"</formula>
    </cfRule>
  </conditionalFormatting>
  <conditionalFormatting sqref="P2:P16">
    <cfRule type="cellIs" dxfId="4" priority="3" operator="equal">
      <formula>"AVAILABLE"</formula>
    </cfRule>
  </conditionalFormatting>
  <conditionalFormatting sqref="P2:P16">
    <cfRule type="cellIs" dxfId="5" priority="4" operator="equal">
      <formula>"NOT AVAILABLE"</formula>
    </cfRule>
  </conditionalFormatting>
  <conditionalFormatting sqref="Q2:Q16">
    <cfRule type="cellIs" dxfId="4" priority="5" operator="equal">
      <formula>"AVAILABLE"</formula>
    </cfRule>
  </conditionalFormatting>
  <conditionalFormatting sqref="Q2:Q16">
    <cfRule type="cellIs" dxfId="6" priority="6" operator="equal">
      <formula>"UPLOADING"</formula>
    </cfRule>
  </conditionalFormatting>
  <conditionalFormatting sqref="Q2:Q16">
    <cfRule type="cellIs" dxfId="5" priority="7" operator="equal">
      <formula>"NOT AVAILABLE"</formula>
    </cfRule>
  </conditionalFormatting>
  <dataValidations>
    <dataValidation type="list" allowBlank="1" sqref="O2:O16">
      <formula1>"YES,NO"</formula1>
    </dataValidation>
    <dataValidation type="list" allowBlank="1" sqref="P2:P16">
      <formula1>"AVAILABLE,NOT AVAILABLE"</formula1>
    </dataValidation>
    <dataValidation type="list" allowBlank="1" sqref="Q2:Q16">
      <formula1>"AVAILABLE,UPLOADING,NOT AVAILABLE"</formula1>
    </dataValidation>
  </dataValidations>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7.14"/>
    <col customWidth="1" min="3" max="3" width="24.71"/>
    <col hidden="1" min="4" max="5" width="14.43"/>
    <col customWidth="1" min="6" max="6" width="36.57"/>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'SaaS Monster' ORDER BY F"")"),"Opening Remarks: Not just another player: Four huge visions of SaaS enablement!")</f>
        <v>Opening Remarks: Not just another player: Four huge visions of SaaS enablement!</v>
      </c>
      <c r="B2" s="49" t="str">
        <f>IFERROR(__xludf.DUMMYFUNCTION("""COMPUTED_VALUE"""),"SaaS Monster")</f>
        <v>SaaS Monster</v>
      </c>
      <c r="C2" s="51" t="str">
        <f>IFERROR(__xludf.DUMMYFUNCTION("""COMPUTED_VALUE"""),"Stephen Cummins")</f>
        <v>Stephen Cummins</v>
      </c>
      <c r="D2" s="49" t="str">
        <f>IFERROR(__xludf.DUMMYFUNCTION("""COMPUTED_VALUE"""),"2019/11/05 10:15:00")</f>
        <v>2019/11/05 10:15:00</v>
      </c>
      <c r="E2" s="49" t="str">
        <f>IFERROR(__xludf.DUMMYFUNCTION("""COMPUTED_VALUE"""),"2019/11/05 10:30:00")</f>
        <v>2019/11/05 10:30:00</v>
      </c>
      <c r="F2" s="49" t="str">
        <f>IFERROR(__xludf.DUMMYFUNCTION("""COMPUTED_VALUE"""),"0bf64b65-4621-468c-a8ea-741ffab94a56")</f>
        <v>0bf64b65-4621-468c-a8ea-741ffab94a56</v>
      </c>
      <c r="G2" s="54">
        <f>IFERROR(__xludf.DUMMYFUNCTION("ARRAYFORMULA(SPLIT(D2:D545,"" ""))"),43774.0)</f>
        <v>43774</v>
      </c>
      <c r="H2" s="53">
        <f>IFERROR(__xludf.DUMMYFUNCTION("""COMPUTED_VALUE"""),0.4270833333333333)</f>
        <v>0.4270833333</v>
      </c>
      <c r="I2" s="54">
        <f>IFERROR(__xludf.DUMMYFUNCTION("ARRAYFORMULA(SPLIT(E2:E545,"" ""))"),43774.0)</f>
        <v>43774</v>
      </c>
      <c r="J2" s="53">
        <f>IFERROR(__xludf.DUMMYFUNCTION("""COMPUTED_VALUE"""),0.4375)</f>
        <v>0.4375</v>
      </c>
      <c r="K2" s="53">
        <f t="shared" ref="K2:K44" si="1">J2-H2</f>
        <v>0.01041666667</v>
      </c>
      <c r="L2" s="50" t="str">
        <f t="array" ref="L2:L545">TEXT(K2:K545,"hhmmss")</f>
        <v>001500</v>
      </c>
      <c r="M2" s="62" t="s">
        <v>580</v>
      </c>
      <c r="N2" s="62" t="str">
        <f>CONCATENATE(M2,"_",F2,"_","000000_000000.mp4")</f>
        <v>SM_4_1_0bf64b65-4621-468c-a8ea-741ffab94a56_000000_000000.mp4</v>
      </c>
      <c r="O2" s="48"/>
      <c r="P2" s="48"/>
      <c r="Q2" s="63"/>
      <c r="R2" s="49"/>
      <c r="S2" s="49"/>
      <c r="T2" s="49"/>
    </row>
    <row r="3">
      <c r="A3" s="49" t="str">
        <f>IFERROR(__xludf.DUMMYFUNCTION("""COMPUTED_VALUE"""),"Back to the future with cloud")</f>
        <v>Back to the future with cloud</v>
      </c>
      <c r="B3" s="49" t="str">
        <f>IFERROR(__xludf.DUMMYFUNCTION("""COMPUTED_VALUE"""),"SaaS Monster")</f>
        <v>SaaS Monster</v>
      </c>
      <c r="C3" s="51" t="str">
        <f>IFERROR(__xludf.DUMMYFUNCTION("""COMPUTED_VALUE"""),"Adaire Fox-Martin")</f>
        <v>Adaire Fox-Martin</v>
      </c>
      <c r="D3" s="49" t="str">
        <f>IFERROR(__xludf.DUMMYFUNCTION("""COMPUTED_VALUE"""),"2019/11/05 10:30:00")</f>
        <v>2019/11/05 10:30:00</v>
      </c>
      <c r="E3" s="49" t="str">
        <f>IFERROR(__xludf.DUMMYFUNCTION("""COMPUTED_VALUE"""),"2019/11/05 10:50:00")</f>
        <v>2019/11/05 10:50:00</v>
      </c>
      <c r="F3" s="49" t="str">
        <f>IFERROR(__xludf.DUMMYFUNCTION("""COMPUTED_VALUE"""),"52d1fcf0-7511-4479-9b2f-84624a820b06")</f>
        <v>52d1fcf0-7511-4479-9b2f-84624a820b06</v>
      </c>
      <c r="G3" s="52">
        <f>IFERROR(__xludf.DUMMYFUNCTION("""COMPUTED_VALUE"""),43774.0)</f>
        <v>43774</v>
      </c>
      <c r="H3" s="53">
        <f>IFERROR(__xludf.DUMMYFUNCTION("""COMPUTED_VALUE"""),0.4375)</f>
        <v>0.4375</v>
      </c>
      <c r="I3" s="52">
        <f>IFERROR(__xludf.DUMMYFUNCTION("""COMPUTED_VALUE"""),43774.0)</f>
        <v>43774</v>
      </c>
      <c r="J3" s="53">
        <f>IFERROR(__xludf.DUMMYFUNCTION("""COMPUTED_VALUE"""),0.4513888888888889)</f>
        <v>0.4513888889</v>
      </c>
      <c r="K3" s="53">
        <f t="shared" si="1"/>
        <v>0.01388888889</v>
      </c>
      <c r="L3" s="49" t="s">
        <v>109</v>
      </c>
      <c r="M3" s="49"/>
      <c r="N3" s="49"/>
      <c r="O3" s="48"/>
      <c r="P3" s="48"/>
      <c r="Q3" s="63"/>
      <c r="R3" s="49"/>
      <c r="S3" s="49"/>
      <c r="T3" s="49"/>
    </row>
    <row r="4">
      <c r="A4" s="49" t="str">
        <f>IFERROR(__xludf.DUMMYFUNCTION("""COMPUTED_VALUE"""),"Inside Facebook’s SaaS company")</f>
        <v>Inside Facebook’s SaaS company</v>
      </c>
      <c r="B4" s="49" t="str">
        <f>IFERROR(__xludf.DUMMYFUNCTION("""COMPUTED_VALUE"""),"SaaS Monster")</f>
        <v>SaaS Monster</v>
      </c>
      <c r="C4" s="51" t="str">
        <f>IFERROR(__xludf.DUMMYFUNCTION("""COMPUTED_VALUE"""),"Julien Codorniou and Elizabeth Schulze")</f>
        <v>Julien Codorniou and Elizabeth Schulze</v>
      </c>
      <c r="D4" s="49" t="str">
        <f>IFERROR(__xludf.DUMMYFUNCTION("""COMPUTED_VALUE"""),"2019/11/05 10:50:00")</f>
        <v>2019/11/05 10:50:00</v>
      </c>
      <c r="E4" s="49" t="str">
        <f>IFERROR(__xludf.DUMMYFUNCTION("""COMPUTED_VALUE"""),"2019/11/05 11:10:00")</f>
        <v>2019/11/05 11:10:00</v>
      </c>
      <c r="F4" s="49" t="str">
        <f>IFERROR(__xludf.DUMMYFUNCTION("""COMPUTED_VALUE"""),"39212513-fefc-4de6-8644-66f905489c46")</f>
        <v>39212513-fefc-4de6-8644-66f905489c46</v>
      </c>
      <c r="G4" s="52">
        <f>IFERROR(__xludf.DUMMYFUNCTION("""COMPUTED_VALUE"""),43774.0)</f>
        <v>43774</v>
      </c>
      <c r="H4" s="53">
        <f>IFERROR(__xludf.DUMMYFUNCTION("""COMPUTED_VALUE"""),0.4513888888888889)</f>
        <v>0.4513888889</v>
      </c>
      <c r="I4" s="52">
        <f>IFERROR(__xludf.DUMMYFUNCTION("""COMPUTED_VALUE"""),43774.0)</f>
        <v>43774</v>
      </c>
      <c r="J4" s="53">
        <f>IFERROR(__xludf.DUMMYFUNCTION("""COMPUTED_VALUE"""),0.4652777777777778)</f>
        <v>0.4652777778</v>
      </c>
      <c r="K4" s="53">
        <f t="shared" si="1"/>
        <v>0.01388888889</v>
      </c>
      <c r="L4" s="49" t="s">
        <v>109</v>
      </c>
      <c r="M4" s="49"/>
      <c r="N4" s="49"/>
      <c r="O4" s="48"/>
      <c r="P4" s="48"/>
      <c r="Q4" s="63"/>
      <c r="R4" s="49"/>
      <c r="S4" s="49"/>
      <c r="T4" s="49"/>
    </row>
    <row r="5">
      <c r="A5" s="49" t="str">
        <f>IFERROR(__xludf.DUMMYFUNCTION("""COMPUTED_VALUE"""),"Retention as the new conversion")</f>
        <v>Retention as the new conversion</v>
      </c>
      <c r="B5" s="49" t="str">
        <f>IFERROR(__xludf.DUMMYFUNCTION("""COMPUTED_VALUE"""),"SaaS Monster")</f>
        <v>SaaS Monster</v>
      </c>
      <c r="C5" s="51" t="str">
        <f>IFERROR(__xludf.DUMMYFUNCTION("""COMPUTED_VALUE"""),"Des Traynor")</f>
        <v>Des Traynor</v>
      </c>
      <c r="D5" s="49" t="str">
        <f>IFERROR(__xludf.DUMMYFUNCTION("""COMPUTED_VALUE"""),"2019/11/05 11:10:00")</f>
        <v>2019/11/05 11:10:00</v>
      </c>
      <c r="E5" s="49" t="str">
        <f>IFERROR(__xludf.DUMMYFUNCTION("""COMPUTED_VALUE"""),"2019/11/05 11:30:00")</f>
        <v>2019/11/05 11:30:00</v>
      </c>
      <c r="F5" s="49" t="str">
        <f>IFERROR(__xludf.DUMMYFUNCTION("""COMPUTED_VALUE"""),"1212862d-08b2-4165-9c8f-e9316b2c9cd4")</f>
        <v>1212862d-08b2-4165-9c8f-e9316b2c9cd4</v>
      </c>
      <c r="G5" s="52">
        <f>IFERROR(__xludf.DUMMYFUNCTION("""COMPUTED_VALUE"""),43774.0)</f>
        <v>43774</v>
      </c>
      <c r="H5" s="53">
        <f>IFERROR(__xludf.DUMMYFUNCTION("""COMPUTED_VALUE"""),0.4652777777777778)</f>
        <v>0.4652777778</v>
      </c>
      <c r="I5" s="52">
        <f>IFERROR(__xludf.DUMMYFUNCTION("""COMPUTED_VALUE"""),43774.0)</f>
        <v>43774</v>
      </c>
      <c r="J5" s="53">
        <f>IFERROR(__xludf.DUMMYFUNCTION("""COMPUTED_VALUE"""),0.4791666666666667)</f>
        <v>0.4791666667</v>
      </c>
      <c r="K5" s="53">
        <f t="shared" si="1"/>
        <v>0.01388888889</v>
      </c>
      <c r="L5" s="49" t="s">
        <v>109</v>
      </c>
      <c r="M5" s="49"/>
      <c r="N5" s="49"/>
      <c r="O5" s="48"/>
      <c r="P5" s="48"/>
      <c r="Q5" s="63"/>
      <c r="R5" s="49"/>
      <c r="S5" s="49"/>
      <c r="T5" s="49"/>
    </row>
    <row r="6">
      <c r="A6" s="49" t="str">
        <f>IFERROR(__xludf.DUMMYFUNCTION("""COMPUTED_VALUE"""),"To scale or not to scale?")</f>
        <v>To scale or not to scale?</v>
      </c>
      <c r="B6" s="49" t="str">
        <f>IFERROR(__xludf.DUMMYFUNCTION("""COMPUTED_VALUE"""),"SaaS Monster")</f>
        <v>SaaS Monster</v>
      </c>
      <c r="C6" s="51" t="str">
        <f>IFERROR(__xludf.DUMMYFUNCTION("""COMPUTED_VALUE"""),"Ariel Cohen, Bob Moore, Lingjia Tang and Kimberly Weisul")</f>
        <v>Ariel Cohen, Bob Moore, Lingjia Tang and Kimberly Weisul</v>
      </c>
      <c r="D6" s="49" t="str">
        <f>IFERROR(__xludf.DUMMYFUNCTION("""COMPUTED_VALUE"""),"2019/11/05 11:30:00")</f>
        <v>2019/11/05 11:30:00</v>
      </c>
      <c r="E6" s="49" t="str">
        <f>IFERROR(__xludf.DUMMYFUNCTION("""COMPUTED_VALUE"""),"2019/11/05 11:50:00")</f>
        <v>2019/11/05 11:50:00</v>
      </c>
      <c r="F6" s="49" t="str">
        <f>IFERROR(__xludf.DUMMYFUNCTION("""COMPUTED_VALUE"""),"6a495aed-ecdf-47ec-8c0a-e6f37e1afeb2")</f>
        <v>6a495aed-ecdf-47ec-8c0a-e6f37e1afeb2</v>
      </c>
      <c r="G6" s="52">
        <f>IFERROR(__xludf.DUMMYFUNCTION("""COMPUTED_VALUE"""),43774.0)</f>
        <v>43774</v>
      </c>
      <c r="H6" s="53">
        <f>IFERROR(__xludf.DUMMYFUNCTION("""COMPUTED_VALUE"""),0.4791666666666667)</f>
        <v>0.4791666667</v>
      </c>
      <c r="I6" s="52">
        <f>IFERROR(__xludf.DUMMYFUNCTION("""COMPUTED_VALUE"""),43774.0)</f>
        <v>43774</v>
      </c>
      <c r="J6" s="53">
        <f>IFERROR(__xludf.DUMMYFUNCTION("""COMPUTED_VALUE"""),0.4930555555555556)</f>
        <v>0.4930555556</v>
      </c>
      <c r="K6" s="53">
        <f t="shared" si="1"/>
        <v>0.01388888889</v>
      </c>
      <c r="L6" s="49" t="s">
        <v>109</v>
      </c>
      <c r="M6" s="49"/>
      <c r="N6" s="49"/>
      <c r="O6" s="48"/>
      <c r="P6" s="48"/>
      <c r="Q6" s="63"/>
      <c r="R6" s="49"/>
      <c r="S6" s="49"/>
      <c r="T6" s="49"/>
    </row>
    <row r="7">
      <c r="A7" s="49" t="str">
        <f>IFERROR(__xludf.DUMMYFUNCTION("""COMPUTED_VALUE"""),"The democratisation of innovation")</f>
        <v>The democratisation of innovation</v>
      </c>
      <c r="B7" s="49" t="str">
        <f>IFERROR(__xludf.DUMMYFUNCTION("""COMPUTED_VALUE"""),"SaaS Monster")</f>
        <v>SaaS Monster</v>
      </c>
      <c r="C7" s="51" t="str">
        <f>IFERROR(__xludf.DUMMYFUNCTION("""COMPUTED_VALUE"""),"Ross Mason and Julie Bort")</f>
        <v>Ross Mason and Julie Bort</v>
      </c>
      <c r="D7" s="49" t="str">
        <f>IFERROR(__xludf.DUMMYFUNCTION("""COMPUTED_VALUE"""),"2019/11/05 11:50:00")</f>
        <v>2019/11/05 11:50:00</v>
      </c>
      <c r="E7" s="49" t="str">
        <f>IFERROR(__xludf.DUMMYFUNCTION("""COMPUTED_VALUE"""),"2019/11/05 12:10:00")</f>
        <v>2019/11/05 12:10:00</v>
      </c>
      <c r="F7" s="49" t="str">
        <f>IFERROR(__xludf.DUMMYFUNCTION("""COMPUTED_VALUE"""),"7169092f-3e8a-4086-bf3b-d54656a064cb")</f>
        <v>7169092f-3e8a-4086-bf3b-d54656a064cb</v>
      </c>
      <c r="G7" s="52">
        <f>IFERROR(__xludf.DUMMYFUNCTION("""COMPUTED_VALUE"""),43774.0)</f>
        <v>43774</v>
      </c>
      <c r="H7" s="53">
        <f>IFERROR(__xludf.DUMMYFUNCTION("""COMPUTED_VALUE"""),0.4930555555555556)</f>
        <v>0.4930555556</v>
      </c>
      <c r="I7" s="52">
        <f>IFERROR(__xludf.DUMMYFUNCTION("""COMPUTED_VALUE"""),43774.0)</f>
        <v>43774</v>
      </c>
      <c r="J7" s="53">
        <f>IFERROR(__xludf.DUMMYFUNCTION("""COMPUTED_VALUE"""),0.5069444444444444)</f>
        <v>0.5069444444</v>
      </c>
      <c r="K7" s="53">
        <f t="shared" si="1"/>
        <v>0.01388888889</v>
      </c>
      <c r="L7" s="49" t="s">
        <v>109</v>
      </c>
      <c r="M7" s="49"/>
      <c r="N7" s="49"/>
      <c r="O7" s="48"/>
      <c r="P7" s="48"/>
      <c r="Q7" s="63"/>
      <c r="R7" s="49"/>
      <c r="S7" s="49"/>
      <c r="T7" s="49"/>
    </row>
    <row r="8">
      <c r="A8" s="49" t="str">
        <f>IFERROR(__xludf.DUMMYFUNCTION("""COMPUTED_VALUE"""),"From freemium to premium")</f>
        <v>From freemium to premium</v>
      </c>
      <c r="B8" s="49" t="str">
        <f>IFERROR(__xludf.DUMMYFUNCTION("""COMPUTED_VALUE"""),"SaaS Monster")</f>
        <v>SaaS Monster</v>
      </c>
      <c r="C8" s="51" t="str">
        <f>IFERROR(__xludf.DUMMYFUNCTION("""COMPUTED_VALUE"""),"Jager McConnell, Ted Krantz and Don Clark")</f>
        <v>Jager McConnell, Ted Krantz and Don Clark</v>
      </c>
      <c r="D8" s="49" t="str">
        <f>IFERROR(__xludf.DUMMYFUNCTION("""COMPUTED_VALUE"""),"2019/11/05 12:10:00")</f>
        <v>2019/11/05 12:10:00</v>
      </c>
      <c r="E8" s="49" t="str">
        <f>IFERROR(__xludf.DUMMYFUNCTION("""COMPUTED_VALUE"""),"2019/11/05 12:30:00")</f>
        <v>2019/11/05 12:30:00</v>
      </c>
      <c r="F8" s="49" t="str">
        <f>IFERROR(__xludf.DUMMYFUNCTION("""COMPUTED_VALUE"""),"b9c4bff0-a071-41e4-ac1b-fed6c9efac23")</f>
        <v>b9c4bff0-a071-41e4-ac1b-fed6c9efac23</v>
      </c>
      <c r="G8" s="52">
        <f>IFERROR(__xludf.DUMMYFUNCTION("""COMPUTED_VALUE"""),43774.0)</f>
        <v>43774</v>
      </c>
      <c r="H8" s="53">
        <f>IFERROR(__xludf.DUMMYFUNCTION("""COMPUTED_VALUE"""),0.5069444444444444)</f>
        <v>0.5069444444</v>
      </c>
      <c r="I8" s="52">
        <f>IFERROR(__xludf.DUMMYFUNCTION("""COMPUTED_VALUE"""),43774.0)</f>
        <v>43774</v>
      </c>
      <c r="J8" s="53">
        <f>IFERROR(__xludf.DUMMYFUNCTION("""COMPUTED_VALUE"""),0.5208333333333334)</f>
        <v>0.5208333333</v>
      </c>
      <c r="K8" s="53">
        <f t="shared" si="1"/>
        <v>0.01388888889</v>
      </c>
      <c r="L8" s="49" t="s">
        <v>109</v>
      </c>
      <c r="M8" s="49"/>
      <c r="N8" s="49"/>
      <c r="O8" s="48"/>
      <c r="P8" s="48"/>
      <c r="Q8" s="63"/>
      <c r="R8" s="49"/>
      <c r="S8" s="49"/>
      <c r="T8" s="49"/>
    </row>
    <row r="9">
      <c r="A9" s="49" t="str">
        <f>IFERROR(__xludf.DUMMYFUNCTION("""COMPUTED_VALUE"""),"Shortcuts to succ-Saas")</f>
        <v>Shortcuts to succ-Saas</v>
      </c>
      <c r="B9" s="49" t="str">
        <f>IFERROR(__xludf.DUMMYFUNCTION("""COMPUTED_VALUE"""),"SaaS Monster")</f>
        <v>SaaS Monster</v>
      </c>
      <c r="C9" s="51" t="str">
        <f>IFERROR(__xludf.DUMMYFUNCTION("""COMPUTED_VALUE"""),"Janine Pelosi, Tom Klein and Jordan French")</f>
        <v>Janine Pelosi, Tom Klein and Jordan French</v>
      </c>
      <c r="D9" s="49" t="str">
        <f>IFERROR(__xludf.DUMMYFUNCTION("""COMPUTED_VALUE"""),"2019/11/05 12:30:00")</f>
        <v>2019/11/05 12:30:00</v>
      </c>
      <c r="E9" s="49" t="str">
        <f>IFERROR(__xludf.DUMMYFUNCTION("""COMPUTED_VALUE"""),"2019/11/05 12:50:00")</f>
        <v>2019/11/05 12:50:00</v>
      </c>
      <c r="F9" s="49" t="str">
        <f>IFERROR(__xludf.DUMMYFUNCTION("""COMPUTED_VALUE"""),"d13de206-4905-431f-be23-206ebc7b96b9")</f>
        <v>d13de206-4905-431f-be23-206ebc7b96b9</v>
      </c>
      <c r="G9" s="52">
        <f>IFERROR(__xludf.DUMMYFUNCTION("""COMPUTED_VALUE"""),43774.0)</f>
        <v>43774</v>
      </c>
      <c r="H9" s="53">
        <f>IFERROR(__xludf.DUMMYFUNCTION("""COMPUTED_VALUE"""),0.5208333333333334)</f>
        <v>0.5208333333</v>
      </c>
      <c r="I9" s="52">
        <f>IFERROR(__xludf.DUMMYFUNCTION("""COMPUTED_VALUE"""),43774.0)</f>
        <v>43774</v>
      </c>
      <c r="J9" s="53">
        <f>IFERROR(__xludf.DUMMYFUNCTION("""COMPUTED_VALUE"""),0.5347222222222222)</f>
        <v>0.5347222222</v>
      </c>
      <c r="K9" s="53">
        <f t="shared" si="1"/>
        <v>0.01388888889</v>
      </c>
      <c r="L9" s="49" t="s">
        <v>109</v>
      </c>
      <c r="M9" s="49"/>
      <c r="N9" s="49"/>
      <c r="O9" s="48"/>
      <c r="P9" s="48"/>
      <c r="Q9" s="63"/>
      <c r="R9" s="49"/>
      <c r="S9" s="49"/>
      <c r="T9" s="49"/>
    </row>
    <row r="10">
      <c r="A10" s="49" t="str">
        <f>IFERROR(__xludf.DUMMYFUNCTION("""COMPUTED_VALUE"""),"Lunch break")</f>
        <v>Lunch break</v>
      </c>
      <c r="B10" s="49" t="str">
        <f>IFERROR(__xludf.DUMMYFUNCTION("""COMPUTED_VALUE"""),"SaaS Monster")</f>
        <v>SaaS Monster</v>
      </c>
      <c r="C10" s="51" t="str">
        <f>IFERROR(__xludf.DUMMYFUNCTION("""COMPUTED_VALUE"""),"")</f>
        <v/>
      </c>
      <c r="D10" s="49" t="str">
        <f>IFERROR(__xludf.DUMMYFUNCTION("""COMPUTED_VALUE"""),"2019/11/05 12:50:00")</f>
        <v>2019/11/05 12:50:00</v>
      </c>
      <c r="E10" s="49" t="str">
        <f>IFERROR(__xludf.DUMMYFUNCTION("""COMPUTED_VALUE"""),"2019/11/05 13:20:00")</f>
        <v>2019/11/05 13:20:00</v>
      </c>
      <c r="F10" s="49" t="str">
        <f>IFERROR(__xludf.DUMMYFUNCTION("""COMPUTED_VALUE"""),"ac332420-8830-4529-a87b-8a39999aca64")</f>
        <v>ac332420-8830-4529-a87b-8a39999aca64</v>
      </c>
      <c r="G10" s="52">
        <f>IFERROR(__xludf.DUMMYFUNCTION("""COMPUTED_VALUE"""),43774.0)</f>
        <v>43774</v>
      </c>
      <c r="H10" s="53">
        <f>IFERROR(__xludf.DUMMYFUNCTION("""COMPUTED_VALUE"""),0.5347222222222222)</f>
        <v>0.5347222222</v>
      </c>
      <c r="I10" s="52">
        <f>IFERROR(__xludf.DUMMYFUNCTION("""COMPUTED_VALUE"""),43774.0)</f>
        <v>43774</v>
      </c>
      <c r="J10" s="53">
        <f>IFERROR(__xludf.DUMMYFUNCTION("""COMPUTED_VALUE"""),0.5555555555555556)</f>
        <v>0.5555555556</v>
      </c>
      <c r="K10" s="53">
        <f t="shared" si="1"/>
        <v>0.02083333333</v>
      </c>
      <c r="L10" s="49" t="s">
        <v>105</v>
      </c>
      <c r="M10" s="49"/>
      <c r="N10" s="49"/>
      <c r="O10" s="48"/>
      <c r="P10" s="48"/>
      <c r="Q10" s="63"/>
      <c r="R10" s="49"/>
      <c r="S10" s="49"/>
      <c r="T10" s="49"/>
    </row>
    <row r="11">
      <c r="A11" s="49" t="str">
        <f>IFERROR(__xludf.DUMMYFUNCTION("""COMPUTED_VALUE"""),"Opening remarks")</f>
        <v>Opening remarks</v>
      </c>
      <c r="B11" s="49" t="str">
        <f>IFERROR(__xludf.DUMMYFUNCTION("""COMPUTED_VALUE"""),"SaaS Monster")</f>
        <v>SaaS Monster</v>
      </c>
      <c r="C11" s="51" t="str">
        <f>IFERROR(__xludf.DUMMYFUNCTION("""COMPUTED_VALUE"""),"Josh Holmes")</f>
        <v>Josh Holmes</v>
      </c>
      <c r="D11" s="49" t="str">
        <f>IFERROR(__xludf.DUMMYFUNCTION("""COMPUTED_VALUE"""),"2019/11/05 13:20:00")</f>
        <v>2019/11/05 13:20:00</v>
      </c>
      <c r="E11" s="49" t="str">
        <f>IFERROR(__xludf.DUMMYFUNCTION("""COMPUTED_VALUE"""),"2019/11/05 13:25:00")</f>
        <v>2019/11/05 13:25:00</v>
      </c>
      <c r="F11" s="49" t="str">
        <f>IFERROR(__xludf.DUMMYFUNCTION("""COMPUTED_VALUE"""),"9cc0570c-29d4-4b56-8620-8432dfc0cd5d")</f>
        <v>9cc0570c-29d4-4b56-8620-8432dfc0cd5d</v>
      </c>
      <c r="G11" s="52">
        <f>IFERROR(__xludf.DUMMYFUNCTION("""COMPUTED_VALUE"""),43774.0)</f>
        <v>43774</v>
      </c>
      <c r="H11" s="53">
        <f>IFERROR(__xludf.DUMMYFUNCTION("""COMPUTED_VALUE"""),0.5555555555555556)</f>
        <v>0.5555555556</v>
      </c>
      <c r="I11" s="52">
        <f>IFERROR(__xludf.DUMMYFUNCTION("""COMPUTED_VALUE"""),43774.0)</f>
        <v>43774</v>
      </c>
      <c r="J11" s="53">
        <f>IFERROR(__xludf.DUMMYFUNCTION("""COMPUTED_VALUE"""),0.5590277777777778)</f>
        <v>0.5590277778</v>
      </c>
      <c r="K11" s="53">
        <f t="shared" si="1"/>
        <v>0.003472222222</v>
      </c>
      <c r="L11" s="49" t="s">
        <v>228</v>
      </c>
      <c r="M11" s="49"/>
      <c r="N11" s="49"/>
      <c r="O11" s="48"/>
      <c r="P11" s="48"/>
      <c r="Q11" s="63"/>
      <c r="R11" s="49"/>
      <c r="S11" s="49"/>
      <c r="T11" s="49"/>
    </row>
    <row r="12">
      <c r="A12" s="49" t="str">
        <f>IFERROR(__xludf.DUMMYFUNCTION("""COMPUTED_VALUE"""),"How space-based networks will bring internet to the world")</f>
        <v>How space-based networks will bring internet to the world</v>
      </c>
      <c r="B12" s="49" t="str">
        <f>IFERROR(__xludf.DUMMYFUNCTION("""COMPUTED_VALUE"""),"SaaS Monster")</f>
        <v>SaaS Monster</v>
      </c>
      <c r="C12" s="51" t="str">
        <f>IFERROR(__xludf.DUMMYFUNCTION("""COMPUTED_VALUE"""),"Adrián Steckel and Kit Eaton")</f>
        <v>Adrián Steckel and Kit Eaton</v>
      </c>
      <c r="D12" s="49" t="str">
        <f>IFERROR(__xludf.DUMMYFUNCTION("""COMPUTED_VALUE"""),"2019/11/05 13:25:00")</f>
        <v>2019/11/05 13:25:00</v>
      </c>
      <c r="E12" s="49" t="str">
        <f>IFERROR(__xludf.DUMMYFUNCTION("""COMPUTED_VALUE"""),"2019/11/05 13:45:00")</f>
        <v>2019/11/05 13:45:00</v>
      </c>
      <c r="F12" s="49" t="str">
        <f>IFERROR(__xludf.DUMMYFUNCTION("""COMPUTED_VALUE"""),"e5258c6a-52bb-4c7a-aa67-b539a898d668")</f>
        <v>e5258c6a-52bb-4c7a-aa67-b539a898d668</v>
      </c>
      <c r="G12" s="52">
        <f>IFERROR(__xludf.DUMMYFUNCTION("""COMPUTED_VALUE"""),43774.0)</f>
        <v>43774</v>
      </c>
      <c r="H12" s="53">
        <f>IFERROR(__xludf.DUMMYFUNCTION("""COMPUTED_VALUE"""),0.5590277777777778)</f>
        <v>0.5590277778</v>
      </c>
      <c r="I12" s="52">
        <f>IFERROR(__xludf.DUMMYFUNCTION("""COMPUTED_VALUE"""),43774.0)</f>
        <v>43774</v>
      </c>
      <c r="J12" s="53">
        <f>IFERROR(__xludf.DUMMYFUNCTION("""COMPUTED_VALUE"""),0.5729166666666666)</f>
        <v>0.5729166667</v>
      </c>
      <c r="K12" s="53">
        <f t="shared" si="1"/>
        <v>0.01388888889</v>
      </c>
      <c r="L12" s="49" t="s">
        <v>109</v>
      </c>
      <c r="M12" s="49"/>
      <c r="N12" s="49"/>
      <c r="O12" s="48"/>
      <c r="P12" s="48"/>
      <c r="Q12" s="63"/>
      <c r="R12" s="49"/>
      <c r="S12" s="49"/>
      <c r="T12" s="49"/>
    </row>
    <row r="13">
      <c r="A13" s="49" t="str">
        <f>IFERROR(__xludf.DUMMYFUNCTION("""COMPUTED_VALUE"""),"Is collaboration killing us?")</f>
        <v>Is collaboration killing us?</v>
      </c>
      <c r="B13" s="49" t="str">
        <f>IFERROR(__xludf.DUMMYFUNCTION("""COMPUTED_VALUE"""),"SaaS Monster")</f>
        <v>SaaS Monster</v>
      </c>
      <c r="C13" s="51" t="str">
        <f>IFERROR(__xludf.DUMMYFUNCTION("""COMPUTED_VALUE"""),"Chris Farinacci and Jordan French")</f>
        <v>Chris Farinacci and Jordan French</v>
      </c>
      <c r="D13" s="49" t="str">
        <f>IFERROR(__xludf.DUMMYFUNCTION("""COMPUTED_VALUE"""),"2019/11/05 13:45:00")</f>
        <v>2019/11/05 13:45:00</v>
      </c>
      <c r="E13" s="49" t="str">
        <f>IFERROR(__xludf.DUMMYFUNCTION("""COMPUTED_VALUE"""),"2019/11/05 14:05:00")</f>
        <v>2019/11/05 14:05:00</v>
      </c>
      <c r="F13" s="49" t="str">
        <f>IFERROR(__xludf.DUMMYFUNCTION("""COMPUTED_VALUE"""),"175bc399-db50-4844-9a34-d3941af68962")</f>
        <v>175bc399-db50-4844-9a34-d3941af68962</v>
      </c>
      <c r="G13" s="52">
        <f>IFERROR(__xludf.DUMMYFUNCTION("""COMPUTED_VALUE"""),43774.0)</f>
        <v>43774</v>
      </c>
      <c r="H13" s="53">
        <f>IFERROR(__xludf.DUMMYFUNCTION("""COMPUTED_VALUE"""),0.5729166666666666)</f>
        <v>0.5729166667</v>
      </c>
      <c r="I13" s="52">
        <f>IFERROR(__xludf.DUMMYFUNCTION("""COMPUTED_VALUE"""),43774.0)</f>
        <v>43774</v>
      </c>
      <c r="J13" s="53">
        <f>IFERROR(__xludf.DUMMYFUNCTION("""COMPUTED_VALUE"""),0.5868055555555556)</f>
        <v>0.5868055556</v>
      </c>
      <c r="K13" s="53">
        <f t="shared" si="1"/>
        <v>0.01388888889</v>
      </c>
      <c r="L13" s="49" t="s">
        <v>109</v>
      </c>
      <c r="M13" s="49"/>
      <c r="N13" s="49"/>
      <c r="O13" s="48"/>
      <c r="P13" s="48"/>
      <c r="Q13" s="63"/>
      <c r="R13" s="49"/>
      <c r="S13" s="49"/>
      <c r="T13" s="49"/>
    </row>
    <row r="14">
      <c r="A14" s="49" t="str">
        <f>IFERROR(__xludf.DUMMYFUNCTION("""COMPUTED_VALUE"""),"Grow fast or die slow")</f>
        <v>Grow fast or die slow</v>
      </c>
      <c r="B14" s="49" t="str">
        <f>IFERROR(__xludf.DUMMYFUNCTION("""COMPUTED_VALUE"""),"SaaS Monster")</f>
        <v>SaaS Monster</v>
      </c>
      <c r="C14" s="51" t="str">
        <f>IFERROR(__xludf.DUMMYFUNCTION("""COMPUTED_VALUE"""),"Gaurav Dhillon, Frida Polli, Allan Grant and Liam Proud")</f>
        <v>Gaurav Dhillon, Frida Polli, Allan Grant and Liam Proud</v>
      </c>
      <c r="D14" s="49" t="str">
        <f>IFERROR(__xludf.DUMMYFUNCTION("""COMPUTED_VALUE"""),"2019/11/05 14:05:00")</f>
        <v>2019/11/05 14:05:00</v>
      </c>
      <c r="E14" s="49" t="str">
        <f>IFERROR(__xludf.DUMMYFUNCTION("""COMPUTED_VALUE"""),"2019/11/05 14:25:00")</f>
        <v>2019/11/05 14:25:00</v>
      </c>
      <c r="F14" s="49" t="str">
        <f>IFERROR(__xludf.DUMMYFUNCTION("""COMPUTED_VALUE"""),"5e174c71-64d5-46a5-90a1-f607b057db02")</f>
        <v>5e174c71-64d5-46a5-90a1-f607b057db02</v>
      </c>
      <c r="G14" s="52">
        <f>IFERROR(__xludf.DUMMYFUNCTION("""COMPUTED_VALUE"""),43774.0)</f>
        <v>43774</v>
      </c>
      <c r="H14" s="53">
        <f>IFERROR(__xludf.DUMMYFUNCTION("""COMPUTED_VALUE"""),0.5868055555555556)</f>
        <v>0.5868055556</v>
      </c>
      <c r="I14" s="52">
        <f>IFERROR(__xludf.DUMMYFUNCTION("""COMPUTED_VALUE"""),43774.0)</f>
        <v>43774</v>
      </c>
      <c r="J14" s="53">
        <f>IFERROR(__xludf.DUMMYFUNCTION("""COMPUTED_VALUE"""),0.6006944444444444)</f>
        <v>0.6006944444</v>
      </c>
      <c r="K14" s="53">
        <f t="shared" si="1"/>
        <v>0.01388888889</v>
      </c>
      <c r="L14" s="49" t="s">
        <v>109</v>
      </c>
      <c r="M14" s="49"/>
      <c r="N14" s="49"/>
      <c r="O14" s="48"/>
      <c r="P14" s="48"/>
      <c r="Q14" s="63"/>
      <c r="R14" s="49"/>
      <c r="S14" s="49"/>
      <c r="T14" s="49"/>
    </row>
    <row r="15">
      <c r="A15" s="49" t="str">
        <f>IFERROR(__xludf.DUMMYFUNCTION("""COMPUTED_VALUE"""),"I, Robot: The future of marketing ")</f>
        <v>I, Robot: The future of marketing </v>
      </c>
      <c r="B15" s="49" t="str">
        <f>IFERROR(__xludf.DUMMYFUNCTION("""COMPUTED_VALUE"""),"SaaS Monster")</f>
        <v>SaaS Monster</v>
      </c>
      <c r="C15" s="51" t="str">
        <f>IFERROR(__xludf.DUMMYFUNCTION("""COMPUTED_VALUE"""),"Christian Henschel and Emil Protalinski")</f>
        <v>Christian Henschel and Emil Protalinski</v>
      </c>
      <c r="D15" s="49" t="str">
        <f>IFERROR(__xludf.DUMMYFUNCTION("""COMPUTED_VALUE"""),"2019/11/05 14:25:00")</f>
        <v>2019/11/05 14:25:00</v>
      </c>
      <c r="E15" s="49" t="str">
        <f>IFERROR(__xludf.DUMMYFUNCTION("""COMPUTED_VALUE"""),"2019/11/05 14:45:00")</f>
        <v>2019/11/05 14:45:00</v>
      </c>
      <c r="F15" s="49" t="str">
        <f>IFERROR(__xludf.DUMMYFUNCTION("""COMPUTED_VALUE"""),"f8834362-1388-40bf-bd2a-9d4c8118f0f6")</f>
        <v>f8834362-1388-40bf-bd2a-9d4c8118f0f6</v>
      </c>
      <c r="G15" s="52">
        <f>IFERROR(__xludf.DUMMYFUNCTION("""COMPUTED_VALUE"""),43774.0)</f>
        <v>43774</v>
      </c>
      <c r="H15" s="53">
        <f>IFERROR(__xludf.DUMMYFUNCTION("""COMPUTED_VALUE"""),0.6006944444444444)</f>
        <v>0.6006944444</v>
      </c>
      <c r="I15" s="52">
        <f>IFERROR(__xludf.DUMMYFUNCTION("""COMPUTED_VALUE"""),43774.0)</f>
        <v>43774</v>
      </c>
      <c r="J15" s="53">
        <f>IFERROR(__xludf.DUMMYFUNCTION("""COMPUTED_VALUE"""),0.6145833333333334)</f>
        <v>0.6145833333</v>
      </c>
      <c r="K15" s="53">
        <f t="shared" si="1"/>
        <v>0.01388888889</v>
      </c>
      <c r="L15" s="49" t="s">
        <v>109</v>
      </c>
      <c r="M15" s="49"/>
      <c r="N15" s="49"/>
      <c r="O15" s="48"/>
      <c r="P15" s="48"/>
      <c r="Q15" s="63"/>
      <c r="R15" s="49"/>
      <c r="S15" s="49"/>
      <c r="T15" s="49"/>
    </row>
    <row r="16">
      <c r="A16" s="49" t="str">
        <f>IFERROR(__xludf.DUMMYFUNCTION("""COMPUTED_VALUE"""),"The true meaning of free trade")</f>
        <v>The true meaning of free trade</v>
      </c>
      <c r="B16" s="49" t="str">
        <f>IFERROR(__xludf.DUMMYFUNCTION("""COMPUTED_VALUE"""),"SaaS Monster")</f>
        <v>SaaS Monster</v>
      </c>
      <c r="C16" s="51" t="str">
        <f>IFERROR(__xludf.DUMMYFUNCTION("""COMPUTED_VALUE"""),"Gert Sylvest and Don Clark")</f>
        <v>Gert Sylvest and Don Clark</v>
      </c>
      <c r="D16" s="49" t="str">
        <f>IFERROR(__xludf.DUMMYFUNCTION("""COMPUTED_VALUE"""),"2019/11/05 14:45:00")</f>
        <v>2019/11/05 14:45:00</v>
      </c>
      <c r="E16" s="49" t="str">
        <f>IFERROR(__xludf.DUMMYFUNCTION("""COMPUTED_VALUE"""),"2019/11/05 15:05:00")</f>
        <v>2019/11/05 15:05:00</v>
      </c>
      <c r="F16" s="49" t="str">
        <f>IFERROR(__xludf.DUMMYFUNCTION("""COMPUTED_VALUE"""),"42510510-abbe-4a6c-bb0e-e70f1ad98e55")</f>
        <v>42510510-abbe-4a6c-bb0e-e70f1ad98e55</v>
      </c>
      <c r="G16" s="52">
        <f>IFERROR(__xludf.DUMMYFUNCTION("""COMPUTED_VALUE"""),43774.0)</f>
        <v>43774</v>
      </c>
      <c r="H16" s="53">
        <f>IFERROR(__xludf.DUMMYFUNCTION("""COMPUTED_VALUE"""),0.6145833333333334)</f>
        <v>0.6145833333</v>
      </c>
      <c r="I16" s="52">
        <f>IFERROR(__xludf.DUMMYFUNCTION("""COMPUTED_VALUE"""),43774.0)</f>
        <v>43774</v>
      </c>
      <c r="J16" s="53">
        <f>IFERROR(__xludf.DUMMYFUNCTION("""COMPUTED_VALUE"""),0.6284722222222222)</f>
        <v>0.6284722222</v>
      </c>
      <c r="K16" s="53">
        <f t="shared" si="1"/>
        <v>0.01388888889</v>
      </c>
      <c r="L16" s="49" t="s">
        <v>109</v>
      </c>
      <c r="M16" s="49"/>
      <c r="N16" s="49"/>
      <c r="O16" s="48"/>
      <c r="P16" s="48"/>
      <c r="Q16" s="63"/>
      <c r="R16" s="49"/>
      <c r="S16" s="49"/>
      <c r="T16" s="49"/>
    </row>
    <row r="17">
      <c r="A17" s="49" t="str">
        <f>IFERROR(__xludf.DUMMYFUNCTION("""COMPUTED_VALUE"""),"Lisbon and the world")</f>
        <v>Lisbon and the world</v>
      </c>
      <c r="B17" s="49" t="str">
        <f>IFERROR(__xludf.DUMMYFUNCTION("""COMPUTED_VALUE"""),"SaaS Monster")</f>
        <v>SaaS Monster</v>
      </c>
      <c r="C17" s="51" t="str">
        <f>IFERROR(__xludf.DUMMYFUNCTION("""COMPUTED_VALUE"""),"John Graham-Cumming and Mariana Barbosa")</f>
        <v>John Graham-Cumming and Mariana Barbosa</v>
      </c>
      <c r="D17" s="49" t="str">
        <f>IFERROR(__xludf.DUMMYFUNCTION("""COMPUTED_VALUE"""),"2019/11/05 15:05:00")</f>
        <v>2019/11/05 15:05:00</v>
      </c>
      <c r="E17" s="49" t="str">
        <f>IFERROR(__xludf.DUMMYFUNCTION("""COMPUTED_VALUE"""),"2019/11/05 15:25:00")</f>
        <v>2019/11/05 15:25:00</v>
      </c>
      <c r="F17" s="49" t="str">
        <f>IFERROR(__xludf.DUMMYFUNCTION("""COMPUTED_VALUE"""),"6496ba34-14e0-4480-ad1f-5c2d82992dc1")</f>
        <v>6496ba34-14e0-4480-ad1f-5c2d82992dc1</v>
      </c>
      <c r="G17" s="52">
        <f>IFERROR(__xludf.DUMMYFUNCTION("""COMPUTED_VALUE"""),43774.0)</f>
        <v>43774</v>
      </c>
      <c r="H17" s="53">
        <f>IFERROR(__xludf.DUMMYFUNCTION("""COMPUTED_VALUE"""),0.6284722222222222)</f>
        <v>0.6284722222</v>
      </c>
      <c r="I17" s="52">
        <f>IFERROR(__xludf.DUMMYFUNCTION("""COMPUTED_VALUE"""),43774.0)</f>
        <v>43774</v>
      </c>
      <c r="J17" s="53">
        <f>IFERROR(__xludf.DUMMYFUNCTION("""COMPUTED_VALUE"""),0.6423611111111112)</f>
        <v>0.6423611111</v>
      </c>
      <c r="K17" s="53">
        <f t="shared" si="1"/>
        <v>0.01388888889</v>
      </c>
      <c r="L17" s="49" t="s">
        <v>109</v>
      </c>
      <c r="M17" s="49"/>
      <c r="N17" s="49"/>
      <c r="O17" s="48"/>
      <c r="P17" s="48"/>
      <c r="Q17" s="63"/>
      <c r="R17" s="49"/>
      <c r="S17" s="49"/>
      <c r="T17" s="49"/>
    </row>
    <row r="18">
      <c r="A18" s="49" t="str">
        <f>IFERROR(__xludf.DUMMYFUNCTION("""COMPUTED_VALUE"""),"The age of AI: Promises and challenges")</f>
        <v>The age of AI: Promises and challenges</v>
      </c>
      <c r="B18" s="49" t="str">
        <f>IFERROR(__xludf.DUMMYFUNCTION("""COMPUTED_VALUE"""),"SaaS Monster")</f>
        <v>SaaS Monster</v>
      </c>
      <c r="C18" s="51" t="str">
        <f>IFERROR(__xludf.DUMMYFUNCTION("""COMPUTED_VALUE"""),"Brad Smith and Sara Fischer")</f>
        <v>Brad Smith and Sara Fischer</v>
      </c>
      <c r="D18" s="49" t="str">
        <f>IFERROR(__xludf.DUMMYFUNCTION("""COMPUTED_VALUE"""),"2019/11/05 15:25:00")</f>
        <v>2019/11/05 15:25:00</v>
      </c>
      <c r="E18" s="49" t="str">
        <f>IFERROR(__xludf.DUMMYFUNCTION("""COMPUTED_VALUE"""),"2019/11/05 15:45:00")</f>
        <v>2019/11/05 15:45:00</v>
      </c>
      <c r="F18" s="49" t="str">
        <f>IFERROR(__xludf.DUMMYFUNCTION("""COMPUTED_VALUE"""),"e7124751-1822-4351-9321-5e8fc558b281")</f>
        <v>e7124751-1822-4351-9321-5e8fc558b281</v>
      </c>
      <c r="G18" s="52">
        <f>IFERROR(__xludf.DUMMYFUNCTION("""COMPUTED_VALUE"""),43774.0)</f>
        <v>43774</v>
      </c>
      <c r="H18" s="53">
        <f>IFERROR(__xludf.DUMMYFUNCTION("""COMPUTED_VALUE"""),0.6423611111111112)</f>
        <v>0.6423611111</v>
      </c>
      <c r="I18" s="52">
        <f>IFERROR(__xludf.DUMMYFUNCTION("""COMPUTED_VALUE"""),43774.0)</f>
        <v>43774</v>
      </c>
      <c r="J18" s="53">
        <f>IFERROR(__xludf.DUMMYFUNCTION("""COMPUTED_VALUE"""),0.65625)</f>
        <v>0.65625</v>
      </c>
      <c r="K18" s="53">
        <f t="shared" si="1"/>
        <v>0.01388888889</v>
      </c>
      <c r="L18" s="49" t="s">
        <v>109</v>
      </c>
      <c r="M18" s="49"/>
      <c r="N18" s="49"/>
      <c r="O18" s="48"/>
      <c r="P18" s="48"/>
      <c r="Q18" s="63"/>
      <c r="R18" s="49"/>
      <c r="S18" s="49"/>
      <c r="T18" s="49"/>
    </row>
    <row r="19">
      <c r="A19" s="49" t="str">
        <f>IFERROR(__xludf.DUMMYFUNCTION("""COMPUTED_VALUE"""),"Unlocking the opportunities with AI in large enterprises")</f>
        <v>Unlocking the opportunities with AI in large enterprises</v>
      </c>
      <c r="B19" s="49" t="str">
        <f>IFERROR(__xludf.DUMMYFUNCTION("""COMPUTED_VALUE"""),"SaaS Monster")</f>
        <v>SaaS Monster</v>
      </c>
      <c r="C19" s="51" t="str">
        <f>IFERROR(__xludf.DUMMYFUNCTION("""COMPUTED_VALUE"""),"Lucy Thomas, John Paul, Barry Panayi, Luis Alveirinho and Princess Beatrice of York")</f>
        <v>Lucy Thomas, John Paul, Barry Panayi, Luis Alveirinho and Princess Beatrice of York</v>
      </c>
      <c r="D19" s="49" t="str">
        <f>IFERROR(__xludf.DUMMYFUNCTION("""COMPUTED_VALUE"""),"2019/11/05 15:45:00")</f>
        <v>2019/11/05 15:45:00</v>
      </c>
      <c r="E19" s="49" t="str">
        <f>IFERROR(__xludf.DUMMYFUNCTION("""COMPUTED_VALUE"""),"2019/11/05 16:05:00")</f>
        <v>2019/11/05 16:05:00</v>
      </c>
      <c r="F19" s="49" t="str">
        <f>IFERROR(__xludf.DUMMYFUNCTION("""COMPUTED_VALUE"""),"8cc845ab-5e39-4ad1-aa5a-d7383ca4e8e1")</f>
        <v>8cc845ab-5e39-4ad1-aa5a-d7383ca4e8e1</v>
      </c>
      <c r="G19" s="52">
        <f>IFERROR(__xludf.DUMMYFUNCTION("""COMPUTED_VALUE"""),43774.0)</f>
        <v>43774</v>
      </c>
      <c r="H19" s="53">
        <f>IFERROR(__xludf.DUMMYFUNCTION("""COMPUTED_VALUE"""),0.65625)</f>
        <v>0.65625</v>
      </c>
      <c r="I19" s="52">
        <f>IFERROR(__xludf.DUMMYFUNCTION("""COMPUTED_VALUE"""),43774.0)</f>
        <v>43774</v>
      </c>
      <c r="J19" s="53">
        <f>IFERROR(__xludf.DUMMYFUNCTION("""COMPUTED_VALUE"""),0.6701388888888888)</f>
        <v>0.6701388889</v>
      </c>
      <c r="K19" s="53">
        <f t="shared" si="1"/>
        <v>0.01388888889</v>
      </c>
      <c r="L19" s="49" t="s">
        <v>109</v>
      </c>
      <c r="M19" s="49"/>
      <c r="N19" s="49"/>
      <c r="O19" s="48"/>
      <c r="P19" s="48"/>
      <c r="Q19" s="63"/>
      <c r="R19" s="49"/>
      <c r="S19" s="49"/>
      <c r="T19" s="49"/>
    </row>
    <row r="20">
      <c r="A20" s="49" t="str">
        <f>IFERROR(__xludf.DUMMYFUNCTION("""COMPUTED_VALUE"""),"Opening Remarks: The world is broken: Four founders who solved problems in their own office with SaaS")</f>
        <v>Opening Remarks: The world is broken: Four founders who solved problems in their own office with SaaS</v>
      </c>
      <c r="B20" s="49" t="str">
        <f>IFERROR(__xludf.DUMMYFUNCTION("""COMPUTED_VALUE"""),"SaaS Monster")</f>
        <v>SaaS Monster</v>
      </c>
      <c r="C20" s="51" t="str">
        <f>IFERROR(__xludf.DUMMYFUNCTION("""COMPUTED_VALUE"""),"Stephen Cummins")</f>
        <v>Stephen Cummins</v>
      </c>
      <c r="D20" s="49" t="str">
        <f>IFERROR(__xludf.DUMMYFUNCTION("""COMPUTED_VALUE"""),"2019/11/06 10:45:00")</f>
        <v>2019/11/06 10:45:00</v>
      </c>
      <c r="E20" s="49" t="str">
        <f>IFERROR(__xludf.DUMMYFUNCTION("""COMPUTED_VALUE"""),"2019/11/06 11:00:00")</f>
        <v>2019/11/06 11:00:00</v>
      </c>
      <c r="F20" s="49" t="str">
        <f>IFERROR(__xludf.DUMMYFUNCTION("""COMPUTED_VALUE"""),"72860cf5-c69d-4def-823c-b25c9fb6cf49")</f>
        <v>72860cf5-c69d-4def-823c-b25c9fb6cf49</v>
      </c>
      <c r="G20" s="52">
        <f>IFERROR(__xludf.DUMMYFUNCTION("""COMPUTED_VALUE"""),43775.0)</f>
        <v>43775</v>
      </c>
      <c r="H20" s="53">
        <f>IFERROR(__xludf.DUMMYFUNCTION("""COMPUTED_VALUE"""),0.4479166666666667)</f>
        <v>0.4479166667</v>
      </c>
      <c r="I20" s="52">
        <f>IFERROR(__xludf.DUMMYFUNCTION("""COMPUTED_VALUE"""),43775.0)</f>
        <v>43775</v>
      </c>
      <c r="J20" s="53">
        <f>IFERROR(__xludf.DUMMYFUNCTION("""COMPUTED_VALUE"""),0.4583333333333333)</f>
        <v>0.4583333333</v>
      </c>
      <c r="K20" s="53">
        <f t="shared" si="1"/>
        <v>0.01041666667</v>
      </c>
      <c r="L20" s="49" t="s">
        <v>118</v>
      </c>
      <c r="M20" s="49"/>
      <c r="N20" s="49"/>
      <c r="O20" s="48"/>
      <c r="P20" s="48"/>
      <c r="Q20" s="63"/>
      <c r="R20" s="49"/>
      <c r="S20" s="49"/>
      <c r="T20" s="49"/>
    </row>
    <row r="21">
      <c r="A21" s="49" t="str">
        <f>IFERROR(__xludf.DUMMYFUNCTION("""COMPUTED_VALUE"""),"Future of work")</f>
        <v>Future of work</v>
      </c>
      <c r="B21" s="49" t="str">
        <f>IFERROR(__xludf.DUMMYFUNCTION("""COMPUTED_VALUE"""),"SaaS Monster")</f>
        <v>SaaS Monster</v>
      </c>
      <c r="C21" s="51" t="str">
        <f>IFERROR(__xludf.DUMMYFUNCTION("""COMPUTED_VALUE"""),"Polina Montano, David Yang, Yancey Spruill, Sarah Nahm and Liam Proud")</f>
        <v>Polina Montano, David Yang, Yancey Spruill, Sarah Nahm and Liam Proud</v>
      </c>
      <c r="D21" s="49" t="str">
        <f>IFERROR(__xludf.DUMMYFUNCTION("""COMPUTED_VALUE"""),"2019/11/06 11:00:00")</f>
        <v>2019/11/06 11:00:00</v>
      </c>
      <c r="E21" s="49" t="str">
        <f>IFERROR(__xludf.DUMMYFUNCTION("""COMPUTED_VALUE"""),"2019/11/06 11:25:00")</f>
        <v>2019/11/06 11:25:00</v>
      </c>
      <c r="F21" s="49" t="str">
        <f>IFERROR(__xludf.DUMMYFUNCTION("""COMPUTED_VALUE"""),"686bb2e4-b91c-4c22-8a5e-f03c67fb0b25")</f>
        <v>686bb2e4-b91c-4c22-8a5e-f03c67fb0b25</v>
      </c>
      <c r="G21" s="52">
        <f>IFERROR(__xludf.DUMMYFUNCTION("""COMPUTED_VALUE"""),43775.0)</f>
        <v>43775</v>
      </c>
      <c r="H21" s="53">
        <f>IFERROR(__xludf.DUMMYFUNCTION("""COMPUTED_VALUE"""),0.4583333333333333)</f>
        <v>0.4583333333</v>
      </c>
      <c r="I21" s="52">
        <f>IFERROR(__xludf.DUMMYFUNCTION("""COMPUTED_VALUE"""),43775.0)</f>
        <v>43775</v>
      </c>
      <c r="J21" s="53">
        <f>IFERROR(__xludf.DUMMYFUNCTION("""COMPUTED_VALUE"""),0.4756944444444444)</f>
        <v>0.4756944444</v>
      </c>
      <c r="K21" s="53">
        <f t="shared" si="1"/>
        <v>0.01736111111</v>
      </c>
      <c r="L21" s="49" t="s">
        <v>111</v>
      </c>
      <c r="M21" s="49"/>
      <c r="N21" s="49"/>
      <c r="O21" s="48"/>
      <c r="P21" s="48"/>
      <c r="Q21" s="63"/>
      <c r="R21" s="49"/>
      <c r="S21" s="49"/>
      <c r="T21" s="49"/>
    </row>
    <row r="22">
      <c r="A22" s="49" t="str">
        <f>IFERROR(__xludf.DUMMYFUNCTION("""COMPUTED_VALUE"""),"Robotics Process Automation, shaping the future of work")</f>
        <v>Robotics Process Automation, shaping the future of work</v>
      </c>
      <c r="B22" s="49" t="str">
        <f>IFERROR(__xludf.DUMMYFUNCTION("""COMPUTED_VALUE"""),"SaaS Monster")</f>
        <v>SaaS Monster</v>
      </c>
      <c r="C22" s="51" t="str">
        <f>IFERROR(__xludf.DUMMYFUNCTION("""COMPUTED_VALUE"""),"Vargha Moayed")</f>
        <v>Vargha Moayed</v>
      </c>
      <c r="D22" s="49" t="str">
        <f>IFERROR(__xludf.DUMMYFUNCTION("""COMPUTED_VALUE"""),"2019/11/06 11:25:00")</f>
        <v>2019/11/06 11:25:00</v>
      </c>
      <c r="E22" s="49" t="str">
        <f>IFERROR(__xludf.DUMMYFUNCTION("""COMPUTED_VALUE"""),"2019/11/06 11:45:00")</f>
        <v>2019/11/06 11:45:00</v>
      </c>
      <c r="F22" s="49" t="str">
        <f>IFERROR(__xludf.DUMMYFUNCTION("""COMPUTED_VALUE"""),"0235c182-6a0f-440a-bbe7-f9aab349aa69")</f>
        <v>0235c182-6a0f-440a-bbe7-f9aab349aa69</v>
      </c>
      <c r="G22" s="52">
        <f>IFERROR(__xludf.DUMMYFUNCTION("""COMPUTED_VALUE"""),43775.0)</f>
        <v>43775</v>
      </c>
      <c r="H22" s="53">
        <f>IFERROR(__xludf.DUMMYFUNCTION("""COMPUTED_VALUE"""),0.4756944444444444)</f>
        <v>0.4756944444</v>
      </c>
      <c r="I22" s="52">
        <f>IFERROR(__xludf.DUMMYFUNCTION("""COMPUTED_VALUE"""),43775.0)</f>
        <v>43775</v>
      </c>
      <c r="J22" s="53">
        <f>IFERROR(__xludf.DUMMYFUNCTION("""COMPUTED_VALUE"""),0.4895833333333333)</f>
        <v>0.4895833333</v>
      </c>
      <c r="K22" s="53">
        <f t="shared" si="1"/>
        <v>0.01388888889</v>
      </c>
      <c r="L22" s="49" t="s">
        <v>109</v>
      </c>
      <c r="M22" s="49"/>
      <c r="N22" s="49"/>
      <c r="O22" s="48"/>
      <c r="P22" s="48"/>
      <c r="Q22" s="63"/>
      <c r="R22" s="49"/>
      <c r="S22" s="49"/>
      <c r="T22" s="49"/>
    </row>
    <row r="23">
      <c r="A23" s="49" t="str">
        <f>IFERROR(__xludf.DUMMYFUNCTION("""COMPUTED_VALUE"""),"Predicting tomorrow's megatrends for a better today")</f>
        <v>Predicting tomorrow's megatrends for a better today</v>
      </c>
      <c r="B23" s="49" t="str">
        <f>IFERROR(__xludf.DUMMYFUNCTION("""COMPUTED_VALUE"""),"SaaS Monster")</f>
        <v>SaaS Monster</v>
      </c>
      <c r="C23" s="51" t="str">
        <f>IFERROR(__xludf.DUMMYFUNCTION("""COMPUTED_VALUE"""),"Shane Wall and Rob Pegoraro")</f>
        <v>Shane Wall and Rob Pegoraro</v>
      </c>
      <c r="D23" s="49" t="str">
        <f>IFERROR(__xludf.DUMMYFUNCTION("""COMPUTED_VALUE"""),"2019/11/06 11:45:00")</f>
        <v>2019/11/06 11:45:00</v>
      </c>
      <c r="E23" s="49" t="str">
        <f>IFERROR(__xludf.DUMMYFUNCTION("""COMPUTED_VALUE"""),"2019/11/06 12:05:00")</f>
        <v>2019/11/06 12:05:00</v>
      </c>
      <c r="F23" s="49" t="str">
        <f>IFERROR(__xludf.DUMMYFUNCTION("""COMPUTED_VALUE"""),"1cd4494f-0692-4dc3-a33b-8f1a29633bf0")</f>
        <v>1cd4494f-0692-4dc3-a33b-8f1a29633bf0</v>
      </c>
      <c r="G23" s="52">
        <f>IFERROR(__xludf.DUMMYFUNCTION("""COMPUTED_VALUE"""),43775.0)</f>
        <v>43775</v>
      </c>
      <c r="H23" s="53">
        <f>IFERROR(__xludf.DUMMYFUNCTION("""COMPUTED_VALUE"""),0.4895833333333333)</f>
        <v>0.4895833333</v>
      </c>
      <c r="I23" s="52">
        <f>IFERROR(__xludf.DUMMYFUNCTION("""COMPUTED_VALUE"""),43775.0)</f>
        <v>43775</v>
      </c>
      <c r="J23" s="53">
        <f>IFERROR(__xludf.DUMMYFUNCTION("""COMPUTED_VALUE"""),0.5034722222222222)</f>
        <v>0.5034722222</v>
      </c>
      <c r="K23" s="53">
        <f t="shared" si="1"/>
        <v>0.01388888889</v>
      </c>
      <c r="L23" s="49" t="s">
        <v>109</v>
      </c>
      <c r="M23" s="49"/>
      <c r="N23" s="49"/>
      <c r="O23" s="48"/>
      <c r="P23" s="48"/>
      <c r="Q23" s="63"/>
      <c r="R23" s="49"/>
      <c r="S23" s="49"/>
      <c r="T23" s="49"/>
    </row>
    <row r="24">
      <c r="A24" s="49" t="str">
        <f>IFERROR(__xludf.DUMMYFUNCTION("""COMPUTED_VALUE"""),"The future of digital identity in the era of digital transformation")</f>
        <v>The future of digital identity in the era of digital transformation</v>
      </c>
      <c r="B24" s="49" t="str">
        <f>IFERROR(__xludf.DUMMYFUNCTION("""COMPUTED_VALUE"""),"SaaS Monster")</f>
        <v>SaaS Monster</v>
      </c>
      <c r="C24" s="51" t="str">
        <f>IFERROR(__xludf.DUMMYFUNCTION("""COMPUTED_VALUE"""),"Dr. Zulfikar Ramzan")</f>
        <v>Dr. Zulfikar Ramzan</v>
      </c>
      <c r="D24" s="49" t="str">
        <f>IFERROR(__xludf.DUMMYFUNCTION("""COMPUTED_VALUE"""),"2019/11/06 12:05:00")</f>
        <v>2019/11/06 12:05:00</v>
      </c>
      <c r="E24" s="49" t="str">
        <f>IFERROR(__xludf.DUMMYFUNCTION("""COMPUTED_VALUE"""),"2019/11/06 12:25:00")</f>
        <v>2019/11/06 12:25:00</v>
      </c>
      <c r="F24" s="49" t="str">
        <f>IFERROR(__xludf.DUMMYFUNCTION("""COMPUTED_VALUE"""),"93e6e57c-3328-4880-9964-5435c1a5a20e")</f>
        <v>93e6e57c-3328-4880-9964-5435c1a5a20e</v>
      </c>
      <c r="G24" s="52">
        <f>IFERROR(__xludf.DUMMYFUNCTION("""COMPUTED_VALUE"""),43775.0)</f>
        <v>43775</v>
      </c>
      <c r="H24" s="53">
        <f>IFERROR(__xludf.DUMMYFUNCTION("""COMPUTED_VALUE"""),0.5034722222222222)</f>
        <v>0.5034722222</v>
      </c>
      <c r="I24" s="52">
        <f>IFERROR(__xludf.DUMMYFUNCTION("""COMPUTED_VALUE"""),43775.0)</f>
        <v>43775</v>
      </c>
      <c r="J24" s="53">
        <f>IFERROR(__xludf.DUMMYFUNCTION("""COMPUTED_VALUE"""),0.5173611111111112)</f>
        <v>0.5173611111</v>
      </c>
      <c r="K24" s="53">
        <f t="shared" si="1"/>
        <v>0.01388888889</v>
      </c>
      <c r="L24" s="49" t="s">
        <v>109</v>
      </c>
      <c r="M24" s="49"/>
      <c r="N24" s="49"/>
      <c r="O24" s="48"/>
      <c r="P24" s="48"/>
      <c r="Q24" s="63"/>
      <c r="R24" s="49"/>
      <c r="S24" s="49"/>
      <c r="T24" s="49"/>
    </row>
    <row r="25">
      <c r="A25" s="49" t="str">
        <f>IFERROR(__xludf.DUMMYFUNCTION("""COMPUTED_VALUE"""),"How to build digital relationships with your customers")</f>
        <v>How to build digital relationships with your customers</v>
      </c>
      <c r="B25" s="49" t="str">
        <f>IFERROR(__xludf.DUMMYFUNCTION("""COMPUTED_VALUE"""),"SaaS Monster")</f>
        <v>SaaS Monster</v>
      </c>
      <c r="C25" s="51" t="str">
        <f>IFERROR(__xludf.DUMMYFUNCTION("""COMPUTED_VALUE"""),"Sara Varni, Mada Seghete and Don Clark")</f>
        <v>Sara Varni, Mada Seghete and Don Clark</v>
      </c>
      <c r="D25" s="49" t="str">
        <f>IFERROR(__xludf.DUMMYFUNCTION("""COMPUTED_VALUE"""),"2019/11/06 12:25:00")</f>
        <v>2019/11/06 12:25:00</v>
      </c>
      <c r="E25" s="49" t="str">
        <f>IFERROR(__xludf.DUMMYFUNCTION("""COMPUTED_VALUE"""),"2019/11/06 12:45:00")</f>
        <v>2019/11/06 12:45:00</v>
      </c>
      <c r="F25" s="49" t="str">
        <f>IFERROR(__xludf.DUMMYFUNCTION("""COMPUTED_VALUE"""),"205f40c5-452b-41fd-aaef-c7f7f299720e")</f>
        <v>205f40c5-452b-41fd-aaef-c7f7f299720e</v>
      </c>
      <c r="G25" s="52">
        <f>IFERROR(__xludf.DUMMYFUNCTION("""COMPUTED_VALUE"""),43775.0)</f>
        <v>43775</v>
      </c>
      <c r="H25" s="53">
        <f>IFERROR(__xludf.DUMMYFUNCTION("""COMPUTED_VALUE"""),0.5173611111111112)</f>
        <v>0.5173611111</v>
      </c>
      <c r="I25" s="52">
        <f>IFERROR(__xludf.DUMMYFUNCTION("""COMPUTED_VALUE"""),43775.0)</f>
        <v>43775</v>
      </c>
      <c r="J25" s="53">
        <f>IFERROR(__xludf.DUMMYFUNCTION("""COMPUTED_VALUE"""),0.53125)</f>
        <v>0.53125</v>
      </c>
      <c r="K25" s="53">
        <f t="shared" si="1"/>
        <v>0.01388888889</v>
      </c>
      <c r="L25" s="49" t="s">
        <v>109</v>
      </c>
      <c r="M25" s="49"/>
      <c r="N25" s="49"/>
      <c r="O25" s="48"/>
      <c r="P25" s="48"/>
      <c r="Q25" s="63"/>
      <c r="R25" s="49"/>
      <c r="S25" s="49"/>
      <c r="T25" s="49"/>
    </row>
    <row r="26">
      <c r="A26" s="49" t="str">
        <f>IFERROR(__xludf.DUMMYFUNCTION("""COMPUTED_VALUE"""),"Lunch break")</f>
        <v>Lunch break</v>
      </c>
      <c r="B26" s="49" t="str">
        <f>IFERROR(__xludf.DUMMYFUNCTION("""COMPUTED_VALUE"""),"SaaS Monster")</f>
        <v>SaaS Monster</v>
      </c>
      <c r="C26" s="51" t="str">
        <f>IFERROR(__xludf.DUMMYFUNCTION("""COMPUTED_VALUE"""),"")</f>
        <v/>
      </c>
      <c r="D26" s="49" t="str">
        <f>IFERROR(__xludf.DUMMYFUNCTION("""COMPUTED_VALUE"""),"2019/11/06 12:45:00")</f>
        <v>2019/11/06 12:45:00</v>
      </c>
      <c r="E26" s="49" t="str">
        <f>IFERROR(__xludf.DUMMYFUNCTION("""COMPUTED_VALUE"""),"2019/11/06 13:30:00")</f>
        <v>2019/11/06 13:30:00</v>
      </c>
      <c r="F26" s="49" t="str">
        <f>IFERROR(__xludf.DUMMYFUNCTION("""COMPUTED_VALUE"""),"37351a59-e19e-47dc-9537-3f9a33efef30")</f>
        <v>37351a59-e19e-47dc-9537-3f9a33efef30</v>
      </c>
      <c r="G26" s="52">
        <f>IFERROR(__xludf.DUMMYFUNCTION("""COMPUTED_VALUE"""),43775.0)</f>
        <v>43775</v>
      </c>
      <c r="H26" s="53">
        <f>IFERROR(__xludf.DUMMYFUNCTION("""COMPUTED_VALUE"""),0.53125)</f>
        <v>0.53125</v>
      </c>
      <c r="I26" s="52">
        <f>IFERROR(__xludf.DUMMYFUNCTION("""COMPUTED_VALUE"""),43775.0)</f>
        <v>43775</v>
      </c>
      <c r="J26" s="53">
        <f>IFERROR(__xludf.DUMMYFUNCTION("""COMPUTED_VALUE"""),0.5625)</f>
        <v>0.5625</v>
      </c>
      <c r="K26" s="53">
        <f t="shared" si="1"/>
        <v>0.03125</v>
      </c>
      <c r="L26" s="49" t="s">
        <v>127</v>
      </c>
      <c r="M26" s="49"/>
      <c r="N26" s="49"/>
      <c r="O26" s="48"/>
      <c r="P26" s="48"/>
      <c r="Q26" s="63"/>
      <c r="R26" s="49"/>
      <c r="S26" s="49"/>
      <c r="T26" s="49"/>
    </row>
    <row r="27">
      <c r="A27" s="49" t="str">
        <f>IFERROR(__xludf.DUMMYFUNCTION("""COMPUTED_VALUE"""),"Opening remarks")</f>
        <v>Opening remarks</v>
      </c>
      <c r="B27" s="49" t="str">
        <f>IFERROR(__xludf.DUMMYFUNCTION("""COMPUTED_VALUE"""),"SaaS Monster")</f>
        <v>SaaS Monster</v>
      </c>
      <c r="C27" s="51" t="str">
        <f>IFERROR(__xludf.DUMMYFUNCTION("""COMPUTED_VALUE"""),"Mandy Gilbert")</f>
        <v>Mandy Gilbert</v>
      </c>
      <c r="D27" s="49" t="str">
        <f>IFERROR(__xludf.DUMMYFUNCTION("""COMPUTED_VALUE"""),"2019/11/06 13:30:00")</f>
        <v>2019/11/06 13:30:00</v>
      </c>
      <c r="E27" s="49" t="str">
        <f>IFERROR(__xludf.DUMMYFUNCTION("""COMPUTED_VALUE"""),"2019/11/06 13:40:00")</f>
        <v>2019/11/06 13:40:00</v>
      </c>
      <c r="F27" s="49" t="str">
        <f>IFERROR(__xludf.DUMMYFUNCTION("""COMPUTED_VALUE"""),"1d5b0336-6b60-4a9e-8b29-ed010c0e5746")</f>
        <v>1d5b0336-6b60-4a9e-8b29-ed010c0e5746</v>
      </c>
      <c r="G27" s="52">
        <f>IFERROR(__xludf.DUMMYFUNCTION("""COMPUTED_VALUE"""),43775.0)</f>
        <v>43775</v>
      </c>
      <c r="H27" s="53">
        <f>IFERROR(__xludf.DUMMYFUNCTION("""COMPUTED_VALUE"""),0.5625)</f>
        <v>0.5625</v>
      </c>
      <c r="I27" s="52">
        <f>IFERROR(__xludf.DUMMYFUNCTION("""COMPUTED_VALUE"""),43775.0)</f>
        <v>43775</v>
      </c>
      <c r="J27" s="53">
        <f>IFERROR(__xludf.DUMMYFUNCTION("""COMPUTED_VALUE"""),0.5694444444444444)</f>
        <v>0.5694444444</v>
      </c>
      <c r="K27" s="53">
        <f t="shared" si="1"/>
        <v>0.006944444444</v>
      </c>
      <c r="L27" s="49" t="s">
        <v>122</v>
      </c>
      <c r="M27" s="49"/>
      <c r="N27" s="49"/>
      <c r="O27" s="48"/>
      <c r="P27" s="48"/>
      <c r="Q27" s="63"/>
      <c r="R27" s="49"/>
      <c r="S27" s="49"/>
      <c r="T27" s="49"/>
    </row>
    <row r="28">
      <c r="A28" s="49" t="str">
        <f>IFERROR(__xludf.DUMMYFUNCTION("""COMPUTED_VALUE"""),"Myths and facts: Everyone has an AI story")</f>
        <v>Myths and facts: Everyone has an AI story</v>
      </c>
      <c r="B28" s="49" t="str">
        <f>IFERROR(__xludf.DUMMYFUNCTION("""COMPUTED_VALUE"""),"SaaS Monster")</f>
        <v>SaaS Monster</v>
      </c>
      <c r="C28" s="51" t="str">
        <f>IFERROR(__xludf.DUMMYFUNCTION("""COMPUTED_VALUE"""),"David Cancel, Sudheesh Nair, Falon Fatemi and Jeremy Kahn")</f>
        <v>David Cancel, Sudheesh Nair, Falon Fatemi and Jeremy Kahn</v>
      </c>
      <c r="D28" s="49" t="str">
        <f>IFERROR(__xludf.DUMMYFUNCTION("""COMPUTED_VALUE"""),"2019/11/06 13:40:00")</f>
        <v>2019/11/06 13:40:00</v>
      </c>
      <c r="E28" s="49" t="str">
        <f>IFERROR(__xludf.DUMMYFUNCTION("""COMPUTED_VALUE"""),"2019/11/06 14:00:00")</f>
        <v>2019/11/06 14:00:00</v>
      </c>
      <c r="F28" s="49" t="str">
        <f>IFERROR(__xludf.DUMMYFUNCTION("""COMPUTED_VALUE"""),"a337a32f-0332-4cb1-85f2-e3afa5259bec")</f>
        <v>a337a32f-0332-4cb1-85f2-e3afa5259bec</v>
      </c>
      <c r="G28" s="52">
        <f>IFERROR(__xludf.DUMMYFUNCTION("""COMPUTED_VALUE"""),43775.0)</f>
        <v>43775</v>
      </c>
      <c r="H28" s="53">
        <f>IFERROR(__xludf.DUMMYFUNCTION("""COMPUTED_VALUE"""),0.5694444444444444)</f>
        <v>0.5694444444</v>
      </c>
      <c r="I28" s="52">
        <f>IFERROR(__xludf.DUMMYFUNCTION("""COMPUTED_VALUE"""),43775.0)</f>
        <v>43775</v>
      </c>
      <c r="J28" s="53">
        <f>IFERROR(__xludf.DUMMYFUNCTION("""COMPUTED_VALUE"""),0.5833333333333334)</f>
        <v>0.5833333333</v>
      </c>
      <c r="K28" s="53">
        <f t="shared" si="1"/>
        <v>0.01388888889</v>
      </c>
      <c r="L28" s="49" t="s">
        <v>109</v>
      </c>
      <c r="M28" s="49"/>
      <c r="N28" s="49"/>
      <c r="O28" s="48"/>
      <c r="P28" s="48"/>
      <c r="Q28" s="63"/>
      <c r="R28" s="49"/>
      <c r="S28" s="49"/>
      <c r="T28" s="49"/>
    </row>
    <row r="29">
      <c r="A29" s="49" t="str">
        <f>IFERROR(__xludf.DUMMYFUNCTION("""COMPUTED_VALUE"""),"How to compete against the big guns")</f>
        <v>How to compete against the big guns</v>
      </c>
      <c r="B29" s="49" t="str">
        <f>IFERROR(__xludf.DUMMYFUNCTION("""COMPUTED_VALUE"""),"SaaS Monster")</f>
        <v>SaaS Monster</v>
      </c>
      <c r="C29" s="51" t="str">
        <f>IFERROR(__xludf.DUMMYFUNCTION("""COMPUTED_VALUE"""),"Octave Klaba and John Rampton")</f>
        <v>Octave Klaba and John Rampton</v>
      </c>
      <c r="D29" s="49" t="str">
        <f>IFERROR(__xludf.DUMMYFUNCTION("""COMPUTED_VALUE"""),"2019/11/06 14:00:00")</f>
        <v>2019/11/06 14:00:00</v>
      </c>
      <c r="E29" s="49" t="str">
        <f>IFERROR(__xludf.DUMMYFUNCTION("""COMPUTED_VALUE"""),"2019/11/06 14:20:00")</f>
        <v>2019/11/06 14:20:00</v>
      </c>
      <c r="F29" s="49" t="str">
        <f>IFERROR(__xludf.DUMMYFUNCTION("""COMPUTED_VALUE"""),"d6335c5b-311b-4700-b362-bd8c4fc66bc5")</f>
        <v>d6335c5b-311b-4700-b362-bd8c4fc66bc5</v>
      </c>
      <c r="G29" s="52">
        <f>IFERROR(__xludf.DUMMYFUNCTION("""COMPUTED_VALUE"""),43775.0)</f>
        <v>43775</v>
      </c>
      <c r="H29" s="53">
        <f>IFERROR(__xludf.DUMMYFUNCTION("""COMPUTED_VALUE"""),0.5833333333333334)</f>
        <v>0.5833333333</v>
      </c>
      <c r="I29" s="52">
        <f>IFERROR(__xludf.DUMMYFUNCTION("""COMPUTED_VALUE"""),43775.0)</f>
        <v>43775</v>
      </c>
      <c r="J29" s="53">
        <f>IFERROR(__xludf.DUMMYFUNCTION("""COMPUTED_VALUE"""),0.5972222222222222)</f>
        <v>0.5972222222</v>
      </c>
      <c r="K29" s="53">
        <f t="shared" si="1"/>
        <v>0.01388888889</v>
      </c>
      <c r="L29" s="49" t="s">
        <v>109</v>
      </c>
      <c r="M29" s="49"/>
      <c r="N29" s="49"/>
      <c r="O29" s="48"/>
      <c r="P29" s="48"/>
      <c r="Q29" s="63"/>
      <c r="R29" s="49"/>
      <c r="S29" s="49"/>
      <c r="T29" s="49"/>
    </row>
    <row r="30">
      <c r="A30" s="49" t="str">
        <f>IFERROR(__xludf.DUMMYFUNCTION("""COMPUTED_VALUE"""),"Winter is here")</f>
        <v>Winter is here</v>
      </c>
      <c r="B30" s="49" t="str">
        <f>IFERROR(__xludf.DUMMYFUNCTION("""COMPUTED_VALUE"""),"SaaS Monster")</f>
        <v>SaaS Monster</v>
      </c>
      <c r="C30" s="51" t="str">
        <f>IFERROR(__xludf.DUMMYFUNCTION("""COMPUTED_VALUE"""),"Christina Bechhold Russ, Rashmi Gopinath, Philippe Botteri and Peter Thal Larsen")</f>
        <v>Christina Bechhold Russ, Rashmi Gopinath, Philippe Botteri and Peter Thal Larsen</v>
      </c>
      <c r="D30" s="49" t="str">
        <f>IFERROR(__xludf.DUMMYFUNCTION("""COMPUTED_VALUE"""),"2019/11/06 14:20:00")</f>
        <v>2019/11/06 14:20:00</v>
      </c>
      <c r="E30" s="49" t="str">
        <f>IFERROR(__xludf.DUMMYFUNCTION("""COMPUTED_VALUE"""),"2019/11/06 14:45:00")</f>
        <v>2019/11/06 14:45:00</v>
      </c>
      <c r="F30" s="49" t="str">
        <f>IFERROR(__xludf.DUMMYFUNCTION("""COMPUTED_VALUE"""),"c2a1daa1-bf62-4720-bb17-1d620e401f3a")</f>
        <v>c2a1daa1-bf62-4720-bb17-1d620e401f3a</v>
      </c>
      <c r="G30" s="52">
        <f>IFERROR(__xludf.DUMMYFUNCTION("""COMPUTED_VALUE"""),43775.0)</f>
        <v>43775</v>
      </c>
      <c r="H30" s="53">
        <f>IFERROR(__xludf.DUMMYFUNCTION("""COMPUTED_VALUE"""),0.5972222222222222)</f>
        <v>0.5972222222</v>
      </c>
      <c r="I30" s="52">
        <f>IFERROR(__xludf.DUMMYFUNCTION("""COMPUTED_VALUE"""),43775.0)</f>
        <v>43775</v>
      </c>
      <c r="J30" s="53">
        <f>IFERROR(__xludf.DUMMYFUNCTION("""COMPUTED_VALUE"""),0.6145833333333334)</f>
        <v>0.6145833333</v>
      </c>
      <c r="K30" s="53">
        <f t="shared" si="1"/>
        <v>0.01736111111</v>
      </c>
      <c r="L30" s="49" t="s">
        <v>111</v>
      </c>
      <c r="M30" s="49"/>
      <c r="N30" s="49"/>
      <c r="O30" s="48"/>
      <c r="P30" s="48"/>
      <c r="Q30" s="63"/>
      <c r="R30" s="49"/>
      <c r="S30" s="49"/>
      <c r="T30" s="49"/>
    </row>
    <row r="31">
      <c r="A31" s="49" t="str">
        <f>IFERROR(__xludf.DUMMYFUNCTION("""COMPUTED_VALUE"""),"Innovation and regulation: The EU takes on Silicon Valley ")</f>
        <v>Innovation and regulation: The EU takes on Silicon Valley </v>
      </c>
      <c r="B31" s="49" t="str">
        <f>IFERROR(__xludf.DUMMYFUNCTION("""COMPUTED_VALUE"""),"SaaS Monster")</f>
        <v>SaaS Monster</v>
      </c>
      <c r="C31" s="51" t="str">
        <f>IFERROR(__xludf.DUMMYFUNCTION("""COMPUTED_VALUE"""),"Emmanuel Schalit and Nicholas Vinocur")</f>
        <v>Emmanuel Schalit and Nicholas Vinocur</v>
      </c>
      <c r="D31" s="49" t="str">
        <f>IFERROR(__xludf.DUMMYFUNCTION("""COMPUTED_VALUE"""),"2019/11/06 14:45:00")</f>
        <v>2019/11/06 14:45:00</v>
      </c>
      <c r="E31" s="49" t="str">
        <f>IFERROR(__xludf.DUMMYFUNCTION("""COMPUTED_VALUE"""),"2019/11/06 15:05:00")</f>
        <v>2019/11/06 15:05:00</v>
      </c>
      <c r="F31" s="49" t="str">
        <f>IFERROR(__xludf.DUMMYFUNCTION("""COMPUTED_VALUE"""),"6f83107c-c233-4251-967d-13e881b14d20")</f>
        <v>6f83107c-c233-4251-967d-13e881b14d20</v>
      </c>
      <c r="G31" s="52">
        <f>IFERROR(__xludf.DUMMYFUNCTION("""COMPUTED_VALUE"""),43775.0)</f>
        <v>43775</v>
      </c>
      <c r="H31" s="53">
        <f>IFERROR(__xludf.DUMMYFUNCTION("""COMPUTED_VALUE"""),0.6145833333333334)</f>
        <v>0.6145833333</v>
      </c>
      <c r="I31" s="52">
        <f>IFERROR(__xludf.DUMMYFUNCTION("""COMPUTED_VALUE"""),43775.0)</f>
        <v>43775</v>
      </c>
      <c r="J31" s="53">
        <f>IFERROR(__xludf.DUMMYFUNCTION("""COMPUTED_VALUE"""),0.6284722222222222)</f>
        <v>0.6284722222</v>
      </c>
      <c r="K31" s="53">
        <f t="shared" si="1"/>
        <v>0.01388888889</v>
      </c>
      <c r="L31" s="49" t="s">
        <v>109</v>
      </c>
      <c r="M31" s="49"/>
      <c r="N31" s="49"/>
      <c r="O31" s="48"/>
      <c r="P31" s="48"/>
      <c r="Q31" s="63"/>
      <c r="R31" s="49"/>
      <c r="S31" s="49"/>
      <c r="T31" s="49"/>
    </row>
    <row r="32">
      <c r="A32" s="49" t="str">
        <f>IFERROR(__xludf.DUMMYFUNCTION("""COMPUTED_VALUE"""),"Security and SaaS: Privacy-first culture")</f>
        <v>Security and SaaS: Privacy-first culture</v>
      </c>
      <c r="B32" s="49" t="str">
        <f>IFERROR(__xludf.DUMMYFUNCTION("""COMPUTED_VALUE"""),"SaaS Monster")</f>
        <v>SaaS Monster</v>
      </c>
      <c r="C32" s="51" t="str">
        <f>IFERROR(__xludf.DUMMYFUNCTION("""COMPUTED_VALUE"""),"Calvin French-Owen and Dermot Williams")</f>
        <v>Calvin French-Owen and Dermot Williams</v>
      </c>
      <c r="D32" s="49" t="str">
        <f>IFERROR(__xludf.DUMMYFUNCTION("""COMPUTED_VALUE"""),"2019/11/06 15:05:00")</f>
        <v>2019/11/06 15:05:00</v>
      </c>
      <c r="E32" s="49" t="str">
        <f>IFERROR(__xludf.DUMMYFUNCTION("""COMPUTED_VALUE"""),"2019/11/06 15:25:00")</f>
        <v>2019/11/06 15:25:00</v>
      </c>
      <c r="F32" s="49" t="str">
        <f>IFERROR(__xludf.DUMMYFUNCTION("""COMPUTED_VALUE"""),"fa77150e-8eb7-4899-9748-0400e23acece")</f>
        <v>fa77150e-8eb7-4899-9748-0400e23acece</v>
      </c>
      <c r="G32" s="52">
        <f>IFERROR(__xludf.DUMMYFUNCTION("""COMPUTED_VALUE"""),43775.0)</f>
        <v>43775</v>
      </c>
      <c r="H32" s="53">
        <f>IFERROR(__xludf.DUMMYFUNCTION("""COMPUTED_VALUE"""),0.6284722222222222)</f>
        <v>0.6284722222</v>
      </c>
      <c r="I32" s="52">
        <f>IFERROR(__xludf.DUMMYFUNCTION("""COMPUTED_VALUE"""),43775.0)</f>
        <v>43775</v>
      </c>
      <c r="J32" s="53">
        <f>IFERROR(__xludf.DUMMYFUNCTION("""COMPUTED_VALUE"""),0.6423611111111112)</f>
        <v>0.6423611111</v>
      </c>
      <c r="K32" s="53">
        <f t="shared" si="1"/>
        <v>0.01388888889</v>
      </c>
      <c r="L32" s="49" t="s">
        <v>109</v>
      </c>
      <c r="M32" s="49"/>
      <c r="N32" s="49"/>
      <c r="O32" s="48"/>
      <c r="P32" s="48"/>
      <c r="Q32" s="63"/>
      <c r="R32" s="49"/>
      <c r="S32" s="49"/>
      <c r="T32" s="49"/>
    </row>
    <row r="33">
      <c r="A33" s="49" t="str">
        <f>IFERROR(__xludf.DUMMYFUNCTION("""COMPUTED_VALUE"""),"Hybrid cloud to rule them all")</f>
        <v>Hybrid cloud to rule them all</v>
      </c>
      <c r="B33" s="49" t="str">
        <f>IFERROR(__xludf.DUMMYFUNCTION("""COMPUTED_VALUE"""),"SaaS Monster")</f>
        <v>SaaS Monster</v>
      </c>
      <c r="C33" s="51" t="str">
        <f>IFERROR(__xludf.DUMMYFUNCTION("""COMPUTED_VALUE"""),"John Granger and John Rampton")</f>
        <v>John Granger and John Rampton</v>
      </c>
      <c r="D33" s="49" t="str">
        <f>IFERROR(__xludf.DUMMYFUNCTION("""COMPUTED_VALUE"""),"2019/11/06 15:25:00")</f>
        <v>2019/11/06 15:25:00</v>
      </c>
      <c r="E33" s="49" t="str">
        <f>IFERROR(__xludf.DUMMYFUNCTION("""COMPUTED_VALUE"""),"2019/11/06 15:45:00")</f>
        <v>2019/11/06 15:45:00</v>
      </c>
      <c r="F33" s="49" t="str">
        <f>IFERROR(__xludf.DUMMYFUNCTION("""COMPUTED_VALUE"""),"d6c9a225-360d-49ee-9130-92b024745e88")</f>
        <v>d6c9a225-360d-49ee-9130-92b024745e88</v>
      </c>
      <c r="G33" s="52">
        <f>IFERROR(__xludf.DUMMYFUNCTION("""COMPUTED_VALUE"""),43775.0)</f>
        <v>43775</v>
      </c>
      <c r="H33" s="53">
        <f>IFERROR(__xludf.DUMMYFUNCTION("""COMPUTED_VALUE"""),0.6423611111111112)</f>
        <v>0.6423611111</v>
      </c>
      <c r="I33" s="52">
        <f>IFERROR(__xludf.DUMMYFUNCTION("""COMPUTED_VALUE"""),43775.0)</f>
        <v>43775</v>
      </c>
      <c r="J33" s="53">
        <f>IFERROR(__xludf.DUMMYFUNCTION("""COMPUTED_VALUE"""),0.65625)</f>
        <v>0.65625</v>
      </c>
      <c r="K33" s="53">
        <f t="shared" si="1"/>
        <v>0.01388888889</v>
      </c>
      <c r="L33" s="49" t="s">
        <v>109</v>
      </c>
      <c r="M33" s="49"/>
      <c r="N33" s="49"/>
      <c r="O33" s="48"/>
      <c r="P33" s="48"/>
      <c r="Q33" s="63"/>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f t="shared" si="1"/>
        <v>0</v>
      </c>
      <c r="L34" s="49" t="s">
        <v>255</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f t="shared" si="1"/>
        <v>0</v>
      </c>
      <c r="L35" s="49" t="s">
        <v>255</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f t="shared" si="1"/>
        <v>0</v>
      </c>
      <c r="L36" s="49" t="s">
        <v>255</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f t="shared" si="1"/>
        <v>0</v>
      </c>
      <c r="L37" s="49" t="s">
        <v>255</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f t="shared" si="1"/>
        <v>0</v>
      </c>
      <c r="L38" s="49" t="s">
        <v>255</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f t="shared" si="1"/>
        <v>0</v>
      </c>
      <c r="L39" s="49" t="s">
        <v>255</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f t="shared" si="1"/>
        <v>0</v>
      </c>
      <c r="L40" s="49" t="s">
        <v>255</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f t="shared" si="1"/>
        <v>0</v>
      </c>
      <c r="L41" s="49" t="s">
        <v>255</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f t="shared" si="1"/>
        <v>0</v>
      </c>
      <c r="L42" s="49" t="s">
        <v>255</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f t="shared" si="1"/>
        <v>0</v>
      </c>
      <c r="L43" s="49" t="s">
        <v>255</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f t="shared" si="1"/>
        <v>0</v>
      </c>
      <c r="L44" s="49" t="s">
        <v>255</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255</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255</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255</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255</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255</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255</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255</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255</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255</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255</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255</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255</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255</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255</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255</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255</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255</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255</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255</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255</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255</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255</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255</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255</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255</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255</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255</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255</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255</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255</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255</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255</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255</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255</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255</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255</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255</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255</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255</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255</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255</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255</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255</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255</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255</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255</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255</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255</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255</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255</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255</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255</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255</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255</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255</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255</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255</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255</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255</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255</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255</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255</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255</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255</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255</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255</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255</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255</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255</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255</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255</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255</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255</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255</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255</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255</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255</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255</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255</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255</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255</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255</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255</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255</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255</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255</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255</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255</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255</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255</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255</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255</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255</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255</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255</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255</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255</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255</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255</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255</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255</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255</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255</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255</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255</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255</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255</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255</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255</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255</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255</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255</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255</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255</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255</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255</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255</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255</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255</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255</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255</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255</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255</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255</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255</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255</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255</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255</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255</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255</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255</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255</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255</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255</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255</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255</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255</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255</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255</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255</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255</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255</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255</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255</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255</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255</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255</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255</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255</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255</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255</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255</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255</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255</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255</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255</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255</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255</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255</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255</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255</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255</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255</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255</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255</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255</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255</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255</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255</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255</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255</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255</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255</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255</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255</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255</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255</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255</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255</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255</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255</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255</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255</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255</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255</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255</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255</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255</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255</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255</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255</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255</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255</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255</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255</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255</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255</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255</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255</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255</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255</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255</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255</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255</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255</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255</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255</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255</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255</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255</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255</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255</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255</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255</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255</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255</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255</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255</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255</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255</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255</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255</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255</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255</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255</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255</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255</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255</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255</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255</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255</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255</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255</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255</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255</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255</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255</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255</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255</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255</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255</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255</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255</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255</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255</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255</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255</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255</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255</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255</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255</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255</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255</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255</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255</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255</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255</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255</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255</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255</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255</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255</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255</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255</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255</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255</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255</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255</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255</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255</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255</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255</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255</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255</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255</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255</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255</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255</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255</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255</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255</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255</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255</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255</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255</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255</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255</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255</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255</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255</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255</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255</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255</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255</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255</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255</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255</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255</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255</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255</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255</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255</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255</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255</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255</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255</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255</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255</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255</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255</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255</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255</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255</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255</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255</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255</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255</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255</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255</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255</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255</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255</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255</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255</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255</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255</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255</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255</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255</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255</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255</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255</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255</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255</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255</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255</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255</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255</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255</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255</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255</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255</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255</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255</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255</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255</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255</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255</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255</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255</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255</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255</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255</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255</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255</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255</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255</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255</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255</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255</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255</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255</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255</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255</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255</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255</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255</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255</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255</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255</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255</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255</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255</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255</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255</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255</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255</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255</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255</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255</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255</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255</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255</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255</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255</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255</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255</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255</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255</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255</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255</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255</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255</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255</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255</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255</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255</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255</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255</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255</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255</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255</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255</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255</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255</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255</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255</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255</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255</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255</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255</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255</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255</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255</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255</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255</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255</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255</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255</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255</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255</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255</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255</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255</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255</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255</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255</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255</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255</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255</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255</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255</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255</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255</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255</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255</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255</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255</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255</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255</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255</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255</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255</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255</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255</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255</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255</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255</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255</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255</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255</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255</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255</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255</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255</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255</v>
      </c>
      <c r="M533" s="49"/>
      <c r="N533" s="49"/>
      <c r="O533" s="49"/>
      <c r="P533" s="49"/>
      <c r="Q533" s="49"/>
      <c r="R533" s="49"/>
      <c r="S533" s="49"/>
      <c r="T533" s="49"/>
    </row>
    <row r="534">
      <c r="A534" s="49"/>
      <c r="B534" s="49"/>
      <c r="C534" s="51"/>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255</v>
      </c>
      <c r="M534" s="49"/>
      <c r="N534" s="49"/>
      <c r="O534" s="49"/>
      <c r="P534" s="49"/>
      <c r="Q534" s="49"/>
      <c r="R534" s="49"/>
      <c r="S534" s="49"/>
      <c r="T534" s="49"/>
    </row>
    <row r="535">
      <c r="A535" s="49"/>
      <c r="B535" s="49"/>
      <c r="C535" s="51"/>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255</v>
      </c>
      <c r="M535" s="49"/>
      <c r="N535" s="49"/>
      <c r="O535" s="49"/>
      <c r="P535" s="49"/>
      <c r="Q535" s="49"/>
      <c r="R535" s="49"/>
      <c r="S535" s="49"/>
      <c r="T535" s="49"/>
    </row>
    <row r="536">
      <c r="A536" s="49"/>
      <c r="B536" s="49"/>
      <c r="C536" s="51"/>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255</v>
      </c>
      <c r="M536" s="49"/>
      <c r="N536" s="49"/>
      <c r="O536" s="49"/>
      <c r="P536" s="49"/>
      <c r="Q536" s="49"/>
      <c r="R536" s="49"/>
      <c r="S536" s="49"/>
      <c r="T536" s="49"/>
    </row>
    <row r="537">
      <c r="A537" s="49"/>
      <c r="B537" s="49"/>
      <c r="C537" s="51"/>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255</v>
      </c>
      <c r="M537" s="49"/>
      <c r="N537" s="49"/>
      <c r="O537" s="49"/>
      <c r="P537" s="49"/>
      <c r="Q537" s="49"/>
      <c r="R537" s="49"/>
      <c r="S537" s="49"/>
      <c r="T537" s="49"/>
    </row>
    <row r="538">
      <c r="A538" s="49"/>
      <c r="B538" s="49"/>
      <c r="C538" s="51"/>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255</v>
      </c>
      <c r="M538" s="49"/>
      <c r="N538" s="49"/>
      <c r="O538" s="49"/>
      <c r="P538" s="49"/>
      <c r="Q538" s="49"/>
      <c r="R538" s="49"/>
      <c r="S538" s="49"/>
      <c r="T538" s="49"/>
    </row>
    <row r="539">
      <c r="A539" s="49"/>
      <c r="B539" s="49"/>
      <c r="C539" s="51"/>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255</v>
      </c>
      <c r="M539" s="49"/>
      <c r="N539" s="49"/>
      <c r="O539" s="49"/>
      <c r="P539" s="49"/>
      <c r="Q539" s="49"/>
      <c r="R539" s="49"/>
      <c r="S539" s="49"/>
      <c r="T539" s="49"/>
    </row>
    <row r="540">
      <c r="A540" s="49"/>
      <c r="B540" s="49"/>
      <c r="C540" s="51"/>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255</v>
      </c>
      <c r="M540" s="49"/>
      <c r="N540" s="49"/>
      <c r="O540" s="49"/>
      <c r="P540" s="49"/>
      <c r="Q540" s="49"/>
      <c r="R540" s="49"/>
      <c r="S540" s="49"/>
      <c r="T540" s="49"/>
    </row>
    <row r="541">
      <c r="A541" s="49"/>
      <c r="B541" s="49"/>
      <c r="C541" s="51"/>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255</v>
      </c>
      <c r="M541" s="49"/>
      <c r="N541" s="49"/>
      <c r="O541" s="49"/>
      <c r="P541" s="49"/>
      <c r="Q541" s="49"/>
      <c r="R541" s="49"/>
      <c r="S541" s="49"/>
      <c r="T541" s="49"/>
    </row>
    <row r="542">
      <c r="A542" s="49"/>
      <c r="B542" s="49"/>
      <c r="C542" s="51"/>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255</v>
      </c>
      <c r="M542" s="49"/>
      <c r="N542" s="49"/>
      <c r="O542" s="49"/>
      <c r="P542" s="49"/>
      <c r="Q542" s="49"/>
      <c r="R542" s="49"/>
      <c r="S542" s="49"/>
      <c r="T542" s="49"/>
    </row>
    <row r="543">
      <c r="A543" s="49"/>
      <c r="B543" s="49"/>
      <c r="C543" s="51"/>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255</v>
      </c>
      <c r="M543" s="49"/>
      <c r="N543" s="49"/>
      <c r="O543" s="49"/>
      <c r="P543" s="49"/>
      <c r="Q543" s="49"/>
      <c r="R543" s="49"/>
      <c r="S543" s="49"/>
      <c r="T543" s="49"/>
    </row>
    <row r="544">
      <c r="A544" s="49"/>
      <c r="B544" s="49"/>
      <c r="C544" s="51"/>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255</v>
      </c>
      <c r="M544" s="49"/>
      <c r="N544" s="49"/>
      <c r="O544" s="49"/>
      <c r="P544" s="49"/>
      <c r="Q544" s="49"/>
      <c r="R544" s="49"/>
      <c r="S544" s="49"/>
      <c r="T544" s="49"/>
    </row>
    <row r="545">
      <c r="A545" s="49"/>
      <c r="B545" s="49"/>
      <c r="C545" s="51"/>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255</v>
      </c>
      <c r="M545" s="49"/>
      <c r="N545" s="49"/>
      <c r="O545" s="49"/>
      <c r="P545" s="49"/>
      <c r="Q545" s="49"/>
      <c r="R545" s="49"/>
      <c r="S545" s="49"/>
      <c r="T545" s="49"/>
    </row>
  </sheetData>
  <conditionalFormatting sqref="O2:O33">
    <cfRule type="containsText" dxfId="4" priority="1" operator="containsText" text="YES">
      <formula>NOT(ISERROR(SEARCH(("YES"),(O2))))</formula>
    </cfRule>
  </conditionalFormatting>
  <conditionalFormatting sqref="O2:O33">
    <cfRule type="cellIs" dxfId="5" priority="2" operator="equal">
      <formula>"NO"</formula>
    </cfRule>
  </conditionalFormatting>
  <conditionalFormatting sqref="P2:P33">
    <cfRule type="cellIs" dxfId="4" priority="3" operator="equal">
      <formula>"AVAILABLE"</formula>
    </cfRule>
  </conditionalFormatting>
  <conditionalFormatting sqref="P2:P33">
    <cfRule type="cellIs" dxfId="5" priority="4" operator="equal">
      <formula>"NOT AVAILABLE"</formula>
    </cfRule>
  </conditionalFormatting>
  <conditionalFormatting sqref="Q2:Q33">
    <cfRule type="cellIs" dxfId="4" priority="5" operator="equal">
      <formula>"AVAILABLE"</formula>
    </cfRule>
  </conditionalFormatting>
  <conditionalFormatting sqref="Q2:Q33">
    <cfRule type="cellIs" dxfId="6" priority="6" operator="equal">
      <formula>"UPLOADING"</formula>
    </cfRule>
  </conditionalFormatting>
  <conditionalFormatting sqref="Q2:Q33">
    <cfRule type="cellIs" dxfId="5" priority="7" operator="equal">
      <formula>"NOT AVAILABLE"</formula>
    </cfRule>
  </conditionalFormatting>
  <dataValidations>
    <dataValidation type="list" allowBlank="1" sqref="O2:O33">
      <formula1>"YES,NO"</formula1>
    </dataValidation>
    <dataValidation type="list" allowBlank="1" sqref="P2:P33">
      <formula1>"AVAILABLE,NOT AVAILABLE"</formula1>
    </dataValidation>
    <dataValidation type="list" allowBlank="1" sqref="Q2:Q33">
      <formula1>"AVAILABLE,UPLOADING,NOT AVAILABLE"</formula1>
    </dataValidation>
  </dataValidations>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71"/>
    <col customWidth="1" min="3" max="3" width="26.86"/>
    <col hidden="1" min="4" max="5" width="14.43"/>
    <col customWidth="1" min="6" max="6" width="36.0"/>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'HealthConf' ORDER BY F"")"),"Opening remarks")</f>
        <v>Opening remarks</v>
      </c>
      <c r="B2" s="49" t="str">
        <f>IFERROR(__xludf.DUMMYFUNCTION("""COMPUTED_VALUE"""),"HealthConf")</f>
        <v>HealthConf</v>
      </c>
      <c r="C2" s="51" t="str">
        <f>IFERROR(__xludf.DUMMYFUNCTION("""COMPUTED_VALUE"""),"Ariel Garten")</f>
        <v>Ariel Garten</v>
      </c>
      <c r="D2" s="49" t="str">
        <f>IFERROR(__xludf.DUMMYFUNCTION("""COMPUTED_VALUE"""),"2019/11/07 10:30:00")</f>
        <v>2019/11/07 10:30:00</v>
      </c>
      <c r="E2" s="49" t="str">
        <f>IFERROR(__xludf.DUMMYFUNCTION("""COMPUTED_VALUE"""),"2019/11/07 10:45:00")</f>
        <v>2019/11/07 10:45:00</v>
      </c>
      <c r="F2" s="49" t="str">
        <f>IFERROR(__xludf.DUMMYFUNCTION("""COMPUTED_VALUE"""),"d9d9963d-8d9d-42dc-8973-a5f8ee4fb095")</f>
        <v>d9d9963d-8d9d-42dc-8973-a5f8ee4fb095</v>
      </c>
      <c r="G2" s="54">
        <f>IFERROR(__xludf.DUMMYFUNCTION("ARRAYFORMULA(SPLIT(D2:D524,"" ""))"),43776.0)</f>
        <v>43776</v>
      </c>
      <c r="H2" s="53">
        <f>IFERROR(__xludf.DUMMYFUNCTION("""COMPUTED_VALUE"""),0.4375)</f>
        <v>0.4375</v>
      </c>
      <c r="I2" s="54">
        <f>IFERROR(__xludf.DUMMYFUNCTION("ARRAYFORMULA(SPLIT(E2:E524,"" ""))"),43776.0)</f>
        <v>43776</v>
      </c>
      <c r="J2" s="53">
        <f>IFERROR(__xludf.DUMMYFUNCTION("""COMPUTED_VALUE"""),0.4479166666666667)</f>
        <v>0.4479166667</v>
      </c>
      <c r="K2" s="53">
        <f t="shared" ref="K2:K23" si="1">J2-H2</f>
        <v>0.01041666667</v>
      </c>
      <c r="L2" s="50" t="str">
        <f t="array" ref="L2:L524">TEXT(K2:K524,"hhmmss")</f>
        <v>001500</v>
      </c>
      <c r="M2" s="62" t="s">
        <v>581</v>
      </c>
      <c r="N2" s="62" t="str">
        <f>CONCATENATE(M2,"_",F2,"_","000000_000000.mp4")</f>
        <v>HC_4_1_d9d9963d-8d9d-42dc-8973-a5f8ee4fb095_000000_000000.mp4</v>
      </c>
      <c r="O2" s="48"/>
      <c r="P2" s="48"/>
      <c r="Q2" s="63"/>
      <c r="R2" s="49"/>
      <c r="S2" s="49"/>
      <c r="T2" s="49"/>
    </row>
    <row r="3">
      <c r="A3" s="49" t="str">
        <f>IFERROR(__xludf.DUMMYFUNCTION("""COMPUTED_VALUE"""),"AI = Easier access to healthcare?")</f>
        <v>AI = Easier access to healthcare?</v>
      </c>
      <c r="B3" s="49" t="str">
        <f>IFERROR(__xludf.DUMMYFUNCTION("""COMPUTED_VALUE"""),"HealthConf")</f>
        <v>HealthConf</v>
      </c>
      <c r="C3" s="51" t="str">
        <f>IFERROR(__xludf.DUMMYFUNCTION("""COMPUTED_VALUE"""),"Constance Lehman, Dr Marco Huesch and Paul Nuki")</f>
        <v>Constance Lehman, Dr Marco Huesch and Paul Nuki</v>
      </c>
      <c r="D3" s="49" t="str">
        <f>IFERROR(__xludf.DUMMYFUNCTION("""COMPUTED_VALUE"""),"2019/11/07 10:45:00")</f>
        <v>2019/11/07 10:45:00</v>
      </c>
      <c r="E3" s="49" t="str">
        <f>IFERROR(__xludf.DUMMYFUNCTION("""COMPUTED_VALUE"""),"2019/11/07 11:05:00")</f>
        <v>2019/11/07 11:05:00</v>
      </c>
      <c r="F3" s="49" t="str">
        <f>IFERROR(__xludf.DUMMYFUNCTION("""COMPUTED_VALUE"""),"c4905bad-4447-4470-98a1-e275fbf55507")</f>
        <v>c4905bad-4447-4470-98a1-e275fbf55507</v>
      </c>
      <c r="G3" s="52">
        <f>IFERROR(__xludf.DUMMYFUNCTION("""COMPUTED_VALUE"""),43776.0)</f>
        <v>43776</v>
      </c>
      <c r="H3" s="53">
        <f>IFERROR(__xludf.DUMMYFUNCTION("""COMPUTED_VALUE"""),0.4479166666666667)</f>
        <v>0.4479166667</v>
      </c>
      <c r="I3" s="52">
        <f>IFERROR(__xludf.DUMMYFUNCTION("""COMPUTED_VALUE"""),43776.0)</f>
        <v>43776</v>
      </c>
      <c r="J3" s="53">
        <f>IFERROR(__xludf.DUMMYFUNCTION("""COMPUTED_VALUE"""),0.4618055555555556)</f>
        <v>0.4618055556</v>
      </c>
      <c r="K3" s="53">
        <f t="shared" si="1"/>
        <v>0.01388888889</v>
      </c>
      <c r="L3" s="49" t="s">
        <v>109</v>
      </c>
      <c r="M3" s="49"/>
      <c r="N3" s="49"/>
      <c r="O3" s="48"/>
      <c r="P3" s="48"/>
      <c r="Q3" s="63"/>
      <c r="R3" s="49"/>
      <c r="S3" s="49"/>
      <c r="T3" s="49"/>
    </row>
    <row r="4">
      <c r="A4" s="49" t="str">
        <f>IFERROR(__xludf.DUMMYFUNCTION("""COMPUTED_VALUE"""),"How your home affects your health")</f>
        <v>How your home affects your health</v>
      </c>
      <c r="B4" s="49" t="str">
        <f>IFERROR(__xludf.DUMMYFUNCTION("""COMPUTED_VALUE"""),"HealthConf")</f>
        <v>HealthConf</v>
      </c>
      <c r="C4" s="51" t="str">
        <f>IFERROR(__xludf.DUMMYFUNCTION("""COMPUTED_VALUE"""),"Paul Scialla")</f>
        <v>Paul Scialla</v>
      </c>
      <c r="D4" s="49" t="str">
        <f>IFERROR(__xludf.DUMMYFUNCTION("""COMPUTED_VALUE"""),"2019/11/07 11:05:00")</f>
        <v>2019/11/07 11:05:00</v>
      </c>
      <c r="E4" s="49" t="str">
        <f>IFERROR(__xludf.DUMMYFUNCTION("""COMPUTED_VALUE"""),"2019/11/07 11:20:00")</f>
        <v>2019/11/07 11:20:00</v>
      </c>
      <c r="F4" s="49" t="str">
        <f>IFERROR(__xludf.DUMMYFUNCTION("""COMPUTED_VALUE"""),"697c2c27-066d-4e4c-ac57-87f831829d51")</f>
        <v>697c2c27-066d-4e4c-ac57-87f831829d51</v>
      </c>
      <c r="G4" s="52">
        <f>IFERROR(__xludf.DUMMYFUNCTION("""COMPUTED_VALUE"""),43776.0)</f>
        <v>43776</v>
      </c>
      <c r="H4" s="53">
        <f>IFERROR(__xludf.DUMMYFUNCTION("""COMPUTED_VALUE"""),0.4618055555555556)</f>
        <v>0.4618055556</v>
      </c>
      <c r="I4" s="52">
        <f>IFERROR(__xludf.DUMMYFUNCTION("""COMPUTED_VALUE"""),43776.0)</f>
        <v>43776</v>
      </c>
      <c r="J4" s="53">
        <f>IFERROR(__xludf.DUMMYFUNCTION("""COMPUTED_VALUE"""),0.4722222222222222)</f>
        <v>0.4722222222</v>
      </c>
      <c r="K4" s="53">
        <f t="shared" si="1"/>
        <v>0.01041666667</v>
      </c>
      <c r="L4" s="49" t="s">
        <v>118</v>
      </c>
      <c r="M4" s="49"/>
      <c r="N4" s="49"/>
      <c r="O4" s="48"/>
      <c r="P4" s="48"/>
      <c r="Q4" s="63"/>
      <c r="R4" s="49"/>
      <c r="S4" s="49"/>
      <c r="T4" s="49"/>
    </row>
    <row r="5">
      <c r="A5" s="49" t="str">
        <f>IFERROR(__xludf.DUMMYFUNCTION("""COMPUTED_VALUE"""),"Health in space: The final frontier")</f>
        <v>Health in space: The final frontier</v>
      </c>
      <c r="B5" s="49" t="str">
        <f>IFERROR(__xludf.DUMMYFUNCTION("""COMPUTED_VALUE"""),"HealthConf")</f>
        <v>HealthConf</v>
      </c>
      <c r="C5" s="51" t="str">
        <f>IFERROR(__xludf.DUMMYFUNCTION("""COMPUTED_VALUE"""),"Scott Solomon, Marianne Brandon, Ian Robertson and Paul Nuki")</f>
        <v>Scott Solomon, Marianne Brandon, Ian Robertson and Paul Nuki</v>
      </c>
      <c r="D5" s="49" t="str">
        <f>IFERROR(__xludf.DUMMYFUNCTION("""COMPUTED_VALUE"""),"2019/11/07 11:20:00")</f>
        <v>2019/11/07 11:20:00</v>
      </c>
      <c r="E5" s="49" t="str">
        <f>IFERROR(__xludf.DUMMYFUNCTION("""COMPUTED_VALUE"""),"2019/11/07 11:45:00")</f>
        <v>2019/11/07 11:45:00</v>
      </c>
      <c r="F5" s="49" t="str">
        <f>IFERROR(__xludf.DUMMYFUNCTION("""COMPUTED_VALUE"""),"24a08ef0-0e20-4310-8911-e39a31e74ba7")</f>
        <v>24a08ef0-0e20-4310-8911-e39a31e74ba7</v>
      </c>
      <c r="G5" s="52">
        <f>IFERROR(__xludf.DUMMYFUNCTION("""COMPUTED_VALUE"""),43776.0)</f>
        <v>43776</v>
      </c>
      <c r="H5" s="53">
        <f>IFERROR(__xludf.DUMMYFUNCTION("""COMPUTED_VALUE"""),0.4722222222222222)</f>
        <v>0.4722222222</v>
      </c>
      <c r="I5" s="52">
        <f>IFERROR(__xludf.DUMMYFUNCTION("""COMPUTED_VALUE"""),43776.0)</f>
        <v>43776</v>
      </c>
      <c r="J5" s="53">
        <f>IFERROR(__xludf.DUMMYFUNCTION("""COMPUTED_VALUE"""),0.4895833333333333)</f>
        <v>0.4895833333</v>
      </c>
      <c r="K5" s="53">
        <f t="shared" si="1"/>
        <v>0.01736111111</v>
      </c>
      <c r="L5" s="49" t="s">
        <v>111</v>
      </c>
      <c r="M5" s="49"/>
      <c r="N5" s="49"/>
      <c r="O5" s="48"/>
      <c r="P5" s="48"/>
      <c r="Q5" s="63"/>
      <c r="R5" s="49"/>
      <c r="S5" s="49"/>
      <c r="T5" s="49"/>
    </row>
    <row r="6">
      <c r="A6" s="49" t="str">
        <f>IFERROR(__xludf.DUMMYFUNCTION("""COMPUTED_VALUE"""),"All meat, no meat, are we really what we eat?")</f>
        <v>All meat, no meat, are we really what we eat?</v>
      </c>
      <c r="B6" s="49" t="str">
        <f>IFERROR(__xludf.DUMMYFUNCTION("""COMPUTED_VALUE"""),"HealthConf")</f>
        <v>HealthConf</v>
      </c>
      <c r="C6" s="51" t="str">
        <f>IFERROR(__xludf.DUMMYFUNCTION("""COMPUTED_VALUE"""),"Steven Gundry, Mikhaila Peterson, Saeju Jeong and Alyssa Newcomb")</f>
        <v>Steven Gundry, Mikhaila Peterson, Saeju Jeong and Alyssa Newcomb</v>
      </c>
      <c r="D6" s="49" t="str">
        <f>IFERROR(__xludf.DUMMYFUNCTION("""COMPUTED_VALUE"""),"2019/11/07 11:45:00")</f>
        <v>2019/11/07 11:45:00</v>
      </c>
      <c r="E6" s="49" t="str">
        <f>IFERROR(__xludf.DUMMYFUNCTION("""COMPUTED_VALUE"""),"2019/11/07 12:10:00")</f>
        <v>2019/11/07 12:10:00</v>
      </c>
      <c r="F6" s="49" t="str">
        <f>IFERROR(__xludf.DUMMYFUNCTION("""COMPUTED_VALUE"""),"86d3528d-d6a0-44eb-99f7-a15c8b847302")</f>
        <v>86d3528d-d6a0-44eb-99f7-a15c8b847302</v>
      </c>
      <c r="G6" s="52">
        <f>IFERROR(__xludf.DUMMYFUNCTION("""COMPUTED_VALUE"""),43776.0)</f>
        <v>43776</v>
      </c>
      <c r="H6" s="53">
        <f>IFERROR(__xludf.DUMMYFUNCTION("""COMPUTED_VALUE"""),0.4895833333333333)</f>
        <v>0.4895833333</v>
      </c>
      <c r="I6" s="52">
        <f>IFERROR(__xludf.DUMMYFUNCTION("""COMPUTED_VALUE"""),43776.0)</f>
        <v>43776</v>
      </c>
      <c r="J6" s="53">
        <f>IFERROR(__xludf.DUMMYFUNCTION("""COMPUTED_VALUE"""),0.5069444444444444)</f>
        <v>0.5069444444</v>
      </c>
      <c r="K6" s="53">
        <f t="shared" si="1"/>
        <v>0.01736111111</v>
      </c>
      <c r="L6" s="49" t="s">
        <v>111</v>
      </c>
      <c r="M6" s="49"/>
      <c r="N6" s="49"/>
      <c r="O6" s="48"/>
      <c r="P6" s="48"/>
      <c r="Q6" s="63"/>
      <c r="R6" s="49"/>
      <c r="S6" s="49"/>
      <c r="T6" s="49"/>
    </row>
    <row r="7">
      <c r="A7" s="49" t="str">
        <f>IFERROR(__xludf.DUMMYFUNCTION("""COMPUTED_VALUE"""),"Pocket power: The device revolution")</f>
        <v>Pocket power: The device revolution</v>
      </c>
      <c r="B7" s="49" t="str">
        <f>IFERROR(__xludf.DUMMYFUNCTION("""COMPUTED_VALUE"""),"HealthConf")</f>
        <v>HealthConf</v>
      </c>
      <c r="C7" s="51" t="str">
        <f>IFERROR(__xludf.DUMMYFUNCTION("""COMPUTED_VALUE"""),"Nevada Sanchez")</f>
        <v>Nevada Sanchez</v>
      </c>
      <c r="D7" s="49" t="str">
        <f>IFERROR(__xludf.DUMMYFUNCTION("""COMPUTED_VALUE"""),"2019/11/07 12:10:00")</f>
        <v>2019/11/07 12:10:00</v>
      </c>
      <c r="E7" s="49" t="str">
        <f>IFERROR(__xludf.DUMMYFUNCTION("""COMPUTED_VALUE"""),"2019/11/07 12:25:00")</f>
        <v>2019/11/07 12:25:00</v>
      </c>
      <c r="F7" s="49" t="str">
        <f>IFERROR(__xludf.DUMMYFUNCTION("""COMPUTED_VALUE"""),"cddce273-89db-4f2b-b3b2-de42d45f64f0")</f>
        <v>cddce273-89db-4f2b-b3b2-de42d45f64f0</v>
      </c>
      <c r="G7" s="52">
        <f>IFERROR(__xludf.DUMMYFUNCTION("""COMPUTED_VALUE"""),43776.0)</f>
        <v>43776</v>
      </c>
      <c r="H7" s="53">
        <f>IFERROR(__xludf.DUMMYFUNCTION("""COMPUTED_VALUE"""),0.5069444444444444)</f>
        <v>0.5069444444</v>
      </c>
      <c r="I7" s="52">
        <f>IFERROR(__xludf.DUMMYFUNCTION("""COMPUTED_VALUE"""),43776.0)</f>
        <v>43776</v>
      </c>
      <c r="J7" s="53">
        <f>IFERROR(__xludf.DUMMYFUNCTION("""COMPUTED_VALUE"""),0.5173611111111112)</f>
        <v>0.5173611111</v>
      </c>
      <c r="K7" s="53">
        <f t="shared" si="1"/>
        <v>0.01041666667</v>
      </c>
      <c r="L7" s="49" t="s">
        <v>118</v>
      </c>
      <c r="M7" s="49"/>
      <c r="N7" s="49"/>
      <c r="O7" s="48"/>
      <c r="P7" s="48"/>
      <c r="Q7" s="63"/>
      <c r="R7" s="49"/>
      <c r="S7" s="49"/>
      <c r="T7" s="49"/>
    </row>
    <row r="8">
      <c r="A8" s="49" t="str">
        <f>IFERROR(__xludf.DUMMYFUNCTION("""COMPUTED_VALUE"""),"Lunch break")</f>
        <v>Lunch break</v>
      </c>
      <c r="B8" s="49" t="str">
        <f>IFERROR(__xludf.DUMMYFUNCTION("""COMPUTED_VALUE"""),"HealthConf")</f>
        <v>HealthConf</v>
      </c>
      <c r="C8" s="51" t="str">
        <f>IFERROR(__xludf.DUMMYFUNCTION("""COMPUTED_VALUE"""),"")</f>
        <v/>
      </c>
      <c r="D8" s="49" t="str">
        <f>IFERROR(__xludf.DUMMYFUNCTION("""COMPUTED_VALUE"""),"2019/11/07 12:25:00")</f>
        <v>2019/11/07 12:25:00</v>
      </c>
      <c r="E8" s="49" t="str">
        <f>IFERROR(__xludf.DUMMYFUNCTION("""COMPUTED_VALUE"""),"2019/11/07 13:10:00")</f>
        <v>2019/11/07 13:10:00</v>
      </c>
      <c r="F8" s="49" t="str">
        <f>IFERROR(__xludf.DUMMYFUNCTION("""COMPUTED_VALUE"""),"fa71558e-8005-4c69-9d8c-0a55da301552")</f>
        <v>fa71558e-8005-4c69-9d8c-0a55da301552</v>
      </c>
      <c r="G8" s="52">
        <f>IFERROR(__xludf.DUMMYFUNCTION("""COMPUTED_VALUE"""),43776.0)</f>
        <v>43776</v>
      </c>
      <c r="H8" s="53">
        <f>IFERROR(__xludf.DUMMYFUNCTION("""COMPUTED_VALUE"""),0.5173611111111112)</f>
        <v>0.5173611111</v>
      </c>
      <c r="I8" s="52">
        <f>IFERROR(__xludf.DUMMYFUNCTION("""COMPUTED_VALUE"""),43776.0)</f>
        <v>43776</v>
      </c>
      <c r="J8" s="53">
        <f>IFERROR(__xludf.DUMMYFUNCTION("""COMPUTED_VALUE"""),0.5486111111111112)</f>
        <v>0.5486111111</v>
      </c>
      <c r="K8" s="53">
        <f t="shared" si="1"/>
        <v>0.03125</v>
      </c>
      <c r="L8" s="49" t="s">
        <v>127</v>
      </c>
      <c r="M8" s="49"/>
      <c r="N8" s="49"/>
      <c r="O8" s="48"/>
      <c r="P8" s="48"/>
      <c r="Q8" s="63"/>
      <c r="R8" s="49"/>
      <c r="S8" s="49"/>
      <c r="T8" s="49"/>
    </row>
    <row r="9">
      <c r="A9" s="49" t="str">
        <f>IFERROR(__xludf.DUMMYFUNCTION("""COMPUTED_VALUE"""),"Opening remarks")</f>
        <v>Opening remarks</v>
      </c>
      <c r="B9" s="49" t="str">
        <f>IFERROR(__xludf.DUMMYFUNCTION("""COMPUTED_VALUE"""),"HealthConf")</f>
        <v>HealthConf</v>
      </c>
      <c r="C9" s="51" t="str">
        <f>IFERROR(__xludf.DUMMYFUNCTION("""COMPUTED_VALUE"""),"Jim Hunter")</f>
        <v>Jim Hunter</v>
      </c>
      <c r="D9" s="49" t="str">
        <f>IFERROR(__xludf.DUMMYFUNCTION("""COMPUTED_VALUE"""),"2019/11/07 13:10:00")</f>
        <v>2019/11/07 13:10:00</v>
      </c>
      <c r="E9" s="49" t="str">
        <f>IFERROR(__xludf.DUMMYFUNCTION("""COMPUTED_VALUE"""),"2019/11/07 13:25:00")</f>
        <v>2019/11/07 13:25:00</v>
      </c>
      <c r="F9" s="49" t="str">
        <f>IFERROR(__xludf.DUMMYFUNCTION("""COMPUTED_VALUE"""),"1c918723-c009-4dd6-a0a6-d2dbf456a755")</f>
        <v>1c918723-c009-4dd6-a0a6-d2dbf456a755</v>
      </c>
      <c r="G9" s="52">
        <f>IFERROR(__xludf.DUMMYFUNCTION("""COMPUTED_VALUE"""),43776.0)</f>
        <v>43776</v>
      </c>
      <c r="H9" s="53">
        <f>IFERROR(__xludf.DUMMYFUNCTION("""COMPUTED_VALUE"""),0.5486111111111112)</f>
        <v>0.5486111111</v>
      </c>
      <c r="I9" s="52">
        <f>IFERROR(__xludf.DUMMYFUNCTION("""COMPUTED_VALUE"""),43776.0)</f>
        <v>43776</v>
      </c>
      <c r="J9" s="53">
        <f>IFERROR(__xludf.DUMMYFUNCTION("""COMPUTED_VALUE"""),0.5590277777777778)</f>
        <v>0.5590277778</v>
      </c>
      <c r="K9" s="53">
        <f t="shared" si="1"/>
        <v>0.01041666667</v>
      </c>
      <c r="L9" s="49" t="s">
        <v>118</v>
      </c>
      <c r="M9" s="49"/>
      <c r="N9" s="49"/>
      <c r="O9" s="48"/>
      <c r="P9" s="48"/>
      <c r="Q9" s="63"/>
      <c r="R9" s="49"/>
      <c r="S9" s="49"/>
      <c r="T9" s="49"/>
    </row>
    <row r="10">
      <c r="A10" s="49" t="str">
        <f>IFERROR(__xludf.DUMMYFUNCTION("""COMPUTED_VALUE"""),"Class A potential: The case for psychedelics")</f>
        <v>Class A potential: The case for psychedelics</v>
      </c>
      <c r="B10" s="49" t="str">
        <f>IFERROR(__xludf.DUMMYFUNCTION("""COMPUTED_VALUE"""),"HealthConf")</f>
        <v>HealthConf</v>
      </c>
      <c r="C10" s="51" t="str">
        <f>IFERROR(__xludf.DUMMYFUNCTION("""COMPUTED_VALUE"""),"Kenneth Jønck")</f>
        <v>Kenneth Jønck</v>
      </c>
      <c r="D10" s="49" t="str">
        <f>IFERROR(__xludf.DUMMYFUNCTION("""COMPUTED_VALUE"""),"2019/11/07 13:25:00")</f>
        <v>2019/11/07 13:25:00</v>
      </c>
      <c r="E10" s="49" t="str">
        <f>IFERROR(__xludf.DUMMYFUNCTION("""COMPUTED_VALUE"""),"2019/11/07 13:40:00")</f>
        <v>2019/11/07 13:40:00</v>
      </c>
      <c r="F10" s="49" t="str">
        <f>IFERROR(__xludf.DUMMYFUNCTION("""COMPUTED_VALUE"""),"99d35c7c-c70b-4f34-8c5f-153b161ad39d")</f>
        <v>99d35c7c-c70b-4f34-8c5f-153b161ad39d</v>
      </c>
      <c r="G10" s="52">
        <f>IFERROR(__xludf.DUMMYFUNCTION("""COMPUTED_VALUE"""),43776.0)</f>
        <v>43776</v>
      </c>
      <c r="H10" s="53">
        <f>IFERROR(__xludf.DUMMYFUNCTION("""COMPUTED_VALUE"""),0.5590277777777778)</f>
        <v>0.5590277778</v>
      </c>
      <c r="I10" s="52">
        <f>IFERROR(__xludf.DUMMYFUNCTION("""COMPUTED_VALUE"""),43776.0)</f>
        <v>43776</v>
      </c>
      <c r="J10" s="53">
        <f>IFERROR(__xludf.DUMMYFUNCTION("""COMPUTED_VALUE"""),0.5694444444444444)</f>
        <v>0.5694444444</v>
      </c>
      <c r="K10" s="53">
        <f t="shared" si="1"/>
        <v>0.01041666667</v>
      </c>
      <c r="L10" s="49" t="s">
        <v>118</v>
      </c>
      <c r="M10" s="49"/>
      <c r="N10" s="49"/>
      <c r="O10" s="48"/>
      <c r="P10" s="48"/>
      <c r="Q10" s="63"/>
      <c r="R10" s="49"/>
      <c r="S10" s="49"/>
      <c r="T10" s="49"/>
    </row>
    <row r="11">
      <c r="A11" s="49" t="str">
        <f>IFERROR(__xludf.DUMMYFUNCTION("""COMPUTED_VALUE"""),"Health, home and happiness")</f>
        <v>Health, home and happiness</v>
      </c>
      <c r="B11" s="49" t="str">
        <f>IFERROR(__xludf.DUMMYFUNCTION("""COMPUTED_VALUE"""),"HealthConf")</f>
        <v>HealthConf</v>
      </c>
      <c r="C11" s="51" t="str">
        <f>IFERROR(__xludf.DUMMYFUNCTION("""COMPUTED_VALUE"""),"Dame Til Wykes, Daniel Sobhani, Alexandra Zatarain and Alyssa Newcomb")</f>
        <v>Dame Til Wykes, Daniel Sobhani, Alexandra Zatarain and Alyssa Newcomb</v>
      </c>
      <c r="D11" s="49" t="str">
        <f>IFERROR(__xludf.DUMMYFUNCTION("""COMPUTED_VALUE"""),"2019/11/07 13:40:00")</f>
        <v>2019/11/07 13:40:00</v>
      </c>
      <c r="E11" s="49" t="str">
        <f>IFERROR(__xludf.DUMMYFUNCTION("""COMPUTED_VALUE"""),"2019/11/07 14:05:00")</f>
        <v>2019/11/07 14:05:00</v>
      </c>
      <c r="F11" s="49" t="str">
        <f>IFERROR(__xludf.DUMMYFUNCTION("""COMPUTED_VALUE"""),"143137ca-e514-4797-bd61-753f1a693c08")</f>
        <v>143137ca-e514-4797-bd61-753f1a693c08</v>
      </c>
      <c r="G11" s="52">
        <f>IFERROR(__xludf.DUMMYFUNCTION("""COMPUTED_VALUE"""),43776.0)</f>
        <v>43776</v>
      </c>
      <c r="H11" s="53">
        <f>IFERROR(__xludf.DUMMYFUNCTION("""COMPUTED_VALUE"""),0.5694444444444444)</f>
        <v>0.5694444444</v>
      </c>
      <c r="I11" s="52">
        <f>IFERROR(__xludf.DUMMYFUNCTION("""COMPUTED_VALUE"""),43776.0)</f>
        <v>43776</v>
      </c>
      <c r="J11" s="53">
        <f>IFERROR(__xludf.DUMMYFUNCTION("""COMPUTED_VALUE"""),0.5868055555555556)</f>
        <v>0.5868055556</v>
      </c>
      <c r="K11" s="53">
        <f t="shared" si="1"/>
        <v>0.01736111111</v>
      </c>
      <c r="L11" s="49" t="s">
        <v>111</v>
      </c>
      <c r="M11" s="49"/>
      <c r="N11" s="49"/>
      <c r="O11" s="48"/>
      <c r="P11" s="48"/>
      <c r="Q11" s="63"/>
      <c r="R11" s="49"/>
      <c r="S11" s="49"/>
      <c r="T11" s="49"/>
    </row>
    <row r="12">
      <c r="A12" s="49" t="str">
        <f>IFERROR(__xludf.DUMMYFUNCTION("""COMPUTED_VALUE"""),"With great AI comes great responsibility")</f>
        <v>With great AI comes great responsibility</v>
      </c>
      <c r="B12" s="49" t="str">
        <f>IFERROR(__xludf.DUMMYFUNCTION("""COMPUTED_VALUE"""),"HealthConf")</f>
        <v>HealthConf</v>
      </c>
      <c r="C12" s="51" t="str">
        <f>IFERROR(__xludf.DUMMYFUNCTION("""COMPUTED_VALUE"""),"Chris Gibson, Saskia Steinacker and Paul Nuki")</f>
        <v>Chris Gibson, Saskia Steinacker and Paul Nuki</v>
      </c>
      <c r="D12" s="49" t="str">
        <f>IFERROR(__xludf.DUMMYFUNCTION("""COMPUTED_VALUE"""),"2019/11/07 14:05:00")</f>
        <v>2019/11/07 14:05:00</v>
      </c>
      <c r="E12" s="49" t="str">
        <f>IFERROR(__xludf.DUMMYFUNCTION("""COMPUTED_VALUE"""),"2019/11/07 14:25:00")</f>
        <v>2019/11/07 14:25:00</v>
      </c>
      <c r="F12" s="49" t="str">
        <f>IFERROR(__xludf.DUMMYFUNCTION("""COMPUTED_VALUE"""),"d75ea3ca-707c-4021-b743-42b14c6071e2")</f>
        <v>d75ea3ca-707c-4021-b743-42b14c6071e2</v>
      </c>
      <c r="G12" s="52">
        <f>IFERROR(__xludf.DUMMYFUNCTION("""COMPUTED_VALUE"""),43776.0)</f>
        <v>43776</v>
      </c>
      <c r="H12" s="53">
        <f>IFERROR(__xludf.DUMMYFUNCTION("""COMPUTED_VALUE"""),0.5868055555555556)</f>
        <v>0.5868055556</v>
      </c>
      <c r="I12" s="52">
        <f>IFERROR(__xludf.DUMMYFUNCTION("""COMPUTED_VALUE"""),43776.0)</f>
        <v>43776</v>
      </c>
      <c r="J12" s="53">
        <f>IFERROR(__xludf.DUMMYFUNCTION("""COMPUTED_VALUE"""),0.6006944444444444)</f>
        <v>0.6006944444</v>
      </c>
      <c r="K12" s="53">
        <f t="shared" si="1"/>
        <v>0.01388888889</v>
      </c>
      <c r="L12" s="49" t="s">
        <v>109</v>
      </c>
      <c r="M12" s="49"/>
      <c r="N12" s="49"/>
      <c r="O12" s="48"/>
      <c r="P12" s="48"/>
      <c r="Q12" s="63"/>
      <c r="R12" s="49"/>
      <c r="S12" s="49"/>
      <c r="T12" s="49"/>
    </row>
    <row r="13">
      <c r="A13" s="49" t="str">
        <f>IFERROR(__xludf.DUMMYFUNCTION("""COMPUTED_VALUE"""),"Neurealms of brain tech")</f>
        <v>Neurealms of brain tech</v>
      </c>
      <c r="B13" s="49" t="str">
        <f>IFERROR(__xludf.DUMMYFUNCTION("""COMPUTED_VALUE"""),"HealthConf")</f>
        <v>HealthConf</v>
      </c>
      <c r="C13" s="51" t="str">
        <f>IFERROR(__xludf.DUMMYFUNCTION("""COMPUTED_VALUE"""),"Ali Rezai, Thomas Reardon and Katie Collins")</f>
        <v>Ali Rezai, Thomas Reardon and Katie Collins</v>
      </c>
      <c r="D13" s="49" t="str">
        <f>IFERROR(__xludf.DUMMYFUNCTION("""COMPUTED_VALUE"""),"2019/11/07 14:25:00")</f>
        <v>2019/11/07 14:25:00</v>
      </c>
      <c r="E13" s="49" t="str">
        <f>IFERROR(__xludf.DUMMYFUNCTION("""COMPUTED_VALUE"""),"2019/11/07 14:45:00")</f>
        <v>2019/11/07 14:45:00</v>
      </c>
      <c r="F13" s="49" t="str">
        <f>IFERROR(__xludf.DUMMYFUNCTION("""COMPUTED_VALUE"""),"35fe50f5-b99d-4ca6-9d83-b32171501f9a")</f>
        <v>35fe50f5-b99d-4ca6-9d83-b32171501f9a</v>
      </c>
      <c r="G13" s="52">
        <f>IFERROR(__xludf.DUMMYFUNCTION("""COMPUTED_VALUE"""),43776.0)</f>
        <v>43776</v>
      </c>
      <c r="H13" s="53">
        <f>IFERROR(__xludf.DUMMYFUNCTION("""COMPUTED_VALUE"""),0.6006944444444444)</f>
        <v>0.6006944444</v>
      </c>
      <c r="I13" s="52">
        <f>IFERROR(__xludf.DUMMYFUNCTION("""COMPUTED_VALUE"""),43776.0)</f>
        <v>43776</v>
      </c>
      <c r="J13" s="53">
        <f>IFERROR(__xludf.DUMMYFUNCTION("""COMPUTED_VALUE"""),0.6145833333333334)</f>
        <v>0.6145833333</v>
      </c>
      <c r="K13" s="53">
        <f t="shared" si="1"/>
        <v>0.01388888889</v>
      </c>
      <c r="L13" s="49" t="s">
        <v>109</v>
      </c>
      <c r="M13" s="49"/>
      <c r="N13" s="49"/>
      <c r="O13" s="48"/>
      <c r="P13" s="48"/>
      <c r="Q13" s="63"/>
      <c r="R13" s="49"/>
      <c r="S13" s="49"/>
      <c r="T13" s="49"/>
    </row>
    <row r="14">
      <c r="A14" s="49" t="str">
        <f>IFERROR(__xludf.DUMMYFUNCTION("""COMPUTED_VALUE"""),"24/7 healthcare is here")</f>
        <v>24/7 healthcare is here</v>
      </c>
      <c r="B14" s="49" t="str">
        <f>IFERROR(__xludf.DUMMYFUNCTION("""COMPUTED_VALUE"""),"HealthConf")</f>
        <v>HealthConf</v>
      </c>
      <c r="C14" s="51" t="str">
        <f>IFERROR(__xludf.DUMMYFUNCTION("""COMPUTED_VALUE"""),"Gary Mudie and Joao Tome")</f>
        <v>Gary Mudie and Joao Tome</v>
      </c>
      <c r="D14" s="49" t="str">
        <f>IFERROR(__xludf.DUMMYFUNCTION("""COMPUTED_VALUE"""),"2019/11/07 14:45:00")</f>
        <v>2019/11/07 14:45:00</v>
      </c>
      <c r="E14" s="49" t="str">
        <f>IFERROR(__xludf.DUMMYFUNCTION("""COMPUTED_VALUE"""),"2019/11/07 15:05:00")</f>
        <v>2019/11/07 15:05:00</v>
      </c>
      <c r="F14" s="49" t="str">
        <f>IFERROR(__xludf.DUMMYFUNCTION("""COMPUTED_VALUE"""),"42f6d75d-4df5-4091-bf57-d55466938fb7")</f>
        <v>42f6d75d-4df5-4091-bf57-d55466938fb7</v>
      </c>
      <c r="G14" s="52">
        <f>IFERROR(__xludf.DUMMYFUNCTION("""COMPUTED_VALUE"""),43776.0)</f>
        <v>43776</v>
      </c>
      <c r="H14" s="53">
        <f>IFERROR(__xludf.DUMMYFUNCTION("""COMPUTED_VALUE"""),0.6145833333333334)</f>
        <v>0.6145833333</v>
      </c>
      <c r="I14" s="52">
        <f>IFERROR(__xludf.DUMMYFUNCTION("""COMPUTED_VALUE"""),43776.0)</f>
        <v>43776</v>
      </c>
      <c r="J14" s="53">
        <f>IFERROR(__xludf.DUMMYFUNCTION("""COMPUTED_VALUE"""),0.6284722222222222)</f>
        <v>0.6284722222</v>
      </c>
      <c r="K14" s="53">
        <f t="shared" si="1"/>
        <v>0.01388888889</v>
      </c>
      <c r="L14" s="49" t="s">
        <v>109</v>
      </c>
      <c r="M14" s="49"/>
      <c r="N14" s="49"/>
      <c r="O14" s="48"/>
      <c r="P14" s="48"/>
      <c r="Q14" s="63"/>
      <c r="R14" s="49"/>
      <c r="S14" s="49"/>
      <c r="T14" s="49"/>
    </row>
    <row r="15">
      <c r="A15" s="49" t="str">
        <f>IFERROR(__xludf.DUMMYFUNCTION("""COMPUTED_VALUE"""),"Where I'm putting my money in med-tech")</f>
        <v>Where I'm putting my money in med-tech</v>
      </c>
      <c r="B15" s="49" t="str">
        <f>IFERROR(__xludf.DUMMYFUNCTION("""COMPUTED_VALUE"""),"HealthConf")</f>
        <v>HealthConf</v>
      </c>
      <c r="C15" s="51" t="str">
        <f>IFERROR(__xludf.DUMMYFUNCTION("""COMPUTED_VALUE"""),"Lu Zhang, Min Hu, Dr Marco Huesch and Alex Deane")</f>
        <v>Lu Zhang, Min Hu, Dr Marco Huesch and Alex Deane</v>
      </c>
      <c r="D15" s="49" t="str">
        <f>IFERROR(__xludf.DUMMYFUNCTION("""COMPUTED_VALUE"""),"2019/11/07 15:05:00")</f>
        <v>2019/11/07 15:05:00</v>
      </c>
      <c r="E15" s="49" t="str">
        <f>IFERROR(__xludf.DUMMYFUNCTION("""COMPUTED_VALUE"""),"2019/11/07 15:30:00")</f>
        <v>2019/11/07 15:30:00</v>
      </c>
      <c r="F15" s="49" t="str">
        <f>IFERROR(__xludf.DUMMYFUNCTION("""COMPUTED_VALUE"""),"da1f512d-7f42-4d9d-b61d-6fb0127bb842")</f>
        <v>da1f512d-7f42-4d9d-b61d-6fb0127bb842</v>
      </c>
      <c r="G15" s="52">
        <f>IFERROR(__xludf.DUMMYFUNCTION("""COMPUTED_VALUE"""),43776.0)</f>
        <v>43776</v>
      </c>
      <c r="H15" s="53">
        <f>IFERROR(__xludf.DUMMYFUNCTION("""COMPUTED_VALUE"""),0.6284722222222222)</f>
        <v>0.6284722222</v>
      </c>
      <c r="I15" s="52">
        <f>IFERROR(__xludf.DUMMYFUNCTION("""COMPUTED_VALUE"""),43776.0)</f>
        <v>43776</v>
      </c>
      <c r="J15" s="53">
        <f>IFERROR(__xludf.DUMMYFUNCTION("""COMPUTED_VALUE"""),0.6458333333333334)</f>
        <v>0.6458333333</v>
      </c>
      <c r="K15" s="53">
        <f t="shared" si="1"/>
        <v>0.01736111111</v>
      </c>
      <c r="L15" s="49" t="s">
        <v>111</v>
      </c>
      <c r="M15" s="49"/>
      <c r="N15" s="49"/>
      <c r="O15" s="48"/>
      <c r="P15" s="48"/>
      <c r="Q15" s="63"/>
      <c r="R15" s="49"/>
      <c r="S15" s="49"/>
      <c r="T15" s="49"/>
    </row>
    <row r="16">
      <c r="A16" s="49" t="str">
        <f>IFERROR(__xludf.DUMMYFUNCTION("""COMPUTED_VALUE"""),"Are we over wearables?")</f>
        <v>Are we over wearables?</v>
      </c>
      <c r="B16" s="49" t="str">
        <f>IFERROR(__xludf.DUMMYFUNCTION("""COMPUTED_VALUE"""),"HealthConf")</f>
        <v>HealthConf</v>
      </c>
      <c r="C16" s="51" t="str">
        <f>IFERROR(__xludf.DUMMYFUNCTION("""COMPUTED_VALUE"""),"Wai Lee, Kate Rosenbluth and Kieran Yates")</f>
        <v>Wai Lee, Kate Rosenbluth and Kieran Yates</v>
      </c>
      <c r="D16" s="49" t="str">
        <f>IFERROR(__xludf.DUMMYFUNCTION("""COMPUTED_VALUE"""),"2019/11/07 15:30:00")</f>
        <v>2019/11/07 15:30:00</v>
      </c>
      <c r="E16" s="49" t="str">
        <f>IFERROR(__xludf.DUMMYFUNCTION("""COMPUTED_VALUE"""),"2019/11/07 15:50:00")</f>
        <v>2019/11/07 15:50:00</v>
      </c>
      <c r="F16" s="49" t="str">
        <f>IFERROR(__xludf.DUMMYFUNCTION("""COMPUTED_VALUE"""),"9183f1ec-6e86-44e3-b40f-11a1140f1f36")</f>
        <v>9183f1ec-6e86-44e3-b40f-11a1140f1f36</v>
      </c>
      <c r="G16" s="52">
        <f>IFERROR(__xludf.DUMMYFUNCTION("""COMPUTED_VALUE"""),43776.0)</f>
        <v>43776</v>
      </c>
      <c r="H16" s="53">
        <f>IFERROR(__xludf.DUMMYFUNCTION("""COMPUTED_VALUE"""),0.6458333333333334)</f>
        <v>0.6458333333</v>
      </c>
      <c r="I16" s="52">
        <f>IFERROR(__xludf.DUMMYFUNCTION("""COMPUTED_VALUE"""),43776.0)</f>
        <v>43776</v>
      </c>
      <c r="J16" s="53">
        <f>IFERROR(__xludf.DUMMYFUNCTION("""COMPUTED_VALUE"""),0.6597222222222222)</f>
        <v>0.6597222222</v>
      </c>
      <c r="K16" s="53">
        <f t="shared" si="1"/>
        <v>0.01388888889</v>
      </c>
      <c r="L16" s="49" t="s">
        <v>109</v>
      </c>
      <c r="M16" s="49"/>
      <c r="N16" s="49"/>
      <c r="O16" s="48"/>
      <c r="P16" s="48"/>
      <c r="Q16" s="63"/>
      <c r="R16" s="49"/>
      <c r="S16" s="49"/>
      <c r="T16" s="49"/>
    </row>
    <row r="17">
      <c r="A17" s="49"/>
      <c r="B17" s="49"/>
      <c r="C17" s="51"/>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255</v>
      </c>
      <c r="M17" s="49"/>
      <c r="N17" s="49"/>
      <c r="O17" s="49"/>
      <c r="P17" s="49"/>
      <c r="Q17" s="49"/>
      <c r="R17" s="49"/>
      <c r="S17" s="49"/>
      <c r="T17" s="49"/>
    </row>
    <row r="18">
      <c r="A18" s="49"/>
      <c r="B18" s="49"/>
      <c r="C18" s="51"/>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255</v>
      </c>
      <c r="M18" s="49"/>
      <c r="N18" s="49"/>
      <c r="O18" s="49"/>
      <c r="P18" s="49"/>
      <c r="Q18" s="49"/>
      <c r="R18" s="49"/>
      <c r="S18" s="49"/>
      <c r="T18" s="49"/>
    </row>
    <row r="19">
      <c r="A19" s="49"/>
      <c r="B19" s="49"/>
      <c r="C19" s="51"/>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255</v>
      </c>
      <c r="M19" s="49"/>
      <c r="N19" s="49"/>
      <c r="O19" s="49"/>
      <c r="P19" s="49"/>
      <c r="Q19" s="49"/>
      <c r="R19" s="49"/>
      <c r="S19" s="49"/>
      <c r="T19" s="49"/>
    </row>
    <row r="20">
      <c r="A20" s="49"/>
      <c r="B20" s="49"/>
      <c r="C20" s="51"/>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255</v>
      </c>
      <c r="M20" s="49"/>
      <c r="N20" s="49"/>
      <c r="O20" s="49"/>
      <c r="P20" s="49"/>
      <c r="Q20" s="49"/>
      <c r="R20" s="49"/>
      <c r="S20" s="49"/>
      <c r="T20" s="49"/>
    </row>
    <row r="21">
      <c r="A21" s="49"/>
      <c r="B21" s="49"/>
      <c r="C21" s="51"/>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255</v>
      </c>
      <c r="M21" s="49"/>
      <c r="N21" s="49"/>
      <c r="O21" s="49"/>
      <c r="P21" s="49"/>
      <c r="Q21" s="49"/>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255</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f t="shared" si="1"/>
        <v>0</v>
      </c>
      <c r="L23" s="49" t="s">
        <v>255</v>
      </c>
      <c r="M23" s="49"/>
      <c r="N23" s="49"/>
      <c r="O23" s="49"/>
      <c r="P23" s="49"/>
      <c r="Q23" s="49"/>
      <c r="R23" s="49"/>
      <c r="S23" s="49"/>
      <c r="T23" s="49"/>
    </row>
    <row r="24">
      <c r="A24" s="49"/>
      <c r="B24" s="49"/>
      <c r="C24" s="51"/>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255</v>
      </c>
      <c r="M24" s="49"/>
      <c r="N24" s="49"/>
      <c r="O24" s="49"/>
      <c r="P24" s="49"/>
      <c r="Q24" s="49"/>
      <c r="R24" s="49"/>
      <c r="S24" s="49"/>
      <c r="T24" s="49"/>
    </row>
    <row r="25">
      <c r="A25" s="49"/>
      <c r="B25" s="49"/>
      <c r="C25" s="51"/>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255</v>
      </c>
      <c r="M25" s="49"/>
      <c r="N25" s="49"/>
      <c r="O25" s="49"/>
      <c r="P25" s="49"/>
      <c r="Q25" s="49"/>
      <c r="R25" s="49"/>
      <c r="S25" s="49"/>
      <c r="T25" s="49"/>
    </row>
    <row r="26">
      <c r="A26" s="49"/>
      <c r="B26" s="49"/>
      <c r="C26" s="51"/>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255</v>
      </c>
      <c r="M26" s="49"/>
      <c r="N26" s="49"/>
      <c r="O26" s="49"/>
      <c r="P26" s="49"/>
      <c r="Q26" s="49"/>
      <c r="R26" s="49"/>
      <c r="S26" s="49"/>
      <c r="T26" s="49"/>
    </row>
    <row r="27">
      <c r="A27" s="49"/>
      <c r="B27" s="49"/>
      <c r="C27" s="51"/>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255</v>
      </c>
      <c r="M27" s="49"/>
      <c r="N27" s="49"/>
      <c r="O27" s="49"/>
      <c r="P27" s="49"/>
      <c r="Q27" s="49"/>
      <c r="R27" s="49"/>
      <c r="S27" s="49"/>
      <c r="T27" s="49"/>
    </row>
    <row r="28">
      <c r="A28" s="49"/>
      <c r="B28" s="49"/>
      <c r="C28" s="51"/>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255</v>
      </c>
      <c r="M28" s="49"/>
      <c r="N28" s="49"/>
      <c r="O28" s="49"/>
      <c r="P28" s="49"/>
      <c r="Q28" s="49"/>
      <c r="R28" s="49"/>
      <c r="S28" s="49"/>
      <c r="T28" s="49"/>
    </row>
    <row r="29">
      <c r="A29" s="49"/>
      <c r="B29" s="49"/>
      <c r="C29" s="51"/>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255</v>
      </c>
      <c r="M29" s="49"/>
      <c r="N29" s="49"/>
      <c r="O29" s="49"/>
      <c r="P29" s="49"/>
      <c r="Q29" s="49"/>
      <c r="R29" s="49"/>
      <c r="S29" s="49"/>
      <c r="T29" s="49"/>
    </row>
    <row r="30">
      <c r="A30" s="49"/>
      <c r="B30" s="49"/>
      <c r="C30" s="51"/>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255</v>
      </c>
      <c r="M30" s="49"/>
      <c r="N30" s="49"/>
      <c r="O30" s="49"/>
      <c r="P30" s="49"/>
      <c r="Q30" s="49"/>
      <c r="R30" s="49"/>
      <c r="S30" s="49"/>
      <c r="T30" s="49"/>
    </row>
    <row r="31">
      <c r="A31" s="49"/>
      <c r="B31" s="49"/>
      <c r="C31" s="51"/>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255</v>
      </c>
      <c r="M31" s="49"/>
      <c r="N31" s="49"/>
      <c r="O31" s="49"/>
      <c r="P31" s="49"/>
      <c r="Q31" s="49"/>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255</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255</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255</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255</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255</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255</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255</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255</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255</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255</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255</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255</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255</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255</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255</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255</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255</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255</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255</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255</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255</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255</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255</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255</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255</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255</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255</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255</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255</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255</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255</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255</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255</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255</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255</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255</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255</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255</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255</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255</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255</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255</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255</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255</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255</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255</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255</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255</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255</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255</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255</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255</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255</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255</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255</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255</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255</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255</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255</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255</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255</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255</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255</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255</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255</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255</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255</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255</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255</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255</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255</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255</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255</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255</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255</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255</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255</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255</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255</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255</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255</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255</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255</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255</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255</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255</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255</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255</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255</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255</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255</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255</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255</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255</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255</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255</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255</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255</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255</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255</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255</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255</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255</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255</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255</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255</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255</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255</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255</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255</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255</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255</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255</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255</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255</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255</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255</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255</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255</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255</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255</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255</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255</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255</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255</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255</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255</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255</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255</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255</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255</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255</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255</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255</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255</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255</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255</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255</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255</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255</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255</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255</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255</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255</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255</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255</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255</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255</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255</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255</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255</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255</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255</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255</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255</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255</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255</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255</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255</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255</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255</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255</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255</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255</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255</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255</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255</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255</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255</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255</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255</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255</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255</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255</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255</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255</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255</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255</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255</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255</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255</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255</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255</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255</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255</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255</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255</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255</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255</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255</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255</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255</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255</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255</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255</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255</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255</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255</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255</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255</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255</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255</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255</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255</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255</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255</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255</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255</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255</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255</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255</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255</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255</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255</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255</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255</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255</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255</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255</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255</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255</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255</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255</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255</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255</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255</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255</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255</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255</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255</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255</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255</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255</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255</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255</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255</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255</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255</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255</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255</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255</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255</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255</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255</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255</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255</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255</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255</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255</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255</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255</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255</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255</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255</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255</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255</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255</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255</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255</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255</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255</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255</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255</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255</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255</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255</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255</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255</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255</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255</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255</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255</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255</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255</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255</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255</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255</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255</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255</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255</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255</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255</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255</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255</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255</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255</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255</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255</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255</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255</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255</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255</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255</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255</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255</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255</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255</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255</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255</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255</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255</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255</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255</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255</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255</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255</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255</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255</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255</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255</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255</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255</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255</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255</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255</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255</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255</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255</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255</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255</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255</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255</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255</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255</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255</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255</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255</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255</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255</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255</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255</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255</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255</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255</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255</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255</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255</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255</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255</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255</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255</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255</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255</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255</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255</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255</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255</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255</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255</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255</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255</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255</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255</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255</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255</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255</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255</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255</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255</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255</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255</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255</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255</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255</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255</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255</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255</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255</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255</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255</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255</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255</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255</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255</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255</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255</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255</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255</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255</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255</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255</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255</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255</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255</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255</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255</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255</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255</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255</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255</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255</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255</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255</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255</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255</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255</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255</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255</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255</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255</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255</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255</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255</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255</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255</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255</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255</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255</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255</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255</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255</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255</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255</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255</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255</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255</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255</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255</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255</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255</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255</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255</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255</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255</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255</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255</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255</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255</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255</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255</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255</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255</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255</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255</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255</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255</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255</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255</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255</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255</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255</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255</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255</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255</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255</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255</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255</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255</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255</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255</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255</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255</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255</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255</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255</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255</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255</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255</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255</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255</v>
      </c>
      <c r="M524" s="49"/>
      <c r="N524" s="49"/>
      <c r="O524" s="49"/>
      <c r="P524" s="49"/>
      <c r="Q524" s="49"/>
      <c r="R524" s="49"/>
      <c r="S524" s="49"/>
      <c r="T524" s="49"/>
    </row>
  </sheetData>
  <conditionalFormatting sqref="O2:O16">
    <cfRule type="containsText" dxfId="4" priority="1" operator="containsText" text="YES">
      <formula>NOT(ISERROR(SEARCH(("YES"),(O2))))</formula>
    </cfRule>
  </conditionalFormatting>
  <conditionalFormatting sqref="O2:O16">
    <cfRule type="cellIs" dxfId="5" priority="2" operator="equal">
      <formula>"NO"</formula>
    </cfRule>
  </conditionalFormatting>
  <conditionalFormatting sqref="P2:P16">
    <cfRule type="cellIs" dxfId="4" priority="3" operator="equal">
      <formula>"AVAILABLE"</formula>
    </cfRule>
  </conditionalFormatting>
  <conditionalFormatting sqref="P2:P16">
    <cfRule type="cellIs" dxfId="5" priority="4" operator="equal">
      <formula>"NOT AVAILABLE"</formula>
    </cfRule>
  </conditionalFormatting>
  <conditionalFormatting sqref="Q2:Q16">
    <cfRule type="cellIs" dxfId="4" priority="5" operator="equal">
      <formula>"AVAILABLE"</formula>
    </cfRule>
  </conditionalFormatting>
  <conditionalFormatting sqref="Q2:Q16">
    <cfRule type="cellIs" dxfId="6" priority="6" operator="equal">
      <formula>"UPLOADING"</formula>
    </cfRule>
  </conditionalFormatting>
  <conditionalFormatting sqref="Q2:Q16">
    <cfRule type="cellIs" dxfId="5" priority="7" operator="equal">
      <formula>"NOT AVAILABLE"</formula>
    </cfRule>
  </conditionalFormatting>
  <dataValidations>
    <dataValidation type="list" allowBlank="1" sqref="O2:O16">
      <formula1>"YES,NO"</formula1>
    </dataValidation>
    <dataValidation type="list" allowBlank="1" sqref="P2:P16">
      <formula1>"AVAILABLE,NOT AVAILABLE"</formula1>
    </dataValidation>
    <dataValidation type="list" allowBlank="1" sqref="Q2:Q16">
      <formula1>"AVAILABLE,UPLOADING,NOT AVAILABLE"</formula1>
    </dataValidation>
  </dataValidations>
  <drawing r:id="rId1"/>
  <tableParts count="1">
    <tablePart r:id="rId3"/>
  </tableParts>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7.86"/>
    <col customWidth="1" min="3" max="3" width="20.43"/>
    <col hidden="1" min="4" max="5" width="14.43"/>
    <col customWidth="1" min="6" max="6" width="37.14"/>
    <col hidden="1" min="9" max="9" width="14.43"/>
  </cols>
  <sheetData>
    <row r="1">
      <c r="A1" s="46" t="s">
        <v>79</v>
      </c>
      <c r="B1" s="46" t="s">
        <v>80</v>
      </c>
      <c r="C1" s="46"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'Growth Summit' ORDER BY F"")"),"Opening remarks")</f>
        <v>Opening remarks</v>
      </c>
      <c r="B2" s="49" t="str">
        <f>IFERROR(__xludf.DUMMYFUNCTION("""COMPUTED_VALUE"""),"Growth Summit")</f>
        <v>Growth Summit</v>
      </c>
      <c r="C2" s="49" t="str">
        <f>IFERROR(__xludf.DUMMYFUNCTION("""COMPUTED_VALUE"""),"Fatima Zaidi")</f>
        <v>Fatima Zaidi</v>
      </c>
      <c r="D2" s="49" t="str">
        <f>IFERROR(__xludf.DUMMYFUNCTION("""COMPUTED_VALUE"""),"2019/11/05 10:00:00")</f>
        <v>2019/11/05 10:00:00</v>
      </c>
      <c r="E2" s="49" t="str">
        <f>IFERROR(__xludf.DUMMYFUNCTION("""COMPUTED_VALUE"""),"2019/11/05 10:02:00")</f>
        <v>2019/11/05 10:02:00</v>
      </c>
      <c r="F2" s="49" t="str">
        <f>IFERROR(__xludf.DUMMYFUNCTION("""COMPUTED_VALUE"""),"8e97beed-8cde-4f3d-9019-3e346185de2c")</f>
        <v>8e97beed-8cde-4f3d-9019-3e346185de2c</v>
      </c>
      <c r="G2" s="54">
        <f>IFERROR(__xludf.DUMMYFUNCTION("ARRAYFORMULA(SPLIT(D2:D197,"" ""))"),43774.0)</f>
        <v>43774</v>
      </c>
      <c r="H2" s="53">
        <f>IFERROR(__xludf.DUMMYFUNCTION("""COMPUTED_VALUE"""),0.4166666666666667)</f>
        <v>0.4166666667</v>
      </c>
      <c r="I2" s="54">
        <f>IFERROR(__xludf.DUMMYFUNCTION("ARRAYFORMULA(SPLIT(E2:E197,"" ""))"),43774.0)</f>
        <v>43774</v>
      </c>
      <c r="J2" s="53">
        <f>IFERROR(__xludf.DUMMYFUNCTION("""COMPUTED_VALUE"""),0.41805555555555557)</f>
        <v>0.4180555556</v>
      </c>
      <c r="K2" s="53">
        <f t="shared" ref="K2:K164" si="1">J2-H2</f>
        <v>0.001388888889</v>
      </c>
      <c r="L2" s="49" t="str">
        <f t="array" ref="L2:L197">TEXT(K2:K197,"hhmmss")</f>
        <v>000200</v>
      </c>
      <c r="M2" s="62" t="s">
        <v>582</v>
      </c>
      <c r="N2" s="62" t="str">
        <f>CONCATENATE(M2,"_",F2,"_","000000_000000.mp4")</f>
        <v>GS_4_1_8e97beed-8cde-4f3d-9019-3e346185de2c_000000_000000.mp4</v>
      </c>
      <c r="O2" s="48"/>
      <c r="P2" s="48"/>
      <c r="Q2" s="63"/>
      <c r="R2" s="49"/>
      <c r="S2" s="49"/>
      <c r="T2" s="49"/>
    </row>
    <row r="3">
      <c r="A3" s="49" t="str">
        <f>IFERROR(__xludf.DUMMYFUNCTION("""COMPUTED_VALUE"""),"Getting a VC to say yes: Securing the funding you need to grow")</f>
        <v>Getting a VC to say yes: Securing the funding you need to grow</v>
      </c>
      <c r="B3" s="49" t="str">
        <f>IFERROR(__xludf.DUMMYFUNCTION("""COMPUTED_VALUE"""),"Growth Summit")</f>
        <v>Growth Summit</v>
      </c>
      <c r="C3" s="49" t="str">
        <f>IFERROR(__xludf.DUMMYFUNCTION("""COMPUTED_VALUE"""),"Hannah Dawson")</f>
        <v>Hannah Dawson</v>
      </c>
      <c r="D3" s="49" t="str">
        <f>IFERROR(__xludf.DUMMYFUNCTION("""COMPUTED_VALUE"""),"2019/11/05 10:02:00")</f>
        <v>2019/11/05 10:02:00</v>
      </c>
      <c r="E3" s="49" t="str">
        <f>IFERROR(__xludf.DUMMYFUNCTION("""COMPUTED_VALUE"""),"2019/11/05 10:06:00")</f>
        <v>2019/11/05 10:06:00</v>
      </c>
      <c r="F3" s="49" t="str">
        <f>IFERROR(__xludf.DUMMYFUNCTION("""COMPUTED_VALUE"""),"5b5fa4ff-6683-438d-be33-29e501d9991f")</f>
        <v>5b5fa4ff-6683-438d-be33-29e501d9991f</v>
      </c>
      <c r="G3" s="52">
        <f>IFERROR(__xludf.DUMMYFUNCTION("""COMPUTED_VALUE"""),43774.0)</f>
        <v>43774</v>
      </c>
      <c r="H3" s="53">
        <f>IFERROR(__xludf.DUMMYFUNCTION("""COMPUTED_VALUE"""),0.41805555555555557)</f>
        <v>0.4180555556</v>
      </c>
      <c r="I3" s="52">
        <f>IFERROR(__xludf.DUMMYFUNCTION("""COMPUTED_VALUE"""),43774.0)</f>
        <v>43774</v>
      </c>
      <c r="J3" s="53">
        <f>IFERROR(__xludf.DUMMYFUNCTION("""COMPUTED_VALUE"""),0.42083333333333334)</f>
        <v>0.4208333333</v>
      </c>
      <c r="K3" s="53">
        <f t="shared" si="1"/>
        <v>0.002777777778</v>
      </c>
      <c r="L3" s="49" t="s">
        <v>583</v>
      </c>
      <c r="M3" s="49"/>
      <c r="N3" s="49"/>
      <c r="O3" s="48"/>
      <c r="P3" s="48"/>
      <c r="Q3" s="63"/>
      <c r="R3" s="49"/>
      <c r="S3" s="49"/>
      <c r="T3" s="49"/>
    </row>
    <row r="4">
      <c r="A4" s="49" t="str">
        <f>IFERROR(__xludf.DUMMYFUNCTION("""COMPUTED_VALUE"""),"The three rules to break for lasting growth")</f>
        <v>The three rules to break for lasting growth</v>
      </c>
      <c r="B4" s="49" t="str">
        <f>IFERROR(__xludf.DUMMYFUNCTION("""COMPUTED_VALUE"""),"Growth Summit")</f>
        <v>Growth Summit</v>
      </c>
      <c r="C4" s="49" t="str">
        <f>IFERROR(__xludf.DUMMYFUNCTION("""COMPUTED_VALUE"""),"Ike Kavas")</f>
        <v>Ike Kavas</v>
      </c>
      <c r="D4" s="49" t="str">
        <f>IFERROR(__xludf.DUMMYFUNCTION("""COMPUTED_VALUE"""),"2019/11/05 10:06:00")</f>
        <v>2019/11/05 10:06:00</v>
      </c>
      <c r="E4" s="49" t="str">
        <f>IFERROR(__xludf.DUMMYFUNCTION("""COMPUTED_VALUE"""),"2019/11/05 10:10:00")</f>
        <v>2019/11/05 10:10:00</v>
      </c>
      <c r="F4" s="49" t="str">
        <f>IFERROR(__xludf.DUMMYFUNCTION("""COMPUTED_VALUE"""),"b40c8aa7-2c8f-4c7f-9768-b9ac4a9f5008")</f>
        <v>b40c8aa7-2c8f-4c7f-9768-b9ac4a9f5008</v>
      </c>
      <c r="G4" s="52">
        <f>IFERROR(__xludf.DUMMYFUNCTION("""COMPUTED_VALUE"""),43774.0)</f>
        <v>43774</v>
      </c>
      <c r="H4" s="53">
        <f>IFERROR(__xludf.DUMMYFUNCTION("""COMPUTED_VALUE"""),0.42083333333333334)</f>
        <v>0.4208333333</v>
      </c>
      <c r="I4" s="52">
        <f>IFERROR(__xludf.DUMMYFUNCTION("""COMPUTED_VALUE"""),43774.0)</f>
        <v>43774</v>
      </c>
      <c r="J4" s="53">
        <f>IFERROR(__xludf.DUMMYFUNCTION("""COMPUTED_VALUE"""),0.4236111111111111)</f>
        <v>0.4236111111</v>
      </c>
      <c r="K4" s="53">
        <f t="shared" si="1"/>
        <v>0.002777777778</v>
      </c>
      <c r="L4" s="49" t="s">
        <v>583</v>
      </c>
      <c r="M4" s="49"/>
      <c r="N4" s="49"/>
      <c r="O4" s="48"/>
      <c r="P4" s="48"/>
      <c r="Q4" s="63"/>
      <c r="R4" s="49"/>
      <c r="S4" s="49"/>
      <c r="T4" s="49"/>
    </row>
    <row r="5">
      <c r="A5" s="49" t="str">
        <f>IFERROR(__xludf.DUMMYFUNCTION("""COMPUTED_VALUE"""),"How BestDoctor multiplied business by 500%")</f>
        <v>How BestDoctor multiplied business by 500%</v>
      </c>
      <c r="B5" s="49" t="str">
        <f>IFERROR(__xludf.DUMMYFUNCTION("""COMPUTED_VALUE"""),"Growth Summit")</f>
        <v>Growth Summit</v>
      </c>
      <c r="C5" s="49" t="str">
        <f>IFERROR(__xludf.DUMMYFUNCTION("""COMPUTED_VALUE"""),"Mark Sanevich")</f>
        <v>Mark Sanevich</v>
      </c>
      <c r="D5" s="49" t="str">
        <f>IFERROR(__xludf.DUMMYFUNCTION("""COMPUTED_VALUE"""),"2019/11/05 10:10:00")</f>
        <v>2019/11/05 10:10:00</v>
      </c>
      <c r="E5" s="49" t="str">
        <f>IFERROR(__xludf.DUMMYFUNCTION("""COMPUTED_VALUE"""),"2019/11/05 10:14:00")</f>
        <v>2019/11/05 10:14:00</v>
      </c>
      <c r="F5" s="49" t="str">
        <f>IFERROR(__xludf.DUMMYFUNCTION("""COMPUTED_VALUE"""),"3f00f51a-fc0a-45fd-ac87-cb17c0685214")</f>
        <v>3f00f51a-fc0a-45fd-ac87-cb17c0685214</v>
      </c>
      <c r="G5" s="52">
        <f>IFERROR(__xludf.DUMMYFUNCTION("""COMPUTED_VALUE"""),43774.0)</f>
        <v>43774</v>
      </c>
      <c r="H5" s="53">
        <f>IFERROR(__xludf.DUMMYFUNCTION("""COMPUTED_VALUE"""),0.4236111111111111)</f>
        <v>0.4236111111</v>
      </c>
      <c r="I5" s="52">
        <f>IFERROR(__xludf.DUMMYFUNCTION("""COMPUTED_VALUE"""),43774.0)</f>
        <v>43774</v>
      </c>
      <c r="J5" s="53">
        <f>IFERROR(__xludf.DUMMYFUNCTION("""COMPUTED_VALUE"""),0.4263888888888889)</f>
        <v>0.4263888889</v>
      </c>
      <c r="K5" s="53">
        <f t="shared" si="1"/>
        <v>0.002777777778</v>
      </c>
      <c r="L5" s="49" t="s">
        <v>583</v>
      </c>
      <c r="M5" s="49"/>
      <c r="N5" s="49"/>
      <c r="O5" s="48"/>
      <c r="P5" s="48"/>
      <c r="Q5" s="63"/>
      <c r="R5" s="49"/>
      <c r="S5" s="49"/>
      <c r="T5" s="49"/>
    </row>
    <row r="6">
      <c r="A6" s="49" t="str">
        <f>IFERROR(__xludf.DUMMYFUNCTION("""COMPUTED_VALUE"""),"The anatomy of the perfect pitch deck")</f>
        <v>The anatomy of the perfect pitch deck</v>
      </c>
      <c r="B6" s="49" t="str">
        <f>IFERROR(__xludf.DUMMYFUNCTION("""COMPUTED_VALUE"""),"Growth Summit")</f>
        <v>Growth Summit</v>
      </c>
      <c r="C6" s="49" t="str">
        <f>IFERROR(__xludf.DUMMYFUNCTION("""COMPUTED_VALUE"""),"Russ Heddleston")</f>
        <v>Russ Heddleston</v>
      </c>
      <c r="D6" s="49" t="str">
        <f>IFERROR(__xludf.DUMMYFUNCTION("""COMPUTED_VALUE"""),"2019/11/05 10:14:00")</f>
        <v>2019/11/05 10:14:00</v>
      </c>
      <c r="E6" s="49" t="str">
        <f>IFERROR(__xludf.DUMMYFUNCTION("""COMPUTED_VALUE"""),"2019/11/05 10:18:00")</f>
        <v>2019/11/05 10:18:00</v>
      </c>
      <c r="F6" s="49" t="str">
        <f>IFERROR(__xludf.DUMMYFUNCTION("""COMPUTED_VALUE"""),"8b9d894d-b600-4de0-b33e-d15604afbe7d")</f>
        <v>8b9d894d-b600-4de0-b33e-d15604afbe7d</v>
      </c>
      <c r="G6" s="52">
        <f>IFERROR(__xludf.DUMMYFUNCTION("""COMPUTED_VALUE"""),43774.0)</f>
        <v>43774</v>
      </c>
      <c r="H6" s="53">
        <f>IFERROR(__xludf.DUMMYFUNCTION("""COMPUTED_VALUE"""),0.4263888888888889)</f>
        <v>0.4263888889</v>
      </c>
      <c r="I6" s="52">
        <f>IFERROR(__xludf.DUMMYFUNCTION("""COMPUTED_VALUE"""),43774.0)</f>
        <v>43774</v>
      </c>
      <c r="J6" s="53">
        <f>IFERROR(__xludf.DUMMYFUNCTION("""COMPUTED_VALUE"""),0.42916666666666664)</f>
        <v>0.4291666667</v>
      </c>
      <c r="K6" s="53">
        <f t="shared" si="1"/>
        <v>0.002777777778</v>
      </c>
      <c r="L6" s="49" t="s">
        <v>583</v>
      </c>
      <c r="M6" s="49"/>
      <c r="N6" s="49"/>
      <c r="O6" s="48"/>
      <c r="P6" s="48"/>
      <c r="Q6" s="63"/>
      <c r="R6" s="49"/>
      <c r="S6" s="49"/>
      <c r="T6" s="49"/>
    </row>
    <row r="7">
      <c r="A7" s="49" t="str">
        <f>IFERROR(__xludf.DUMMYFUNCTION("""COMPUTED_VALUE"""),"The startup challenge of transforming traditional industries")</f>
        <v>The startup challenge of transforming traditional industries</v>
      </c>
      <c r="B7" s="49" t="str">
        <f>IFERROR(__xludf.DUMMYFUNCTION("""COMPUTED_VALUE"""),"Growth Summit")</f>
        <v>Growth Summit</v>
      </c>
      <c r="C7" s="49" t="str">
        <f>IFERROR(__xludf.DUMMYFUNCTION("""COMPUTED_VALUE"""),"Etienne Amic")</f>
        <v>Etienne Amic</v>
      </c>
      <c r="D7" s="49" t="str">
        <f>IFERROR(__xludf.DUMMYFUNCTION("""COMPUTED_VALUE"""),"2019/11/05 10:18:00")</f>
        <v>2019/11/05 10:18:00</v>
      </c>
      <c r="E7" s="49" t="str">
        <f>IFERROR(__xludf.DUMMYFUNCTION("""COMPUTED_VALUE"""),"2019/11/05 10:22:00")</f>
        <v>2019/11/05 10:22:00</v>
      </c>
      <c r="F7" s="49" t="str">
        <f>IFERROR(__xludf.DUMMYFUNCTION("""COMPUTED_VALUE"""),"ec2598bd-9c94-47e2-8eac-21d90e1c2716")</f>
        <v>ec2598bd-9c94-47e2-8eac-21d90e1c2716</v>
      </c>
      <c r="G7" s="52">
        <f>IFERROR(__xludf.DUMMYFUNCTION("""COMPUTED_VALUE"""),43774.0)</f>
        <v>43774</v>
      </c>
      <c r="H7" s="53">
        <f>IFERROR(__xludf.DUMMYFUNCTION("""COMPUTED_VALUE"""),0.42916666666666664)</f>
        <v>0.4291666667</v>
      </c>
      <c r="I7" s="52">
        <f>IFERROR(__xludf.DUMMYFUNCTION("""COMPUTED_VALUE"""),43774.0)</f>
        <v>43774</v>
      </c>
      <c r="J7" s="53">
        <f>IFERROR(__xludf.DUMMYFUNCTION("""COMPUTED_VALUE"""),0.43194444444444446)</f>
        <v>0.4319444444</v>
      </c>
      <c r="K7" s="53">
        <f t="shared" si="1"/>
        <v>0.002777777778</v>
      </c>
      <c r="L7" s="49" t="s">
        <v>583</v>
      </c>
      <c r="M7" s="49"/>
      <c r="N7" s="49"/>
      <c r="O7" s="48"/>
      <c r="P7" s="48"/>
      <c r="Q7" s="63"/>
      <c r="R7" s="49"/>
      <c r="S7" s="49"/>
      <c r="T7" s="49"/>
    </row>
    <row r="8">
      <c r="A8" s="49" t="str">
        <f>IFERROR(__xludf.DUMMYFUNCTION("""COMPUTED_VALUE"""),"Why innovation is key to the success of your company")</f>
        <v>Why innovation is key to the success of your company</v>
      </c>
      <c r="B8" s="49" t="str">
        <f>IFERROR(__xludf.DUMMYFUNCTION("""COMPUTED_VALUE"""),"Growth Summit")</f>
        <v>Growth Summit</v>
      </c>
      <c r="C8" s="49" t="str">
        <f>IFERROR(__xludf.DUMMYFUNCTION("""COMPUTED_VALUE"""),"Laurent Souloumiac")</f>
        <v>Laurent Souloumiac</v>
      </c>
      <c r="D8" s="49" t="str">
        <f>IFERROR(__xludf.DUMMYFUNCTION("""COMPUTED_VALUE"""),"2019/11/05 10:22:00")</f>
        <v>2019/11/05 10:22:00</v>
      </c>
      <c r="E8" s="49" t="str">
        <f>IFERROR(__xludf.DUMMYFUNCTION("""COMPUTED_VALUE"""),"2019/11/05 10:26:00")</f>
        <v>2019/11/05 10:26:00</v>
      </c>
      <c r="F8" s="49" t="str">
        <f>IFERROR(__xludf.DUMMYFUNCTION("""COMPUTED_VALUE"""),"9abd472c-efa7-4678-9322-3d0a2485e955")</f>
        <v>9abd472c-efa7-4678-9322-3d0a2485e955</v>
      </c>
      <c r="G8" s="52">
        <f>IFERROR(__xludf.DUMMYFUNCTION("""COMPUTED_VALUE"""),43774.0)</f>
        <v>43774</v>
      </c>
      <c r="H8" s="53">
        <f>IFERROR(__xludf.DUMMYFUNCTION("""COMPUTED_VALUE"""),0.43194444444444446)</f>
        <v>0.4319444444</v>
      </c>
      <c r="I8" s="52">
        <f>IFERROR(__xludf.DUMMYFUNCTION("""COMPUTED_VALUE"""),43774.0)</f>
        <v>43774</v>
      </c>
      <c r="J8" s="53">
        <f>IFERROR(__xludf.DUMMYFUNCTION("""COMPUTED_VALUE"""),0.43472222222222223)</f>
        <v>0.4347222222</v>
      </c>
      <c r="K8" s="53">
        <f t="shared" si="1"/>
        <v>0.002777777778</v>
      </c>
      <c r="L8" s="49" t="s">
        <v>583</v>
      </c>
      <c r="M8" s="49"/>
      <c r="N8" s="49"/>
      <c r="O8" s="48"/>
      <c r="P8" s="48"/>
      <c r="Q8" s="63"/>
      <c r="R8" s="49"/>
      <c r="S8" s="49"/>
      <c r="T8" s="49"/>
    </row>
    <row r="9">
      <c r="A9" s="49" t="str">
        <f>IFERROR(__xludf.DUMMYFUNCTION("""COMPUTED_VALUE"""),"Financing SMEs in fast growing economies")</f>
        <v>Financing SMEs in fast growing economies</v>
      </c>
      <c r="B9" s="49" t="str">
        <f>IFERROR(__xludf.DUMMYFUNCTION("""COMPUTED_VALUE"""),"Growth Summit")</f>
        <v>Growth Summit</v>
      </c>
      <c r="C9" s="49" t="str">
        <f>IFERROR(__xludf.DUMMYFUNCTION("""COMPUTED_VALUE"""),"Tunde Kehinde")</f>
        <v>Tunde Kehinde</v>
      </c>
      <c r="D9" s="49" t="str">
        <f>IFERROR(__xludf.DUMMYFUNCTION("""COMPUTED_VALUE"""),"2019/11/05 10:26:00")</f>
        <v>2019/11/05 10:26:00</v>
      </c>
      <c r="E9" s="49" t="str">
        <f>IFERROR(__xludf.DUMMYFUNCTION("""COMPUTED_VALUE"""),"2019/11/05 10:30:00")</f>
        <v>2019/11/05 10:30:00</v>
      </c>
      <c r="F9" s="49" t="str">
        <f>IFERROR(__xludf.DUMMYFUNCTION("""COMPUTED_VALUE"""),"e38fa0e6-4127-40dc-a098-51180b1a1fcb")</f>
        <v>e38fa0e6-4127-40dc-a098-51180b1a1fcb</v>
      </c>
      <c r="G9" s="52">
        <f>IFERROR(__xludf.DUMMYFUNCTION("""COMPUTED_VALUE"""),43774.0)</f>
        <v>43774</v>
      </c>
      <c r="H9" s="53">
        <f>IFERROR(__xludf.DUMMYFUNCTION("""COMPUTED_VALUE"""),0.43472222222222223)</f>
        <v>0.4347222222</v>
      </c>
      <c r="I9" s="52">
        <f>IFERROR(__xludf.DUMMYFUNCTION("""COMPUTED_VALUE"""),43774.0)</f>
        <v>43774</v>
      </c>
      <c r="J9" s="53">
        <f>IFERROR(__xludf.DUMMYFUNCTION("""COMPUTED_VALUE"""),0.4375)</f>
        <v>0.4375</v>
      </c>
      <c r="K9" s="53">
        <f t="shared" si="1"/>
        <v>0.002777777778</v>
      </c>
      <c r="L9" s="49" t="s">
        <v>583</v>
      </c>
      <c r="M9" s="49"/>
      <c r="N9" s="49"/>
      <c r="O9" s="48"/>
      <c r="P9" s="48"/>
      <c r="Q9" s="63"/>
      <c r="R9" s="49"/>
      <c r="S9" s="49"/>
      <c r="T9" s="49"/>
    </row>
    <row r="10">
      <c r="A10" s="49" t="str">
        <f>IFERROR(__xludf.DUMMYFUNCTION("""COMPUTED_VALUE"""),"The art of the pivot: From agency to SaaS social listening to MLaaS ")</f>
        <v>The art of the pivot: From agency to SaaS social listening to MLaaS </v>
      </c>
      <c r="B10" s="49" t="str">
        <f>IFERROR(__xludf.DUMMYFUNCTION("""COMPUTED_VALUE"""),"Growth Summit")</f>
        <v>Growth Summit</v>
      </c>
      <c r="C10" s="49" t="str">
        <f>IFERROR(__xludf.DUMMYFUNCTION("""COMPUTED_VALUE"""),"Rob Key")</f>
        <v>Rob Key</v>
      </c>
      <c r="D10" s="49" t="str">
        <f>IFERROR(__xludf.DUMMYFUNCTION("""COMPUTED_VALUE"""),"2019/11/05 10:30:00")</f>
        <v>2019/11/05 10:30:00</v>
      </c>
      <c r="E10" s="49" t="str">
        <f>IFERROR(__xludf.DUMMYFUNCTION("""COMPUTED_VALUE"""),"2019/11/05 10:34:00")</f>
        <v>2019/11/05 10:34:00</v>
      </c>
      <c r="F10" s="49" t="str">
        <f>IFERROR(__xludf.DUMMYFUNCTION("""COMPUTED_VALUE"""),"9f2cfe2e-084f-4c23-be43-711a539881b1")</f>
        <v>9f2cfe2e-084f-4c23-be43-711a539881b1</v>
      </c>
      <c r="G10" s="52">
        <f>IFERROR(__xludf.DUMMYFUNCTION("""COMPUTED_VALUE"""),43774.0)</f>
        <v>43774</v>
      </c>
      <c r="H10" s="53">
        <f>IFERROR(__xludf.DUMMYFUNCTION("""COMPUTED_VALUE"""),0.4375)</f>
        <v>0.4375</v>
      </c>
      <c r="I10" s="52">
        <f>IFERROR(__xludf.DUMMYFUNCTION("""COMPUTED_VALUE"""),43774.0)</f>
        <v>43774</v>
      </c>
      <c r="J10" s="53">
        <f>IFERROR(__xludf.DUMMYFUNCTION("""COMPUTED_VALUE"""),0.44027777777777777)</f>
        <v>0.4402777778</v>
      </c>
      <c r="K10" s="53">
        <f t="shared" si="1"/>
        <v>0.002777777778</v>
      </c>
      <c r="L10" s="49" t="s">
        <v>583</v>
      </c>
      <c r="M10" s="49"/>
      <c r="N10" s="49"/>
      <c r="O10" s="48"/>
      <c r="P10" s="48"/>
      <c r="Q10" s="63"/>
      <c r="R10" s="49"/>
      <c r="S10" s="49"/>
      <c r="T10" s="49"/>
    </row>
    <row r="11">
      <c r="A11" s="49" t="str">
        <f>IFERROR(__xludf.DUMMYFUNCTION("""COMPUTED_VALUE"""),"The bull's eye strategy to bootstrap past $2m ARR")</f>
        <v>The bull's eye strategy to bootstrap past $2m ARR</v>
      </c>
      <c r="B11" s="49" t="str">
        <f>IFERROR(__xludf.DUMMYFUNCTION("""COMPUTED_VALUE"""),"Growth Summit")</f>
        <v>Growth Summit</v>
      </c>
      <c r="C11" s="49" t="str">
        <f>IFERROR(__xludf.DUMMYFUNCTION("""COMPUTED_VALUE"""),"Nicolas Vandenberghe")</f>
        <v>Nicolas Vandenberghe</v>
      </c>
      <c r="D11" s="49" t="str">
        <f>IFERROR(__xludf.DUMMYFUNCTION("""COMPUTED_VALUE"""),"2019/11/05 10:34:00")</f>
        <v>2019/11/05 10:34:00</v>
      </c>
      <c r="E11" s="49" t="str">
        <f>IFERROR(__xludf.DUMMYFUNCTION("""COMPUTED_VALUE"""),"2019/11/05 10:38:00")</f>
        <v>2019/11/05 10:38:00</v>
      </c>
      <c r="F11" s="49" t="str">
        <f>IFERROR(__xludf.DUMMYFUNCTION("""COMPUTED_VALUE"""),"00d9bc29-2697-4e24-9413-6fe06fd96eda")</f>
        <v>00d9bc29-2697-4e24-9413-6fe06fd96eda</v>
      </c>
      <c r="G11" s="52">
        <f>IFERROR(__xludf.DUMMYFUNCTION("""COMPUTED_VALUE"""),43774.0)</f>
        <v>43774</v>
      </c>
      <c r="H11" s="53">
        <f>IFERROR(__xludf.DUMMYFUNCTION("""COMPUTED_VALUE"""),0.44027777777777777)</f>
        <v>0.4402777778</v>
      </c>
      <c r="I11" s="52">
        <f>IFERROR(__xludf.DUMMYFUNCTION("""COMPUTED_VALUE"""),43774.0)</f>
        <v>43774</v>
      </c>
      <c r="J11" s="53">
        <f>IFERROR(__xludf.DUMMYFUNCTION("""COMPUTED_VALUE"""),0.44305555555555554)</f>
        <v>0.4430555556</v>
      </c>
      <c r="K11" s="53">
        <f t="shared" si="1"/>
        <v>0.002777777778</v>
      </c>
      <c r="L11" s="49" t="s">
        <v>583</v>
      </c>
      <c r="M11" s="49"/>
      <c r="N11" s="49"/>
      <c r="O11" s="48"/>
      <c r="P11" s="48"/>
      <c r="Q11" s="63"/>
      <c r="R11" s="49"/>
      <c r="S11" s="49"/>
      <c r="T11" s="49"/>
    </row>
    <row r="12">
      <c r="A12" s="49" t="str">
        <f>IFERROR(__xludf.DUMMYFUNCTION("""COMPUTED_VALUE"""),"Ad tech is dead.  What’s next?")</f>
        <v>Ad tech is dead.  What’s next?</v>
      </c>
      <c r="B12" s="49" t="str">
        <f>IFERROR(__xludf.DUMMYFUNCTION("""COMPUTED_VALUE"""),"Growth Summit")</f>
        <v>Growth Summit</v>
      </c>
      <c r="C12" s="49" t="str">
        <f>IFERROR(__xludf.DUMMYFUNCTION("""COMPUTED_VALUE"""),"Marcus Jacobsson")</f>
        <v>Marcus Jacobsson</v>
      </c>
      <c r="D12" s="49" t="str">
        <f>IFERROR(__xludf.DUMMYFUNCTION("""COMPUTED_VALUE"""),"2019/11/05 10:38:00")</f>
        <v>2019/11/05 10:38:00</v>
      </c>
      <c r="E12" s="49" t="str">
        <f>IFERROR(__xludf.DUMMYFUNCTION("""COMPUTED_VALUE"""),"2019/11/05 10:42:00")</f>
        <v>2019/11/05 10:42:00</v>
      </c>
      <c r="F12" s="49" t="str">
        <f>IFERROR(__xludf.DUMMYFUNCTION("""COMPUTED_VALUE"""),"cae9db33-a98f-4c61-96a4-f22613ca158f")</f>
        <v>cae9db33-a98f-4c61-96a4-f22613ca158f</v>
      </c>
      <c r="G12" s="52">
        <f>IFERROR(__xludf.DUMMYFUNCTION("""COMPUTED_VALUE"""),43774.0)</f>
        <v>43774</v>
      </c>
      <c r="H12" s="53">
        <f>IFERROR(__xludf.DUMMYFUNCTION("""COMPUTED_VALUE"""),0.44305555555555554)</f>
        <v>0.4430555556</v>
      </c>
      <c r="I12" s="52">
        <f>IFERROR(__xludf.DUMMYFUNCTION("""COMPUTED_VALUE"""),43774.0)</f>
        <v>43774</v>
      </c>
      <c r="J12" s="53">
        <f>IFERROR(__xludf.DUMMYFUNCTION("""COMPUTED_VALUE"""),0.44583333333333336)</f>
        <v>0.4458333333</v>
      </c>
      <c r="K12" s="53">
        <f t="shared" si="1"/>
        <v>0.002777777778</v>
      </c>
      <c r="L12" s="49" t="s">
        <v>583</v>
      </c>
      <c r="M12" s="49"/>
      <c r="N12" s="49"/>
      <c r="O12" s="48"/>
      <c r="P12" s="48"/>
      <c r="Q12" s="63"/>
      <c r="R12" s="49"/>
      <c r="S12" s="49"/>
      <c r="T12" s="49"/>
    </row>
    <row r="13">
      <c r="A13" s="49" t="str">
        <f>IFERROR(__xludf.DUMMYFUNCTION("""COMPUTED_VALUE"""),"Reimagining healthcare: Why incentives matter")</f>
        <v>Reimagining healthcare: Why incentives matter</v>
      </c>
      <c r="B13" s="49" t="str">
        <f>IFERROR(__xludf.DUMMYFUNCTION("""COMPUTED_VALUE"""),"Growth Summit")</f>
        <v>Growth Summit</v>
      </c>
      <c r="C13" s="49" t="str">
        <f>IFERROR(__xludf.DUMMYFUNCTION("""COMPUTED_VALUE"""),"Joe Kahn")</f>
        <v>Joe Kahn</v>
      </c>
      <c r="D13" s="49" t="str">
        <f>IFERROR(__xludf.DUMMYFUNCTION("""COMPUTED_VALUE"""),"2019/11/05 10:42:00")</f>
        <v>2019/11/05 10:42:00</v>
      </c>
      <c r="E13" s="49" t="str">
        <f>IFERROR(__xludf.DUMMYFUNCTION("""COMPUTED_VALUE"""),"2019/11/05 10:46:00")</f>
        <v>2019/11/05 10:46:00</v>
      </c>
      <c r="F13" s="49" t="str">
        <f>IFERROR(__xludf.DUMMYFUNCTION("""COMPUTED_VALUE"""),"e7c4b4fe-1c4f-42ed-9a4e-d2e4b31edbaf")</f>
        <v>e7c4b4fe-1c4f-42ed-9a4e-d2e4b31edbaf</v>
      </c>
      <c r="G13" s="52">
        <f>IFERROR(__xludf.DUMMYFUNCTION("""COMPUTED_VALUE"""),43774.0)</f>
        <v>43774</v>
      </c>
      <c r="H13" s="53">
        <f>IFERROR(__xludf.DUMMYFUNCTION("""COMPUTED_VALUE"""),0.44583333333333336)</f>
        <v>0.4458333333</v>
      </c>
      <c r="I13" s="52">
        <f>IFERROR(__xludf.DUMMYFUNCTION("""COMPUTED_VALUE"""),43774.0)</f>
        <v>43774</v>
      </c>
      <c r="J13" s="53">
        <f>IFERROR(__xludf.DUMMYFUNCTION("""COMPUTED_VALUE"""),0.4486111111111111)</f>
        <v>0.4486111111</v>
      </c>
      <c r="K13" s="53">
        <f t="shared" si="1"/>
        <v>0.002777777778</v>
      </c>
      <c r="L13" s="49" t="s">
        <v>583</v>
      </c>
      <c r="M13" s="49"/>
      <c r="N13" s="49"/>
      <c r="O13" s="48"/>
      <c r="P13" s="48"/>
      <c r="Q13" s="63"/>
      <c r="R13" s="49"/>
      <c r="S13" s="49"/>
      <c r="T13" s="49"/>
    </row>
    <row r="14">
      <c r="A14" s="49" t="str">
        <f>IFERROR(__xludf.DUMMYFUNCTION("""COMPUTED_VALUE"""),"Trust as a driver for growth: How to use a disaster in your favour")</f>
        <v>Trust as a driver for growth: How to use a disaster in your favour</v>
      </c>
      <c r="B14" s="49" t="str">
        <f>IFERROR(__xludf.DUMMYFUNCTION("""COMPUTED_VALUE"""),"Growth Summit")</f>
        <v>Growth Summit</v>
      </c>
      <c r="C14" s="49" t="str">
        <f>IFERROR(__xludf.DUMMYFUNCTION("""COMPUTED_VALUE"""),"Ben Jones")</f>
        <v>Ben Jones</v>
      </c>
      <c r="D14" s="49" t="str">
        <f>IFERROR(__xludf.DUMMYFUNCTION("""COMPUTED_VALUE"""),"2019/11/05 10:46:00")</f>
        <v>2019/11/05 10:46:00</v>
      </c>
      <c r="E14" s="49" t="str">
        <f>IFERROR(__xludf.DUMMYFUNCTION("""COMPUTED_VALUE"""),"2019/11/05 10:50:00")</f>
        <v>2019/11/05 10:50:00</v>
      </c>
      <c r="F14" s="49" t="str">
        <f>IFERROR(__xludf.DUMMYFUNCTION("""COMPUTED_VALUE"""),"aa39d378-3d01-4b2a-be7b-cde7bfa84f91")</f>
        <v>aa39d378-3d01-4b2a-be7b-cde7bfa84f91</v>
      </c>
      <c r="G14" s="52">
        <f>IFERROR(__xludf.DUMMYFUNCTION("""COMPUTED_VALUE"""),43774.0)</f>
        <v>43774</v>
      </c>
      <c r="H14" s="53">
        <f>IFERROR(__xludf.DUMMYFUNCTION("""COMPUTED_VALUE"""),0.4486111111111111)</f>
        <v>0.4486111111</v>
      </c>
      <c r="I14" s="52">
        <f>IFERROR(__xludf.DUMMYFUNCTION("""COMPUTED_VALUE"""),43774.0)</f>
        <v>43774</v>
      </c>
      <c r="J14" s="53">
        <f>IFERROR(__xludf.DUMMYFUNCTION("""COMPUTED_VALUE"""),0.4513888888888889)</f>
        <v>0.4513888889</v>
      </c>
      <c r="K14" s="53">
        <f t="shared" si="1"/>
        <v>0.002777777778</v>
      </c>
      <c r="L14" s="49" t="s">
        <v>583</v>
      </c>
      <c r="M14" s="49"/>
      <c r="N14" s="49"/>
      <c r="O14" s="48"/>
      <c r="P14" s="48"/>
      <c r="Q14" s="63"/>
      <c r="R14" s="49"/>
      <c r="S14" s="49"/>
      <c r="T14" s="49"/>
    </row>
    <row r="15">
      <c r="A15" s="49" t="str">
        <f>IFERROR(__xludf.DUMMYFUNCTION("""COMPUTED_VALUE"""),"Tracking ownership as your startup grows: Why digitising equity is crucial")</f>
        <v>Tracking ownership as your startup grows: Why digitising equity is crucial</v>
      </c>
      <c r="B15" s="49" t="str">
        <f>IFERROR(__xludf.DUMMYFUNCTION("""COMPUTED_VALUE"""),"Growth Summit")</f>
        <v>Growth Summit</v>
      </c>
      <c r="C15" s="49" t="str">
        <f>IFERROR(__xludf.DUMMYFUNCTION("""COMPUTED_VALUE"""),"Christian Gabriel")</f>
        <v>Christian Gabriel</v>
      </c>
      <c r="D15" s="49" t="str">
        <f>IFERROR(__xludf.DUMMYFUNCTION("""COMPUTED_VALUE"""),"2019/11/05 10:50:00")</f>
        <v>2019/11/05 10:50:00</v>
      </c>
      <c r="E15" s="49" t="str">
        <f>IFERROR(__xludf.DUMMYFUNCTION("""COMPUTED_VALUE"""),"2019/11/05 10:54:00")</f>
        <v>2019/11/05 10:54:00</v>
      </c>
      <c r="F15" s="49" t="str">
        <f>IFERROR(__xludf.DUMMYFUNCTION("""COMPUTED_VALUE"""),"f51c2b20-2832-4d30-a163-b66e224b1a52")</f>
        <v>f51c2b20-2832-4d30-a163-b66e224b1a52</v>
      </c>
      <c r="G15" s="52">
        <f>IFERROR(__xludf.DUMMYFUNCTION("""COMPUTED_VALUE"""),43774.0)</f>
        <v>43774</v>
      </c>
      <c r="H15" s="53">
        <f>IFERROR(__xludf.DUMMYFUNCTION("""COMPUTED_VALUE"""),0.4513888888888889)</f>
        <v>0.4513888889</v>
      </c>
      <c r="I15" s="52">
        <f>IFERROR(__xludf.DUMMYFUNCTION("""COMPUTED_VALUE"""),43774.0)</f>
        <v>43774</v>
      </c>
      <c r="J15" s="53">
        <f>IFERROR(__xludf.DUMMYFUNCTION("""COMPUTED_VALUE"""),0.45416666666666666)</f>
        <v>0.4541666667</v>
      </c>
      <c r="K15" s="53">
        <f t="shared" si="1"/>
        <v>0.002777777778</v>
      </c>
      <c r="L15" s="49" t="s">
        <v>583</v>
      </c>
      <c r="M15" s="49"/>
      <c r="N15" s="49"/>
      <c r="O15" s="48"/>
      <c r="P15" s="48"/>
      <c r="Q15" s="63"/>
      <c r="R15" s="49"/>
      <c r="S15" s="49"/>
      <c r="T15" s="49"/>
    </row>
    <row r="16">
      <c r="A16" s="49" t="str">
        <f>IFERROR(__xludf.DUMMYFUNCTION("""COMPUTED_VALUE"""),"Science as a catalyst for growth")</f>
        <v>Science as a catalyst for growth</v>
      </c>
      <c r="B16" s="49" t="str">
        <f>IFERROR(__xludf.DUMMYFUNCTION("""COMPUTED_VALUE"""),"Growth Summit")</f>
        <v>Growth Summit</v>
      </c>
      <c r="C16" s="49" t="str">
        <f>IFERROR(__xludf.DUMMYFUNCTION("""COMPUTED_VALUE"""),"Marko Bitenc")</f>
        <v>Marko Bitenc</v>
      </c>
      <c r="D16" s="49" t="str">
        <f>IFERROR(__xludf.DUMMYFUNCTION("""COMPUTED_VALUE"""),"2019/11/05 10:54:00")</f>
        <v>2019/11/05 10:54:00</v>
      </c>
      <c r="E16" s="49" t="str">
        <f>IFERROR(__xludf.DUMMYFUNCTION("""COMPUTED_VALUE"""),"2019/11/05 10:58:00")</f>
        <v>2019/11/05 10:58:00</v>
      </c>
      <c r="F16" s="49" t="str">
        <f>IFERROR(__xludf.DUMMYFUNCTION("""COMPUTED_VALUE"""),"71933006-4db8-4414-8c46-051cc4d0e225")</f>
        <v>71933006-4db8-4414-8c46-051cc4d0e225</v>
      </c>
      <c r="G16" s="52">
        <f>IFERROR(__xludf.DUMMYFUNCTION("""COMPUTED_VALUE"""),43774.0)</f>
        <v>43774</v>
      </c>
      <c r="H16" s="53">
        <f>IFERROR(__xludf.DUMMYFUNCTION("""COMPUTED_VALUE"""),0.45416666666666666)</f>
        <v>0.4541666667</v>
      </c>
      <c r="I16" s="52">
        <f>IFERROR(__xludf.DUMMYFUNCTION("""COMPUTED_VALUE"""),43774.0)</f>
        <v>43774</v>
      </c>
      <c r="J16" s="53">
        <f>IFERROR(__xludf.DUMMYFUNCTION("""COMPUTED_VALUE"""),0.45694444444444443)</f>
        <v>0.4569444444</v>
      </c>
      <c r="K16" s="53">
        <f t="shared" si="1"/>
        <v>0.002777777778</v>
      </c>
      <c r="L16" s="49" t="s">
        <v>583</v>
      </c>
      <c r="M16" s="49"/>
      <c r="N16" s="49"/>
      <c r="O16" s="48"/>
      <c r="P16" s="48"/>
      <c r="Q16" s="63"/>
      <c r="R16" s="49"/>
      <c r="S16" s="49"/>
      <c r="T16" s="49"/>
    </row>
    <row r="17">
      <c r="A17" s="49" t="str">
        <f>IFERROR(__xludf.DUMMYFUNCTION("""COMPUTED_VALUE"""),"Nutrition and technology secrets for enhancing longevity")</f>
        <v>Nutrition and technology secrets for enhancing longevity</v>
      </c>
      <c r="B17" s="49" t="str">
        <f>IFERROR(__xludf.DUMMYFUNCTION("""COMPUTED_VALUE"""),"Growth Summit")</f>
        <v>Growth Summit</v>
      </c>
      <c r="C17" s="49" t="str">
        <f>IFERROR(__xludf.DUMMYFUNCTION("""COMPUTED_VALUE"""),"Joseph Antoun")</f>
        <v>Joseph Antoun</v>
      </c>
      <c r="D17" s="49" t="str">
        <f>IFERROR(__xludf.DUMMYFUNCTION("""COMPUTED_VALUE"""),"2019/11/05 10:58:00")</f>
        <v>2019/11/05 10:58:00</v>
      </c>
      <c r="E17" s="49" t="str">
        <f>IFERROR(__xludf.DUMMYFUNCTION("""COMPUTED_VALUE"""),"2019/11/05 11:02:00")</f>
        <v>2019/11/05 11:02:00</v>
      </c>
      <c r="F17" s="49" t="str">
        <f>IFERROR(__xludf.DUMMYFUNCTION("""COMPUTED_VALUE"""),"a51c8666-b50f-4020-ad2a-5f83d6a26ef6")</f>
        <v>a51c8666-b50f-4020-ad2a-5f83d6a26ef6</v>
      </c>
      <c r="G17" s="52">
        <f>IFERROR(__xludf.DUMMYFUNCTION("""COMPUTED_VALUE"""),43774.0)</f>
        <v>43774</v>
      </c>
      <c r="H17" s="53">
        <f>IFERROR(__xludf.DUMMYFUNCTION("""COMPUTED_VALUE"""),0.45694444444444443)</f>
        <v>0.4569444444</v>
      </c>
      <c r="I17" s="52">
        <f>IFERROR(__xludf.DUMMYFUNCTION("""COMPUTED_VALUE"""),43774.0)</f>
        <v>43774</v>
      </c>
      <c r="J17" s="53">
        <f>IFERROR(__xludf.DUMMYFUNCTION("""COMPUTED_VALUE"""),0.4597222222222222)</f>
        <v>0.4597222222</v>
      </c>
      <c r="K17" s="53">
        <f t="shared" si="1"/>
        <v>0.002777777778</v>
      </c>
      <c r="L17" s="49" t="s">
        <v>583</v>
      </c>
      <c r="M17" s="49"/>
      <c r="N17" s="49"/>
      <c r="O17" s="48"/>
      <c r="P17" s="48"/>
      <c r="Q17" s="63"/>
      <c r="R17" s="49"/>
      <c r="S17" s="49"/>
      <c r="T17" s="49"/>
    </row>
    <row r="18">
      <c r="A18" s="49" t="str">
        <f>IFERROR(__xludf.DUMMYFUNCTION("""COMPUTED_VALUE"""),"High-impact predictions: Anticipate and win with machine learning")</f>
        <v>High-impact predictions: Anticipate and win with machine learning</v>
      </c>
      <c r="B18" s="49" t="str">
        <f>IFERROR(__xludf.DUMMYFUNCTION("""COMPUTED_VALUE"""),"Growth Summit")</f>
        <v>Growth Summit</v>
      </c>
      <c r="C18" s="49" t="str">
        <f>IFERROR(__xludf.DUMMYFUNCTION("""COMPUTED_VALUE"""),"Diego Paramo")</f>
        <v>Diego Paramo</v>
      </c>
      <c r="D18" s="49" t="str">
        <f>IFERROR(__xludf.DUMMYFUNCTION("""COMPUTED_VALUE"""),"2019/11/05 11:02:00")</f>
        <v>2019/11/05 11:02:00</v>
      </c>
      <c r="E18" s="49" t="str">
        <f>IFERROR(__xludf.DUMMYFUNCTION("""COMPUTED_VALUE"""),"2019/11/05 11:06:00")</f>
        <v>2019/11/05 11:06:00</v>
      </c>
      <c r="F18" s="49" t="str">
        <f>IFERROR(__xludf.DUMMYFUNCTION("""COMPUTED_VALUE"""),"b875d1fb-f347-4dd4-add0-2745264efcef")</f>
        <v>b875d1fb-f347-4dd4-add0-2745264efcef</v>
      </c>
      <c r="G18" s="52">
        <f>IFERROR(__xludf.DUMMYFUNCTION("""COMPUTED_VALUE"""),43774.0)</f>
        <v>43774</v>
      </c>
      <c r="H18" s="53">
        <f>IFERROR(__xludf.DUMMYFUNCTION("""COMPUTED_VALUE"""),0.4597222222222222)</f>
        <v>0.4597222222</v>
      </c>
      <c r="I18" s="52">
        <f>IFERROR(__xludf.DUMMYFUNCTION("""COMPUTED_VALUE"""),43774.0)</f>
        <v>43774</v>
      </c>
      <c r="J18" s="53">
        <f>IFERROR(__xludf.DUMMYFUNCTION("""COMPUTED_VALUE"""),0.4625)</f>
        <v>0.4625</v>
      </c>
      <c r="K18" s="53">
        <f t="shared" si="1"/>
        <v>0.002777777778</v>
      </c>
      <c r="L18" s="49" t="s">
        <v>583</v>
      </c>
      <c r="M18" s="49"/>
      <c r="N18" s="49"/>
      <c r="O18" s="48"/>
      <c r="P18" s="48"/>
      <c r="Q18" s="63"/>
      <c r="R18" s="49"/>
      <c r="S18" s="49"/>
      <c r="T18" s="49"/>
    </row>
    <row r="19">
      <c r="A19" s="49" t="str">
        <f>IFERROR(__xludf.DUMMYFUNCTION("""COMPUTED_VALUE"""),"Making magic: Developing new products")</f>
        <v>Making magic: Developing new products</v>
      </c>
      <c r="B19" s="49" t="str">
        <f>IFERROR(__xludf.DUMMYFUNCTION("""COMPUTED_VALUE"""),"Growth Summit")</f>
        <v>Growth Summit</v>
      </c>
      <c r="C19" s="49" t="str">
        <f>IFERROR(__xludf.DUMMYFUNCTION("""COMPUTED_VALUE"""),"Erik Ackner")</f>
        <v>Erik Ackner</v>
      </c>
      <c r="D19" s="49" t="str">
        <f>IFERROR(__xludf.DUMMYFUNCTION("""COMPUTED_VALUE"""),"2019/11/05 11:06:00")</f>
        <v>2019/11/05 11:06:00</v>
      </c>
      <c r="E19" s="49" t="str">
        <f>IFERROR(__xludf.DUMMYFUNCTION("""COMPUTED_VALUE"""),"2019/11/05 11:10:00")</f>
        <v>2019/11/05 11:10:00</v>
      </c>
      <c r="F19" s="49" t="str">
        <f>IFERROR(__xludf.DUMMYFUNCTION("""COMPUTED_VALUE"""),"00d46bdc-9298-469d-8a1b-fba5451ee868")</f>
        <v>00d46bdc-9298-469d-8a1b-fba5451ee868</v>
      </c>
      <c r="G19" s="52">
        <f>IFERROR(__xludf.DUMMYFUNCTION("""COMPUTED_VALUE"""),43774.0)</f>
        <v>43774</v>
      </c>
      <c r="H19" s="53">
        <f>IFERROR(__xludf.DUMMYFUNCTION("""COMPUTED_VALUE"""),0.4625)</f>
        <v>0.4625</v>
      </c>
      <c r="I19" s="52">
        <f>IFERROR(__xludf.DUMMYFUNCTION("""COMPUTED_VALUE"""),43774.0)</f>
        <v>43774</v>
      </c>
      <c r="J19" s="53">
        <f>IFERROR(__xludf.DUMMYFUNCTION("""COMPUTED_VALUE"""),0.4652777777777778)</f>
        <v>0.4652777778</v>
      </c>
      <c r="K19" s="53">
        <f t="shared" si="1"/>
        <v>0.002777777778</v>
      </c>
      <c r="L19" s="49" t="s">
        <v>583</v>
      </c>
      <c r="M19" s="49"/>
      <c r="N19" s="49"/>
      <c r="O19" s="48"/>
      <c r="P19" s="48"/>
      <c r="Q19" s="63"/>
      <c r="R19" s="49"/>
      <c r="S19" s="49"/>
      <c r="T19" s="49"/>
    </row>
    <row r="20">
      <c r="A20" s="49" t="str">
        <f>IFERROR(__xludf.DUMMYFUNCTION("""COMPUTED_VALUE"""),"Capitalising on market opportunities in the payments industry")</f>
        <v>Capitalising on market opportunities in the payments industry</v>
      </c>
      <c r="B20" s="49" t="str">
        <f>IFERROR(__xludf.DUMMYFUNCTION("""COMPUTED_VALUE"""),"Growth Summit")</f>
        <v>Growth Summit</v>
      </c>
      <c r="C20" s="49" t="str">
        <f>IFERROR(__xludf.DUMMYFUNCTION("""COMPUTED_VALUE"""),"Tom Squire")</f>
        <v>Tom Squire</v>
      </c>
      <c r="D20" s="49" t="str">
        <f>IFERROR(__xludf.DUMMYFUNCTION("""COMPUTED_VALUE"""),"2019/11/05 11:10:00")</f>
        <v>2019/11/05 11:10:00</v>
      </c>
      <c r="E20" s="49" t="str">
        <f>IFERROR(__xludf.DUMMYFUNCTION("""COMPUTED_VALUE"""),"2019/11/05 11:14:00")</f>
        <v>2019/11/05 11:14:00</v>
      </c>
      <c r="F20" s="49" t="str">
        <f>IFERROR(__xludf.DUMMYFUNCTION("""COMPUTED_VALUE"""),"157cf538-1885-4fe4-878b-99e8b457a656")</f>
        <v>157cf538-1885-4fe4-878b-99e8b457a656</v>
      </c>
      <c r="G20" s="52">
        <f>IFERROR(__xludf.DUMMYFUNCTION("""COMPUTED_VALUE"""),43774.0)</f>
        <v>43774</v>
      </c>
      <c r="H20" s="53">
        <f>IFERROR(__xludf.DUMMYFUNCTION("""COMPUTED_VALUE"""),0.4652777777777778)</f>
        <v>0.4652777778</v>
      </c>
      <c r="I20" s="52">
        <f>IFERROR(__xludf.DUMMYFUNCTION("""COMPUTED_VALUE"""),43774.0)</f>
        <v>43774</v>
      </c>
      <c r="J20" s="53">
        <f>IFERROR(__xludf.DUMMYFUNCTION("""COMPUTED_VALUE"""),0.46805555555555556)</f>
        <v>0.4680555556</v>
      </c>
      <c r="K20" s="53">
        <f t="shared" si="1"/>
        <v>0.002777777778</v>
      </c>
      <c r="L20" s="49" t="s">
        <v>583</v>
      </c>
      <c r="M20" s="49"/>
      <c r="N20" s="49"/>
      <c r="O20" s="48"/>
      <c r="P20" s="48"/>
      <c r="Q20" s="63"/>
      <c r="R20" s="49"/>
      <c r="S20" s="49"/>
      <c r="T20" s="49"/>
    </row>
    <row r="21">
      <c r="A21" s="49" t="str">
        <f>IFERROR(__xludf.DUMMYFUNCTION("""COMPUTED_VALUE"""),"AI &amp; healthtech: Developing rare disease treatments at scale")</f>
        <v>AI &amp; healthtech: Developing rare disease treatments at scale</v>
      </c>
      <c r="B21" s="49" t="str">
        <f>IFERROR(__xludf.DUMMYFUNCTION("""COMPUTED_VALUE"""),"Growth Summit")</f>
        <v>Growth Summit</v>
      </c>
      <c r="C21" s="49" t="str">
        <f>IFERROR(__xludf.DUMMYFUNCTION("""COMPUTED_VALUE"""),"Tim Guilliams")</f>
        <v>Tim Guilliams</v>
      </c>
      <c r="D21" s="49" t="str">
        <f>IFERROR(__xludf.DUMMYFUNCTION("""COMPUTED_VALUE"""),"2019/11/05 11:14:00")</f>
        <v>2019/11/05 11:14:00</v>
      </c>
      <c r="E21" s="49" t="str">
        <f>IFERROR(__xludf.DUMMYFUNCTION("""COMPUTED_VALUE"""),"2019/11/05 11:18:00")</f>
        <v>2019/11/05 11:18:00</v>
      </c>
      <c r="F21" s="49" t="str">
        <f>IFERROR(__xludf.DUMMYFUNCTION("""COMPUTED_VALUE"""),"3837e75b-1c3d-4c91-bec7-dffbb7ac4d1c")</f>
        <v>3837e75b-1c3d-4c91-bec7-dffbb7ac4d1c</v>
      </c>
      <c r="G21" s="52">
        <f>IFERROR(__xludf.DUMMYFUNCTION("""COMPUTED_VALUE"""),43774.0)</f>
        <v>43774</v>
      </c>
      <c r="H21" s="53">
        <f>IFERROR(__xludf.DUMMYFUNCTION("""COMPUTED_VALUE"""),0.46805555555555556)</f>
        <v>0.4680555556</v>
      </c>
      <c r="I21" s="52">
        <f>IFERROR(__xludf.DUMMYFUNCTION("""COMPUTED_VALUE"""),43774.0)</f>
        <v>43774</v>
      </c>
      <c r="J21" s="53">
        <f>IFERROR(__xludf.DUMMYFUNCTION("""COMPUTED_VALUE"""),0.4708333333333333)</f>
        <v>0.4708333333</v>
      </c>
      <c r="K21" s="53">
        <f t="shared" si="1"/>
        <v>0.002777777778</v>
      </c>
      <c r="L21" s="49" t="s">
        <v>583</v>
      </c>
      <c r="M21" s="49"/>
      <c r="N21" s="49"/>
      <c r="O21" s="48"/>
      <c r="P21" s="48"/>
      <c r="Q21" s="63"/>
      <c r="R21" s="49"/>
      <c r="S21" s="49"/>
      <c r="T21" s="49"/>
    </row>
    <row r="22">
      <c r="A22" s="49" t="str">
        <f>IFERROR(__xludf.DUMMYFUNCTION("""COMPUTED_VALUE"""),"Reinvent the wheel: Scale fast &amp; please customers")</f>
        <v>Reinvent the wheel: Scale fast &amp; please customers</v>
      </c>
      <c r="B22" s="49" t="str">
        <f>IFERROR(__xludf.DUMMYFUNCTION("""COMPUTED_VALUE"""),"Growth Summit")</f>
        <v>Growth Summit</v>
      </c>
      <c r="C22" s="49" t="str">
        <f>IFERROR(__xludf.DUMMYFUNCTION("""COMPUTED_VALUE"""),"Benjamin Kuna")</f>
        <v>Benjamin Kuna</v>
      </c>
      <c r="D22" s="49" t="str">
        <f>IFERROR(__xludf.DUMMYFUNCTION("""COMPUTED_VALUE"""),"2019/11/05 11:18:00")</f>
        <v>2019/11/05 11:18:00</v>
      </c>
      <c r="E22" s="49" t="str">
        <f>IFERROR(__xludf.DUMMYFUNCTION("""COMPUTED_VALUE"""),"2019/11/05 11:22:00")</f>
        <v>2019/11/05 11:22:00</v>
      </c>
      <c r="F22" s="49" t="str">
        <f>IFERROR(__xludf.DUMMYFUNCTION("""COMPUTED_VALUE"""),"e682c1bb-fa68-42db-9b03-4016d52457a7")</f>
        <v>e682c1bb-fa68-42db-9b03-4016d52457a7</v>
      </c>
      <c r="G22" s="52">
        <f>IFERROR(__xludf.DUMMYFUNCTION("""COMPUTED_VALUE"""),43774.0)</f>
        <v>43774</v>
      </c>
      <c r="H22" s="53">
        <f>IFERROR(__xludf.DUMMYFUNCTION("""COMPUTED_VALUE"""),0.4708333333333333)</f>
        <v>0.4708333333</v>
      </c>
      <c r="I22" s="52">
        <f>IFERROR(__xludf.DUMMYFUNCTION("""COMPUTED_VALUE"""),43774.0)</f>
        <v>43774</v>
      </c>
      <c r="J22" s="53">
        <f>IFERROR(__xludf.DUMMYFUNCTION("""COMPUTED_VALUE"""),0.4736111111111111)</f>
        <v>0.4736111111</v>
      </c>
      <c r="K22" s="53">
        <f t="shared" si="1"/>
        <v>0.002777777778</v>
      </c>
      <c r="L22" s="49" t="s">
        <v>583</v>
      </c>
      <c r="M22" s="49"/>
      <c r="N22" s="49"/>
      <c r="O22" s="48"/>
      <c r="P22" s="48"/>
      <c r="Q22" s="63"/>
      <c r="R22" s="49"/>
      <c r="S22" s="49"/>
      <c r="T22" s="49"/>
    </row>
    <row r="23">
      <c r="A23" s="49" t="str">
        <f>IFERROR(__xludf.DUMMYFUNCTION("""COMPUTED_VALUE"""),"Closing the loop: 3 failure points that will doom your first industrial IoT deployment")</f>
        <v>Closing the loop: 3 failure points that will doom your first industrial IoT deployment</v>
      </c>
      <c r="B23" s="49" t="str">
        <f>IFERROR(__xludf.DUMMYFUNCTION("""COMPUTED_VALUE"""),"Growth Summit")</f>
        <v>Growth Summit</v>
      </c>
      <c r="C23" s="49" t="str">
        <f>IFERROR(__xludf.DUMMYFUNCTION("""COMPUTED_VALUE"""),"Matthew Kleiman")</f>
        <v>Matthew Kleiman</v>
      </c>
      <c r="D23" s="49" t="str">
        <f>IFERROR(__xludf.DUMMYFUNCTION("""COMPUTED_VALUE"""),"2019/11/05 11:22:00")</f>
        <v>2019/11/05 11:22:00</v>
      </c>
      <c r="E23" s="49" t="str">
        <f>IFERROR(__xludf.DUMMYFUNCTION("""COMPUTED_VALUE"""),"2019/11/05 11:26:00")</f>
        <v>2019/11/05 11:26:00</v>
      </c>
      <c r="F23" s="49" t="str">
        <f>IFERROR(__xludf.DUMMYFUNCTION("""COMPUTED_VALUE"""),"6f21a5ac-a4d9-4be1-8598-b82290dbafdd")</f>
        <v>6f21a5ac-a4d9-4be1-8598-b82290dbafdd</v>
      </c>
      <c r="G23" s="52">
        <f>IFERROR(__xludf.DUMMYFUNCTION("""COMPUTED_VALUE"""),43774.0)</f>
        <v>43774</v>
      </c>
      <c r="H23" s="53">
        <f>IFERROR(__xludf.DUMMYFUNCTION("""COMPUTED_VALUE"""),0.4736111111111111)</f>
        <v>0.4736111111</v>
      </c>
      <c r="I23" s="52">
        <f>IFERROR(__xludf.DUMMYFUNCTION("""COMPUTED_VALUE"""),43774.0)</f>
        <v>43774</v>
      </c>
      <c r="J23" s="53">
        <f>IFERROR(__xludf.DUMMYFUNCTION("""COMPUTED_VALUE"""),0.47638888888888886)</f>
        <v>0.4763888889</v>
      </c>
      <c r="K23" s="53">
        <f t="shared" si="1"/>
        <v>0.002777777778</v>
      </c>
      <c r="L23" s="49" t="s">
        <v>583</v>
      </c>
      <c r="M23" s="49"/>
      <c r="N23" s="49"/>
      <c r="O23" s="48"/>
      <c r="P23" s="48"/>
      <c r="Q23" s="63"/>
      <c r="R23" s="49"/>
      <c r="S23" s="49"/>
      <c r="T23" s="49"/>
    </row>
    <row r="24">
      <c r="A24" s="49" t="str">
        <f>IFERROR(__xludf.DUMMYFUNCTION("""COMPUTED_VALUE"""),"Scaling a business in a rapidly growing industry: Medical device cybersecurity")</f>
        <v>Scaling a business in a rapidly growing industry: Medical device cybersecurity</v>
      </c>
      <c r="B24" s="49" t="str">
        <f>IFERROR(__xludf.DUMMYFUNCTION("""COMPUTED_VALUE"""),"Growth Summit")</f>
        <v>Growth Summit</v>
      </c>
      <c r="C24" s="49" t="str">
        <f>IFERROR(__xludf.DUMMYFUNCTION("""COMPUTED_VALUE"""),"Fergal McCaffery")</f>
        <v>Fergal McCaffery</v>
      </c>
      <c r="D24" s="49" t="str">
        <f>IFERROR(__xludf.DUMMYFUNCTION("""COMPUTED_VALUE"""),"2019/11/05 11:26:00")</f>
        <v>2019/11/05 11:26:00</v>
      </c>
      <c r="E24" s="49" t="str">
        <f>IFERROR(__xludf.DUMMYFUNCTION("""COMPUTED_VALUE"""),"2019/11/05 11:30:00")</f>
        <v>2019/11/05 11:30:00</v>
      </c>
      <c r="F24" s="49" t="str">
        <f>IFERROR(__xludf.DUMMYFUNCTION("""COMPUTED_VALUE"""),"f82fc89b-7b3f-4930-9e75-329a3b3ea7d6")</f>
        <v>f82fc89b-7b3f-4930-9e75-329a3b3ea7d6</v>
      </c>
      <c r="G24" s="52">
        <f>IFERROR(__xludf.DUMMYFUNCTION("""COMPUTED_VALUE"""),43774.0)</f>
        <v>43774</v>
      </c>
      <c r="H24" s="53">
        <f>IFERROR(__xludf.DUMMYFUNCTION("""COMPUTED_VALUE"""),0.47638888888888886)</f>
        <v>0.4763888889</v>
      </c>
      <c r="I24" s="52">
        <f>IFERROR(__xludf.DUMMYFUNCTION("""COMPUTED_VALUE"""),43774.0)</f>
        <v>43774</v>
      </c>
      <c r="J24" s="53">
        <f>IFERROR(__xludf.DUMMYFUNCTION("""COMPUTED_VALUE"""),0.4791666666666667)</f>
        <v>0.4791666667</v>
      </c>
      <c r="K24" s="53">
        <f t="shared" si="1"/>
        <v>0.002777777778</v>
      </c>
      <c r="L24" s="49" t="s">
        <v>583</v>
      </c>
      <c r="M24" s="49"/>
      <c r="N24" s="49"/>
      <c r="O24" s="48"/>
      <c r="P24" s="48"/>
      <c r="Q24" s="63"/>
      <c r="R24" s="49"/>
      <c r="S24" s="49"/>
      <c r="T24" s="49"/>
    </row>
    <row r="25">
      <c r="A25" s="49" t="str">
        <f>IFERROR(__xludf.DUMMYFUNCTION("""COMPUTED_VALUE"""),"How to build a safer world: Machine reasoning for the cyber-physical age")</f>
        <v>How to build a safer world: Machine reasoning for the cyber-physical age</v>
      </c>
      <c r="B25" s="49" t="str">
        <f>IFERROR(__xludf.DUMMYFUNCTION("""COMPUTED_VALUE"""),"Growth Summit")</f>
        <v>Growth Summit</v>
      </c>
      <c r="C25" s="49" t="str">
        <f>IFERROR(__xludf.DUMMYFUNCTION("""COMPUTED_VALUE"""),"Jordan Kyriakidis")</f>
        <v>Jordan Kyriakidis</v>
      </c>
      <c r="D25" s="49" t="str">
        <f>IFERROR(__xludf.DUMMYFUNCTION("""COMPUTED_VALUE"""),"2019/11/05 11:30:00")</f>
        <v>2019/11/05 11:30:00</v>
      </c>
      <c r="E25" s="49" t="str">
        <f>IFERROR(__xludf.DUMMYFUNCTION("""COMPUTED_VALUE"""),"2019/11/05 11:34:00")</f>
        <v>2019/11/05 11:34:00</v>
      </c>
      <c r="F25" s="49" t="str">
        <f>IFERROR(__xludf.DUMMYFUNCTION("""COMPUTED_VALUE"""),"18039c07-0239-4bac-9b43-b7bcb01cde30")</f>
        <v>18039c07-0239-4bac-9b43-b7bcb01cde30</v>
      </c>
      <c r="G25" s="52">
        <f>IFERROR(__xludf.DUMMYFUNCTION("""COMPUTED_VALUE"""),43774.0)</f>
        <v>43774</v>
      </c>
      <c r="H25" s="53">
        <f>IFERROR(__xludf.DUMMYFUNCTION("""COMPUTED_VALUE"""),0.4791666666666667)</f>
        <v>0.4791666667</v>
      </c>
      <c r="I25" s="52">
        <f>IFERROR(__xludf.DUMMYFUNCTION("""COMPUTED_VALUE"""),43774.0)</f>
        <v>43774</v>
      </c>
      <c r="J25" s="53">
        <f>IFERROR(__xludf.DUMMYFUNCTION("""COMPUTED_VALUE"""),0.48194444444444445)</f>
        <v>0.4819444444</v>
      </c>
      <c r="K25" s="53">
        <f t="shared" si="1"/>
        <v>0.002777777778</v>
      </c>
      <c r="L25" s="49" t="s">
        <v>583</v>
      </c>
      <c r="M25" s="49"/>
      <c r="N25" s="49"/>
      <c r="O25" s="48"/>
      <c r="P25" s="48"/>
      <c r="Q25" s="63"/>
      <c r="R25" s="49"/>
      <c r="S25" s="49"/>
      <c r="T25" s="49"/>
    </row>
    <row r="26">
      <c r="A26" s="49" t="str">
        <f>IFERROR(__xludf.DUMMYFUNCTION("""COMPUTED_VALUE"""),"Time to target a different audience?")</f>
        <v>Time to target a different audience?</v>
      </c>
      <c r="B26" s="49" t="str">
        <f>IFERROR(__xludf.DUMMYFUNCTION("""COMPUTED_VALUE"""),"Growth Summit")</f>
        <v>Growth Summit</v>
      </c>
      <c r="C26" s="49" t="str">
        <f>IFERROR(__xludf.DUMMYFUNCTION("""COMPUTED_VALUE"""),"Charly Lester and Antoine Argouges")</f>
        <v>Charly Lester and Antoine Argouges</v>
      </c>
      <c r="D26" s="49" t="str">
        <f>IFERROR(__xludf.DUMMYFUNCTION("""COMPUTED_VALUE"""),"2019/11/05 11:34:00")</f>
        <v>2019/11/05 11:34:00</v>
      </c>
      <c r="E26" s="49" t="str">
        <f>IFERROR(__xludf.DUMMYFUNCTION("""COMPUTED_VALUE"""),"2019/11/05 11:38:00")</f>
        <v>2019/11/05 11:38:00</v>
      </c>
      <c r="F26" s="49" t="str">
        <f>IFERROR(__xludf.DUMMYFUNCTION("""COMPUTED_VALUE"""),"90777261-6980-4f08-9728-d964e699ec1c")</f>
        <v>90777261-6980-4f08-9728-d964e699ec1c</v>
      </c>
      <c r="G26" s="52">
        <f>IFERROR(__xludf.DUMMYFUNCTION("""COMPUTED_VALUE"""),43774.0)</f>
        <v>43774</v>
      </c>
      <c r="H26" s="53">
        <f>IFERROR(__xludf.DUMMYFUNCTION("""COMPUTED_VALUE"""),0.48194444444444445)</f>
        <v>0.4819444444</v>
      </c>
      <c r="I26" s="52">
        <f>IFERROR(__xludf.DUMMYFUNCTION("""COMPUTED_VALUE"""),43774.0)</f>
        <v>43774</v>
      </c>
      <c r="J26" s="53">
        <f>IFERROR(__xludf.DUMMYFUNCTION("""COMPUTED_VALUE"""),0.4847222222222222)</f>
        <v>0.4847222222</v>
      </c>
      <c r="K26" s="53">
        <f t="shared" si="1"/>
        <v>0.002777777778</v>
      </c>
      <c r="L26" s="49" t="s">
        <v>583</v>
      </c>
      <c r="M26" s="49"/>
      <c r="N26" s="49"/>
      <c r="O26" s="48"/>
      <c r="P26" s="48"/>
      <c r="Q26" s="63"/>
      <c r="R26" s="49"/>
      <c r="S26" s="49"/>
      <c r="T26" s="49"/>
    </row>
    <row r="27">
      <c r="A27" s="49" t="str">
        <f>IFERROR(__xludf.DUMMYFUNCTION("""COMPUTED_VALUE"""),"Make your technology compliant from day one")</f>
        <v>Make your technology compliant from day one</v>
      </c>
      <c r="B27" s="49" t="str">
        <f>IFERROR(__xludf.DUMMYFUNCTION("""COMPUTED_VALUE"""),"Growth Summit")</f>
        <v>Growth Summit</v>
      </c>
      <c r="C27" s="49" t="str">
        <f>IFERROR(__xludf.DUMMYFUNCTION("""COMPUTED_VALUE"""),"Robert Kaluza")</f>
        <v>Robert Kaluza</v>
      </c>
      <c r="D27" s="49" t="str">
        <f>IFERROR(__xludf.DUMMYFUNCTION("""COMPUTED_VALUE"""),"2019/11/05 11:38:00")</f>
        <v>2019/11/05 11:38:00</v>
      </c>
      <c r="E27" s="49" t="str">
        <f>IFERROR(__xludf.DUMMYFUNCTION("""COMPUTED_VALUE"""),"2019/11/05 11:42:00")</f>
        <v>2019/11/05 11:42:00</v>
      </c>
      <c r="F27" s="49" t="str">
        <f>IFERROR(__xludf.DUMMYFUNCTION("""COMPUTED_VALUE"""),"a3123bfb-f991-4877-8298-a58d69c74cba")</f>
        <v>a3123bfb-f991-4877-8298-a58d69c74cba</v>
      </c>
      <c r="G27" s="52">
        <f>IFERROR(__xludf.DUMMYFUNCTION("""COMPUTED_VALUE"""),43774.0)</f>
        <v>43774</v>
      </c>
      <c r="H27" s="53">
        <f>IFERROR(__xludf.DUMMYFUNCTION("""COMPUTED_VALUE"""),0.4847222222222222)</f>
        <v>0.4847222222</v>
      </c>
      <c r="I27" s="52">
        <f>IFERROR(__xludf.DUMMYFUNCTION("""COMPUTED_VALUE"""),43774.0)</f>
        <v>43774</v>
      </c>
      <c r="J27" s="53">
        <f>IFERROR(__xludf.DUMMYFUNCTION("""COMPUTED_VALUE"""),0.4875)</f>
        <v>0.4875</v>
      </c>
      <c r="K27" s="53">
        <f t="shared" si="1"/>
        <v>0.002777777778</v>
      </c>
      <c r="L27" s="49" t="s">
        <v>583</v>
      </c>
      <c r="M27" s="49"/>
      <c r="N27" s="49"/>
      <c r="O27" s="48"/>
      <c r="P27" s="48"/>
      <c r="Q27" s="63"/>
      <c r="R27" s="49"/>
      <c r="S27" s="49"/>
      <c r="T27" s="49"/>
    </row>
    <row r="28">
      <c r="A28" s="49" t="str">
        <f>IFERROR(__xludf.DUMMYFUNCTION("""COMPUTED_VALUE"""),"Scaling a startup globally from Europe: Lessons learned")</f>
        <v>Scaling a startup globally from Europe: Lessons learned</v>
      </c>
      <c r="B28" s="49" t="str">
        <f>IFERROR(__xludf.DUMMYFUNCTION("""COMPUTED_VALUE"""),"Growth Summit")</f>
        <v>Growth Summit</v>
      </c>
      <c r="C28" s="49" t="str">
        <f>IFERROR(__xludf.DUMMYFUNCTION("""COMPUTED_VALUE"""),"Vol Pigrukh")</f>
        <v>Vol Pigrukh</v>
      </c>
      <c r="D28" s="49" t="str">
        <f>IFERROR(__xludf.DUMMYFUNCTION("""COMPUTED_VALUE"""),"2019/11/05 11:42:00")</f>
        <v>2019/11/05 11:42:00</v>
      </c>
      <c r="E28" s="49" t="str">
        <f>IFERROR(__xludf.DUMMYFUNCTION("""COMPUTED_VALUE"""),"2019/11/05 11:46:00")</f>
        <v>2019/11/05 11:46:00</v>
      </c>
      <c r="F28" s="49" t="str">
        <f>IFERROR(__xludf.DUMMYFUNCTION("""COMPUTED_VALUE"""),"e39a9b0a-2940-466b-a31d-ffd0d7810eb1")</f>
        <v>e39a9b0a-2940-466b-a31d-ffd0d7810eb1</v>
      </c>
      <c r="G28" s="52">
        <f>IFERROR(__xludf.DUMMYFUNCTION("""COMPUTED_VALUE"""),43774.0)</f>
        <v>43774</v>
      </c>
      <c r="H28" s="53">
        <f>IFERROR(__xludf.DUMMYFUNCTION("""COMPUTED_VALUE"""),0.4875)</f>
        <v>0.4875</v>
      </c>
      <c r="I28" s="52">
        <f>IFERROR(__xludf.DUMMYFUNCTION("""COMPUTED_VALUE"""),43774.0)</f>
        <v>43774</v>
      </c>
      <c r="J28" s="53">
        <f>IFERROR(__xludf.DUMMYFUNCTION("""COMPUTED_VALUE"""),0.49027777777777776)</f>
        <v>0.4902777778</v>
      </c>
      <c r="K28" s="53">
        <f t="shared" si="1"/>
        <v>0.002777777778</v>
      </c>
      <c r="L28" s="49" t="s">
        <v>583</v>
      </c>
      <c r="M28" s="49"/>
      <c r="N28" s="49"/>
      <c r="O28" s="48"/>
      <c r="P28" s="48"/>
      <c r="Q28" s="63"/>
      <c r="R28" s="49"/>
      <c r="S28" s="49"/>
      <c r="T28" s="49"/>
    </row>
    <row r="29">
      <c r="A29" s="49" t="str">
        <f>IFERROR(__xludf.DUMMYFUNCTION("""COMPUTED_VALUE"""),"Changing the most inert industry in the world")</f>
        <v>Changing the most inert industry in the world</v>
      </c>
      <c r="B29" s="49" t="str">
        <f>IFERROR(__xludf.DUMMYFUNCTION("""COMPUTED_VALUE"""),"Growth Summit")</f>
        <v>Growth Summit</v>
      </c>
      <c r="C29" s="49" t="str">
        <f>IFERROR(__xludf.DUMMYFUNCTION("""COMPUTED_VALUE"""),"Joost Bruggeman")</f>
        <v>Joost Bruggeman</v>
      </c>
      <c r="D29" s="49" t="str">
        <f>IFERROR(__xludf.DUMMYFUNCTION("""COMPUTED_VALUE"""),"2019/11/05 11:46:00")</f>
        <v>2019/11/05 11:46:00</v>
      </c>
      <c r="E29" s="49" t="str">
        <f>IFERROR(__xludf.DUMMYFUNCTION("""COMPUTED_VALUE"""),"2019/11/05 11:50:00")</f>
        <v>2019/11/05 11:50:00</v>
      </c>
      <c r="F29" s="49" t="str">
        <f>IFERROR(__xludf.DUMMYFUNCTION("""COMPUTED_VALUE"""),"554a21c7-0d4d-45e3-a6bb-c6e3c67ef6ac")</f>
        <v>554a21c7-0d4d-45e3-a6bb-c6e3c67ef6ac</v>
      </c>
      <c r="G29" s="52">
        <f>IFERROR(__xludf.DUMMYFUNCTION("""COMPUTED_VALUE"""),43774.0)</f>
        <v>43774</v>
      </c>
      <c r="H29" s="53">
        <f>IFERROR(__xludf.DUMMYFUNCTION("""COMPUTED_VALUE"""),0.49027777777777776)</f>
        <v>0.4902777778</v>
      </c>
      <c r="I29" s="52">
        <f>IFERROR(__xludf.DUMMYFUNCTION("""COMPUTED_VALUE"""),43774.0)</f>
        <v>43774</v>
      </c>
      <c r="J29" s="53">
        <f>IFERROR(__xludf.DUMMYFUNCTION("""COMPUTED_VALUE"""),0.4930555555555556)</f>
        <v>0.4930555556</v>
      </c>
      <c r="K29" s="53">
        <f t="shared" si="1"/>
        <v>0.002777777778</v>
      </c>
      <c r="L29" s="49" t="s">
        <v>583</v>
      </c>
      <c r="M29" s="49"/>
      <c r="N29" s="49"/>
      <c r="O29" s="48"/>
      <c r="P29" s="48"/>
      <c r="Q29" s="63"/>
      <c r="R29" s="49"/>
      <c r="S29" s="49"/>
      <c r="T29" s="49"/>
    </row>
    <row r="30">
      <c r="A30" s="49" t="str">
        <f>IFERROR(__xludf.DUMMYFUNCTION("""COMPUTED_VALUE"""),"Lunch break")</f>
        <v>Lunch break</v>
      </c>
      <c r="B30" s="49" t="str">
        <f>IFERROR(__xludf.DUMMYFUNCTION("""COMPUTED_VALUE"""),"Growth Summit")</f>
        <v>Growth Summit</v>
      </c>
      <c r="C30" s="49" t="str">
        <f>IFERROR(__xludf.DUMMYFUNCTION("""COMPUTED_VALUE"""),"")</f>
        <v/>
      </c>
      <c r="D30" s="49" t="str">
        <f>IFERROR(__xludf.DUMMYFUNCTION("""COMPUTED_VALUE"""),"2019/11/05 11:58:00")</f>
        <v>2019/11/05 11:58:00</v>
      </c>
      <c r="E30" s="49" t="str">
        <f>IFERROR(__xludf.DUMMYFUNCTION("""COMPUTED_VALUE"""),"2019/11/05 12:28:00")</f>
        <v>2019/11/05 12:28:00</v>
      </c>
      <c r="F30" s="49" t="str">
        <f>IFERROR(__xludf.DUMMYFUNCTION("""COMPUTED_VALUE"""),"e3d03cc0-328a-404b-94dd-16533107e93f")</f>
        <v>e3d03cc0-328a-404b-94dd-16533107e93f</v>
      </c>
      <c r="G30" s="52">
        <f>IFERROR(__xludf.DUMMYFUNCTION("""COMPUTED_VALUE"""),43774.0)</f>
        <v>43774</v>
      </c>
      <c r="H30" s="53">
        <f>IFERROR(__xludf.DUMMYFUNCTION("""COMPUTED_VALUE"""),0.4986111111111111)</f>
        <v>0.4986111111</v>
      </c>
      <c r="I30" s="52">
        <f>IFERROR(__xludf.DUMMYFUNCTION("""COMPUTED_VALUE"""),43774.0)</f>
        <v>43774</v>
      </c>
      <c r="J30" s="53">
        <f>IFERROR(__xludf.DUMMYFUNCTION("""COMPUTED_VALUE"""),0.5194444444444445)</f>
        <v>0.5194444444</v>
      </c>
      <c r="K30" s="53">
        <f t="shared" si="1"/>
        <v>0.02083333333</v>
      </c>
      <c r="L30" s="49" t="s">
        <v>105</v>
      </c>
      <c r="M30" s="49"/>
      <c r="N30" s="49"/>
      <c r="O30" s="48"/>
      <c r="P30" s="48"/>
      <c r="Q30" s="63"/>
      <c r="R30" s="49"/>
      <c r="S30" s="49"/>
      <c r="T30" s="49"/>
    </row>
    <row r="31">
      <c r="A31" s="49" t="str">
        <f>IFERROR(__xludf.DUMMYFUNCTION("""COMPUTED_VALUE"""),"Opening remarks")</f>
        <v>Opening remarks</v>
      </c>
      <c r="B31" s="49" t="str">
        <f>IFERROR(__xludf.DUMMYFUNCTION("""COMPUTED_VALUE"""),"Growth Summit")</f>
        <v>Growth Summit</v>
      </c>
      <c r="C31" s="49" t="str">
        <f>IFERROR(__xludf.DUMMYFUNCTION("""COMPUTED_VALUE"""),"Jane Gideon")</f>
        <v>Jane Gideon</v>
      </c>
      <c r="D31" s="49" t="str">
        <f>IFERROR(__xludf.DUMMYFUNCTION("""COMPUTED_VALUE"""),"2019/11/05 12:28:00")</f>
        <v>2019/11/05 12:28:00</v>
      </c>
      <c r="E31" s="49" t="str">
        <f>IFERROR(__xludf.DUMMYFUNCTION("""COMPUTED_VALUE"""),"2019/11/05 12:30:00")</f>
        <v>2019/11/05 12:30:00</v>
      </c>
      <c r="F31" s="49" t="str">
        <f>IFERROR(__xludf.DUMMYFUNCTION("""COMPUTED_VALUE"""),"0bc35cab-39da-4df9-a10f-d05a89509254")</f>
        <v>0bc35cab-39da-4df9-a10f-d05a89509254</v>
      </c>
      <c r="G31" s="52">
        <f>IFERROR(__xludf.DUMMYFUNCTION("""COMPUTED_VALUE"""),43774.0)</f>
        <v>43774</v>
      </c>
      <c r="H31" s="53">
        <f>IFERROR(__xludf.DUMMYFUNCTION("""COMPUTED_VALUE"""),0.5194444444444445)</f>
        <v>0.5194444444</v>
      </c>
      <c r="I31" s="52">
        <f>IFERROR(__xludf.DUMMYFUNCTION("""COMPUTED_VALUE"""),43774.0)</f>
        <v>43774</v>
      </c>
      <c r="J31" s="53">
        <f>IFERROR(__xludf.DUMMYFUNCTION("""COMPUTED_VALUE"""),0.5208333333333334)</f>
        <v>0.5208333333</v>
      </c>
      <c r="K31" s="53">
        <f t="shared" si="1"/>
        <v>0.001388888889</v>
      </c>
      <c r="L31" s="49" t="s">
        <v>584</v>
      </c>
      <c r="M31" s="49"/>
      <c r="N31" s="49"/>
      <c r="O31" s="48"/>
      <c r="P31" s="48"/>
      <c r="Q31" s="63"/>
      <c r="R31" s="49"/>
      <c r="S31" s="49"/>
      <c r="T31" s="49"/>
    </row>
    <row r="32">
      <c r="A32" s="49" t="str">
        <f>IFERROR(__xludf.DUMMYFUNCTION("""COMPUTED_VALUE"""),"Building a FinTech that’s changing the game")</f>
        <v>Building a FinTech that’s changing the game</v>
      </c>
      <c r="B32" s="49" t="str">
        <f>IFERROR(__xludf.DUMMYFUNCTION("""COMPUTED_VALUE"""),"Growth Summit")</f>
        <v>Growth Summit</v>
      </c>
      <c r="C32" s="49" t="str">
        <f>IFERROR(__xludf.DUMMYFUNCTION("""COMPUTED_VALUE"""),"Eric Demuth")</f>
        <v>Eric Demuth</v>
      </c>
      <c r="D32" s="49" t="str">
        <f>IFERROR(__xludf.DUMMYFUNCTION("""COMPUTED_VALUE"""),"2019/11/05 12:30:00")</f>
        <v>2019/11/05 12:30:00</v>
      </c>
      <c r="E32" s="49" t="str">
        <f>IFERROR(__xludf.DUMMYFUNCTION("""COMPUTED_VALUE"""),"2019/11/05 12:41:00")</f>
        <v>2019/11/05 12:41:00</v>
      </c>
      <c r="F32" s="49" t="str">
        <f>IFERROR(__xludf.DUMMYFUNCTION("""COMPUTED_VALUE"""),"b5074e1d-20df-436b-ba78-34da6561777f")</f>
        <v>b5074e1d-20df-436b-ba78-34da6561777f</v>
      </c>
      <c r="G32" s="52">
        <f>IFERROR(__xludf.DUMMYFUNCTION("""COMPUTED_VALUE"""),43774.0)</f>
        <v>43774</v>
      </c>
      <c r="H32" s="53">
        <f>IFERROR(__xludf.DUMMYFUNCTION("""COMPUTED_VALUE"""),0.5208333333333334)</f>
        <v>0.5208333333</v>
      </c>
      <c r="I32" s="52">
        <f>IFERROR(__xludf.DUMMYFUNCTION("""COMPUTED_VALUE"""),43774.0)</f>
        <v>43774</v>
      </c>
      <c r="J32" s="53">
        <f>IFERROR(__xludf.DUMMYFUNCTION("""COMPUTED_VALUE"""),0.5284722222222222)</f>
        <v>0.5284722222</v>
      </c>
      <c r="K32" s="53">
        <f t="shared" si="1"/>
        <v>0.007638888889</v>
      </c>
      <c r="L32" s="49" t="s">
        <v>585</v>
      </c>
      <c r="M32" s="49"/>
      <c r="N32" s="49"/>
      <c r="O32" s="48"/>
      <c r="P32" s="48"/>
      <c r="Q32" s="63"/>
      <c r="R32" s="49"/>
      <c r="S32" s="49"/>
      <c r="T32" s="49"/>
    </row>
    <row r="33">
      <c r="A33" s="49" t="str">
        <f>IFERROR(__xludf.DUMMYFUNCTION("""COMPUTED_VALUE"""),"What happens to teamwork when you rapidly increase your workforce in 18 months?")</f>
        <v>What happens to teamwork when you rapidly increase your workforce in 18 months?</v>
      </c>
      <c r="B33" s="49" t="str">
        <f>IFERROR(__xludf.DUMMYFUNCTION("""COMPUTED_VALUE"""),"Growth Summit")</f>
        <v>Growth Summit</v>
      </c>
      <c r="C33" s="49" t="str">
        <f>IFERROR(__xludf.DUMMYFUNCTION("""COMPUTED_VALUE"""),"")</f>
        <v/>
      </c>
      <c r="D33" s="49" t="str">
        <f>IFERROR(__xludf.DUMMYFUNCTION("""COMPUTED_VALUE"""),"2019/11/05 12:41:00")</f>
        <v>2019/11/05 12:41:00</v>
      </c>
      <c r="E33" s="49" t="str">
        <f>IFERROR(__xludf.DUMMYFUNCTION("""COMPUTED_VALUE"""),"2019/11/05 12:52:00")</f>
        <v>2019/11/05 12:52:00</v>
      </c>
      <c r="F33" s="49" t="str">
        <f>IFERROR(__xludf.DUMMYFUNCTION("""COMPUTED_VALUE"""),"54fec332-95c0-4240-9033-9baf09c9e7da")</f>
        <v>54fec332-95c0-4240-9033-9baf09c9e7da</v>
      </c>
      <c r="G33" s="52">
        <f>IFERROR(__xludf.DUMMYFUNCTION("""COMPUTED_VALUE"""),43774.0)</f>
        <v>43774</v>
      </c>
      <c r="H33" s="53">
        <f>IFERROR(__xludf.DUMMYFUNCTION("""COMPUTED_VALUE"""),0.5284722222222222)</f>
        <v>0.5284722222</v>
      </c>
      <c r="I33" s="52">
        <f>IFERROR(__xludf.DUMMYFUNCTION("""COMPUTED_VALUE"""),43774.0)</f>
        <v>43774</v>
      </c>
      <c r="J33" s="53">
        <f>IFERROR(__xludf.DUMMYFUNCTION("""COMPUTED_VALUE"""),0.5361111111111111)</f>
        <v>0.5361111111</v>
      </c>
      <c r="K33" s="53">
        <f t="shared" si="1"/>
        <v>0.007638888889</v>
      </c>
      <c r="L33" s="49" t="s">
        <v>585</v>
      </c>
      <c r="M33" s="49"/>
      <c r="N33" s="49"/>
      <c r="O33" s="48"/>
      <c r="P33" s="48"/>
      <c r="Q33" s="63"/>
      <c r="R33" s="49"/>
      <c r="S33" s="49"/>
      <c r="T33" s="49"/>
    </row>
    <row r="34">
      <c r="A34" s="49" t="str">
        <f>IFERROR(__xludf.DUMMYFUNCTION("""COMPUTED_VALUE"""),"Really starting from scratch: Tackling the zero data problem")</f>
        <v>Really starting from scratch: Tackling the zero data problem</v>
      </c>
      <c r="B34" s="49" t="str">
        <f>IFERROR(__xludf.DUMMYFUNCTION("""COMPUTED_VALUE"""),"Growth Summit")</f>
        <v>Growth Summit</v>
      </c>
      <c r="C34" s="49" t="str">
        <f>IFERROR(__xludf.DUMMYFUNCTION("""COMPUTED_VALUE"""),"Chris Mitchell")</f>
        <v>Chris Mitchell</v>
      </c>
      <c r="D34" s="49" t="str">
        <f>IFERROR(__xludf.DUMMYFUNCTION("""COMPUTED_VALUE"""),"2019/11/05 12:41:00")</f>
        <v>2019/11/05 12:41:00</v>
      </c>
      <c r="E34" s="49" t="str">
        <f>IFERROR(__xludf.DUMMYFUNCTION("""COMPUTED_VALUE"""),"2019/11/05 12:52:00")</f>
        <v>2019/11/05 12:52:00</v>
      </c>
      <c r="F34" s="49" t="str">
        <f>IFERROR(__xludf.DUMMYFUNCTION("""COMPUTED_VALUE"""),"7a88b902-368a-4acb-8f93-e3781ce9ab98")</f>
        <v>7a88b902-368a-4acb-8f93-e3781ce9ab98</v>
      </c>
      <c r="G34" s="52">
        <f>IFERROR(__xludf.DUMMYFUNCTION("""COMPUTED_VALUE"""),43774.0)</f>
        <v>43774</v>
      </c>
      <c r="H34" s="53">
        <f>IFERROR(__xludf.DUMMYFUNCTION("""COMPUTED_VALUE"""),0.5284722222222222)</f>
        <v>0.5284722222</v>
      </c>
      <c r="I34" s="52">
        <f>IFERROR(__xludf.DUMMYFUNCTION("""COMPUTED_VALUE"""),43774.0)</f>
        <v>43774</v>
      </c>
      <c r="J34" s="53">
        <f>IFERROR(__xludf.DUMMYFUNCTION("""COMPUTED_VALUE"""),0.5361111111111111)</f>
        <v>0.5361111111</v>
      </c>
      <c r="K34" s="53">
        <f t="shared" si="1"/>
        <v>0.007638888889</v>
      </c>
      <c r="L34" s="49" t="s">
        <v>585</v>
      </c>
      <c r="M34" s="49"/>
      <c r="N34" s="49"/>
      <c r="O34" s="48"/>
      <c r="P34" s="48"/>
      <c r="Q34" s="63"/>
      <c r="R34" s="49"/>
      <c r="S34" s="49"/>
      <c r="T34" s="49"/>
    </row>
    <row r="35">
      <c r="A35" s="49" t="str">
        <f>IFERROR(__xludf.DUMMYFUNCTION("""COMPUTED_VALUE"""),"Apex.AI: Taking software from open source to products")</f>
        <v>Apex.AI: Taking software from open source to products</v>
      </c>
      <c r="B35" s="49" t="str">
        <f>IFERROR(__xludf.DUMMYFUNCTION("""COMPUTED_VALUE"""),"Growth Summit")</f>
        <v>Growth Summit</v>
      </c>
      <c r="C35" s="49" t="str">
        <f>IFERROR(__xludf.DUMMYFUNCTION("""COMPUTED_VALUE"""),"Jan Becker")</f>
        <v>Jan Becker</v>
      </c>
      <c r="D35" s="49" t="str">
        <f>IFERROR(__xludf.DUMMYFUNCTION("""COMPUTED_VALUE"""),"2019/11/05 12:52:00")</f>
        <v>2019/11/05 12:52:00</v>
      </c>
      <c r="E35" s="49" t="str">
        <f>IFERROR(__xludf.DUMMYFUNCTION("""COMPUTED_VALUE"""),"2019/11/05 13:03:00")</f>
        <v>2019/11/05 13:03:00</v>
      </c>
      <c r="F35" s="49" t="str">
        <f>IFERROR(__xludf.DUMMYFUNCTION("""COMPUTED_VALUE"""),"1010388a-88e1-4a97-9b9b-f212ca8b351c")</f>
        <v>1010388a-88e1-4a97-9b9b-f212ca8b351c</v>
      </c>
      <c r="G35" s="52">
        <f>IFERROR(__xludf.DUMMYFUNCTION("""COMPUTED_VALUE"""),43774.0)</f>
        <v>43774</v>
      </c>
      <c r="H35" s="53">
        <f>IFERROR(__xludf.DUMMYFUNCTION("""COMPUTED_VALUE"""),0.5361111111111111)</f>
        <v>0.5361111111</v>
      </c>
      <c r="I35" s="52">
        <f>IFERROR(__xludf.DUMMYFUNCTION("""COMPUTED_VALUE"""),43774.0)</f>
        <v>43774</v>
      </c>
      <c r="J35" s="53">
        <f>IFERROR(__xludf.DUMMYFUNCTION("""COMPUTED_VALUE"""),0.54375)</f>
        <v>0.54375</v>
      </c>
      <c r="K35" s="53">
        <f t="shared" si="1"/>
        <v>0.007638888889</v>
      </c>
      <c r="L35" s="49" t="s">
        <v>585</v>
      </c>
      <c r="M35" s="49"/>
      <c r="N35" s="49"/>
      <c r="O35" s="48"/>
      <c r="P35" s="48"/>
      <c r="Q35" s="63"/>
      <c r="R35" s="49"/>
      <c r="S35" s="49"/>
      <c r="T35" s="49"/>
    </row>
    <row r="36">
      <c r="A36" s="49" t="str">
        <f>IFERROR(__xludf.DUMMYFUNCTION("""COMPUTED_VALUE"""),"Design for product success")</f>
        <v>Design for product success</v>
      </c>
      <c r="B36" s="49" t="str">
        <f>IFERROR(__xludf.DUMMYFUNCTION("""COMPUTED_VALUE"""),"Growth Summit")</f>
        <v>Growth Summit</v>
      </c>
      <c r="C36" s="49" t="str">
        <f>IFERROR(__xludf.DUMMYFUNCTION("""COMPUTED_VALUE"""),"Pieter Omvlee")</f>
        <v>Pieter Omvlee</v>
      </c>
      <c r="D36" s="49" t="str">
        <f>IFERROR(__xludf.DUMMYFUNCTION("""COMPUTED_VALUE"""),"2019/11/05 13:03:00")</f>
        <v>2019/11/05 13:03:00</v>
      </c>
      <c r="E36" s="49" t="str">
        <f>IFERROR(__xludf.DUMMYFUNCTION("""COMPUTED_VALUE"""),"2019/11/05 13:14:00")</f>
        <v>2019/11/05 13:14:00</v>
      </c>
      <c r="F36" s="49" t="str">
        <f>IFERROR(__xludf.DUMMYFUNCTION("""COMPUTED_VALUE"""),"16e7ddc6-b395-4462-851e-bb00c6a085fe")</f>
        <v>16e7ddc6-b395-4462-851e-bb00c6a085fe</v>
      </c>
      <c r="G36" s="52">
        <f>IFERROR(__xludf.DUMMYFUNCTION("""COMPUTED_VALUE"""),43774.0)</f>
        <v>43774</v>
      </c>
      <c r="H36" s="53">
        <f>IFERROR(__xludf.DUMMYFUNCTION("""COMPUTED_VALUE"""),0.54375)</f>
        <v>0.54375</v>
      </c>
      <c r="I36" s="52">
        <f>IFERROR(__xludf.DUMMYFUNCTION("""COMPUTED_VALUE"""),43774.0)</f>
        <v>43774</v>
      </c>
      <c r="J36" s="53">
        <f>IFERROR(__xludf.DUMMYFUNCTION("""COMPUTED_VALUE"""),0.5513888888888889)</f>
        <v>0.5513888889</v>
      </c>
      <c r="K36" s="53">
        <f t="shared" si="1"/>
        <v>0.007638888889</v>
      </c>
      <c r="L36" s="49" t="s">
        <v>585</v>
      </c>
      <c r="M36" s="49"/>
      <c r="N36" s="49"/>
      <c r="O36" s="48"/>
      <c r="P36" s="48"/>
      <c r="Q36" s="63"/>
      <c r="R36" s="49"/>
      <c r="S36" s="49"/>
      <c r="T36" s="49"/>
    </row>
    <row r="37">
      <c r="A37" s="49" t="str">
        <f>IFERROR(__xludf.DUMMYFUNCTION("""COMPUTED_VALUE"""),"Speed is everything")</f>
        <v>Speed is everything</v>
      </c>
      <c r="B37" s="49" t="str">
        <f>IFERROR(__xludf.DUMMYFUNCTION("""COMPUTED_VALUE"""),"Growth Summit")</f>
        <v>Growth Summit</v>
      </c>
      <c r="C37" s="49" t="str">
        <f>IFERROR(__xludf.DUMMYFUNCTION("""COMPUTED_VALUE"""),"Derek Steer")</f>
        <v>Derek Steer</v>
      </c>
      <c r="D37" s="49" t="str">
        <f>IFERROR(__xludf.DUMMYFUNCTION("""COMPUTED_VALUE"""),"2019/11/05 13:14:00")</f>
        <v>2019/11/05 13:14:00</v>
      </c>
      <c r="E37" s="49" t="str">
        <f>IFERROR(__xludf.DUMMYFUNCTION("""COMPUTED_VALUE"""),"2019/11/05 13:25:00")</f>
        <v>2019/11/05 13:25:00</v>
      </c>
      <c r="F37" s="49" t="str">
        <f>IFERROR(__xludf.DUMMYFUNCTION("""COMPUTED_VALUE"""),"2207ec97-cf58-470f-b289-e71f0210f0c4")</f>
        <v>2207ec97-cf58-470f-b289-e71f0210f0c4</v>
      </c>
      <c r="G37" s="52">
        <f>IFERROR(__xludf.DUMMYFUNCTION("""COMPUTED_VALUE"""),43774.0)</f>
        <v>43774</v>
      </c>
      <c r="H37" s="53">
        <f>IFERROR(__xludf.DUMMYFUNCTION("""COMPUTED_VALUE"""),0.5513888888888889)</f>
        <v>0.5513888889</v>
      </c>
      <c r="I37" s="52">
        <f>IFERROR(__xludf.DUMMYFUNCTION("""COMPUTED_VALUE"""),43774.0)</f>
        <v>43774</v>
      </c>
      <c r="J37" s="53">
        <f>IFERROR(__xludf.DUMMYFUNCTION("""COMPUTED_VALUE"""),0.5590277777777778)</f>
        <v>0.5590277778</v>
      </c>
      <c r="K37" s="53">
        <f t="shared" si="1"/>
        <v>0.007638888889</v>
      </c>
      <c r="L37" s="49" t="s">
        <v>585</v>
      </c>
      <c r="M37" s="49"/>
      <c r="N37" s="49"/>
      <c r="O37" s="48"/>
      <c r="P37" s="48"/>
      <c r="Q37" s="63"/>
      <c r="R37" s="49"/>
      <c r="S37" s="49"/>
      <c r="T37" s="49"/>
    </row>
    <row r="38">
      <c r="A38" s="49" t="str">
        <f>IFERROR(__xludf.DUMMYFUNCTION("""COMPUTED_VALUE"""),"Preparing for the rise of AI, autonomous vehicles, and the IoT revolution")</f>
        <v>Preparing for the rise of AI, autonomous vehicles, and the IoT revolution</v>
      </c>
      <c r="B38" s="49" t="str">
        <f>IFERROR(__xludf.DUMMYFUNCTION("""COMPUTED_VALUE"""),"Growth Summit")</f>
        <v>Growth Summit</v>
      </c>
      <c r="C38" s="49" t="str">
        <f>IFERROR(__xludf.DUMMYFUNCTION("""COMPUTED_VALUE"""),"Matthew Fornaciari")</f>
        <v>Matthew Fornaciari</v>
      </c>
      <c r="D38" s="49" t="str">
        <f>IFERROR(__xludf.DUMMYFUNCTION("""COMPUTED_VALUE"""),"2019/11/05 13:25:00")</f>
        <v>2019/11/05 13:25:00</v>
      </c>
      <c r="E38" s="49" t="str">
        <f>IFERROR(__xludf.DUMMYFUNCTION("""COMPUTED_VALUE"""),"2019/11/05 13:36:00")</f>
        <v>2019/11/05 13:36:00</v>
      </c>
      <c r="F38" s="49" t="str">
        <f>IFERROR(__xludf.DUMMYFUNCTION("""COMPUTED_VALUE"""),"6e6c5d4e-1d58-485c-b82b-cb53b999f6fd")</f>
        <v>6e6c5d4e-1d58-485c-b82b-cb53b999f6fd</v>
      </c>
      <c r="G38" s="52">
        <f>IFERROR(__xludf.DUMMYFUNCTION("""COMPUTED_VALUE"""),43774.0)</f>
        <v>43774</v>
      </c>
      <c r="H38" s="53">
        <f>IFERROR(__xludf.DUMMYFUNCTION("""COMPUTED_VALUE"""),0.5590277777777778)</f>
        <v>0.5590277778</v>
      </c>
      <c r="I38" s="52">
        <f>IFERROR(__xludf.DUMMYFUNCTION("""COMPUTED_VALUE"""),43774.0)</f>
        <v>43774</v>
      </c>
      <c r="J38" s="53">
        <f>IFERROR(__xludf.DUMMYFUNCTION("""COMPUTED_VALUE"""),0.5666666666666667)</f>
        <v>0.5666666667</v>
      </c>
      <c r="K38" s="53">
        <f t="shared" si="1"/>
        <v>0.007638888889</v>
      </c>
      <c r="L38" s="49" t="s">
        <v>585</v>
      </c>
      <c r="M38" s="49"/>
      <c r="N38" s="49"/>
      <c r="O38" s="48"/>
      <c r="P38" s="48"/>
      <c r="Q38" s="63"/>
      <c r="R38" s="49"/>
      <c r="S38" s="49"/>
      <c r="T38" s="49"/>
    </row>
    <row r="39">
      <c r="A39" s="49" t="str">
        <f>IFERROR(__xludf.DUMMYFUNCTION("""COMPUTED_VALUE"""),"People before profiles: Customer relationships in the age of AI")</f>
        <v>People before profiles: Customer relationships in the age of AI</v>
      </c>
      <c r="B39" s="49" t="str">
        <f>IFERROR(__xludf.DUMMYFUNCTION("""COMPUTED_VALUE"""),"Growth Summit")</f>
        <v>Growth Summit</v>
      </c>
      <c r="C39" s="49" t="str">
        <f>IFERROR(__xludf.DUMMYFUNCTION("""COMPUTED_VALUE"""),"Steve Irvine")</f>
        <v>Steve Irvine</v>
      </c>
      <c r="D39" s="49" t="str">
        <f>IFERROR(__xludf.DUMMYFUNCTION("""COMPUTED_VALUE"""),"2019/11/05 13:36:00")</f>
        <v>2019/11/05 13:36:00</v>
      </c>
      <c r="E39" s="49" t="str">
        <f>IFERROR(__xludf.DUMMYFUNCTION("""COMPUTED_VALUE"""),"2019/11/05 13:47:00")</f>
        <v>2019/11/05 13:47:00</v>
      </c>
      <c r="F39" s="49" t="str">
        <f>IFERROR(__xludf.DUMMYFUNCTION("""COMPUTED_VALUE"""),"b5b6a05c-8350-4d50-9275-01fdcc9371ee")</f>
        <v>b5b6a05c-8350-4d50-9275-01fdcc9371ee</v>
      </c>
      <c r="G39" s="52">
        <f>IFERROR(__xludf.DUMMYFUNCTION("""COMPUTED_VALUE"""),43774.0)</f>
        <v>43774</v>
      </c>
      <c r="H39" s="53">
        <f>IFERROR(__xludf.DUMMYFUNCTION("""COMPUTED_VALUE"""),0.5666666666666667)</f>
        <v>0.5666666667</v>
      </c>
      <c r="I39" s="52">
        <f>IFERROR(__xludf.DUMMYFUNCTION("""COMPUTED_VALUE"""),43774.0)</f>
        <v>43774</v>
      </c>
      <c r="J39" s="53">
        <f>IFERROR(__xludf.DUMMYFUNCTION("""COMPUTED_VALUE"""),0.5743055555555555)</f>
        <v>0.5743055556</v>
      </c>
      <c r="K39" s="53">
        <f t="shared" si="1"/>
        <v>0.007638888889</v>
      </c>
      <c r="L39" s="49" t="s">
        <v>585</v>
      </c>
      <c r="M39" s="49"/>
      <c r="N39" s="49"/>
      <c r="O39" s="48"/>
      <c r="P39" s="48"/>
      <c r="Q39" s="63"/>
      <c r="R39" s="49"/>
      <c r="S39" s="49"/>
      <c r="T39" s="49"/>
    </row>
    <row r="40">
      <c r="A40" s="49" t="str">
        <f>IFERROR(__xludf.DUMMYFUNCTION("""COMPUTED_VALUE"""),"How product intelligence is redefining the global tech industry")</f>
        <v>How product intelligence is redefining the global tech industry</v>
      </c>
      <c r="B40" s="49" t="str">
        <f>IFERROR(__xludf.DUMMYFUNCTION("""COMPUTED_VALUE"""),"Growth Summit")</f>
        <v>Growth Summit</v>
      </c>
      <c r="C40" s="49" t="str">
        <f>IFERROR(__xludf.DUMMYFUNCTION("""COMPUTED_VALUE"""),"Spenser Skates")</f>
        <v>Spenser Skates</v>
      </c>
      <c r="D40" s="49" t="str">
        <f>IFERROR(__xludf.DUMMYFUNCTION("""COMPUTED_VALUE"""),"2019/11/05 13:47:00")</f>
        <v>2019/11/05 13:47:00</v>
      </c>
      <c r="E40" s="49" t="str">
        <f>IFERROR(__xludf.DUMMYFUNCTION("""COMPUTED_VALUE"""),"2019/11/05 13:58:00")</f>
        <v>2019/11/05 13:58:00</v>
      </c>
      <c r="F40" s="49" t="str">
        <f>IFERROR(__xludf.DUMMYFUNCTION("""COMPUTED_VALUE"""),"6c19e91e-3303-419c-a432-c67f0274e32b")</f>
        <v>6c19e91e-3303-419c-a432-c67f0274e32b</v>
      </c>
      <c r="G40" s="52">
        <f>IFERROR(__xludf.DUMMYFUNCTION("""COMPUTED_VALUE"""),43774.0)</f>
        <v>43774</v>
      </c>
      <c r="H40" s="53">
        <f>IFERROR(__xludf.DUMMYFUNCTION("""COMPUTED_VALUE"""),0.5743055555555555)</f>
        <v>0.5743055556</v>
      </c>
      <c r="I40" s="52">
        <f>IFERROR(__xludf.DUMMYFUNCTION("""COMPUTED_VALUE"""),43774.0)</f>
        <v>43774</v>
      </c>
      <c r="J40" s="53">
        <f>IFERROR(__xludf.DUMMYFUNCTION("""COMPUTED_VALUE"""),0.5819444444444445)</f>
        <v>0.5819444444</v>
      </c>
      <c r="K40" s="53">
        <f t="shared" si="1"/>
        <v>0.007638888889</v>
      </c>
      <c r="L40" s="49" t="s">
        <v>585</v>
      </c>
      <c r="M40" s="49"/>
      <c r="N40" s="49"/>
      <c r="O40" s="48"/>
      <c r="P40" s="48"/>
      <c r="Q40" s="63"/>
      <c r="R40" s="49"/>
      <c r="S40" s="49"/>
      <c r="T40" s="49"/>
    </row>
    <row r="41">
      <c r="A41" s="49" t="str">
        <f>IFERROR(__xludf.DUMMYFUNCTION("""COMPUTED_VALUE"""),"Pushing the envelope: Aiming for the impossible and going beyond")</f>
        <v>Pushing the envelope: Aiming for the impossible and going beyond</v>
      </c>
      <c r="B41" s="49" t="str">
        <f>IFERROR(__xludf.DUMMYFUNCTION("""COMPUTED_VALUE"""),"Growth Summit")</f>
        <v>Growth Summit</v>
      </c>
      <c r="C41" s="49" t="str">
        <f>IFERROR(__xludf.DUMMYFUNCTION("""COMPUTED_VALUE"""),"Vasco Pedro")</f>
        <v>Vasco Pedro</v>
      </c>
      <c r="D41" s="49" t="str">
        <f>IFERROR(__xludf.DUMMYFUNCTION("""COMPUTED_VALUE"""),"2019/11/05 13:58:00")</f>
        <v>2019/11/05 13:58:00</v>
      </c>
      <c r="E41" s="49" t="str">
        <f>IFERROR(__xludf.DUMMYFUNCTION("""COMPUTED_VALUE"""),"2019/11/05 14:09:00")</f>
        <v>2019/11/05 14:09:00</v>
      </c>
      <c r="F41" s="49" t="str">
        <f>IFERROR(__xludf.DUMMYFUNCTION("""COMPUTED_VALUE"""),"062b5913-edcb-4272-a370-8039d92e1fc5")</f>
        <v>062b5913-edcb-4272-a370-8039d92e1fc5</v>
      </c>
      <c r="G41" s="52">
        <f>IFERROR(__xludf.DUMMYFUNCTION("""COMPUTED_VALUE"""),43774.0)</f>
        <v>43774</v>
      </c>
      <c r="H41" s="53">
        <f>IFERROR(__xludf.DUMMYFUNCTION("""COMPUTED_VALUE"""),0.5819444444444445)</f>
        <v>0.5819444444</v>
      </c>
      <c r="I41" s="52">
        <f>IFERROR(__xludf.DUMMYFUNCTION("""COMPUTED_VALUE"""),43774.0)</f>
        <v>43774</v>
      </c>
      <c r="J41" s="53">
        <f>IFERROR(__xludf.DUMMYFUNCTION("""COMPUTED_VALUE"""),0.5895833333333333)</f>
        <v>0.5895833333</v>
      </c>
      <c r="K41" s="53">
        <f t="shared" si="1"/>
        <v>0.007638888889</v>
      </c>
      <c r="L41" s="49" t="s">
        <v>585</v>
      </c>
      <c r="M41" s="49"/>
      <c r="N41" s="49"/>
      <c r="O41" s="48"/>
      <c r="P41" s="48"/>
      <c r="Q41" s="63"/>
      <c r="R41" s="49"/>
      <c r="S41" s="49"/>
      <c r="T41" s="49"/>
    </row>
    <row r="42">
      <c r="A42" s="49" t="str">
        <f>IFERROR(__xludf.DUMMYFUNCTION("""COMPUTED_VALUE"""),"Autonomy and the future of transportation")</f>
        <v>Autonomy and the future of transportation</v>
      </c>
      <c r="B42" s="49" t="str">
        <f>IFERROR(__xludf.DUMMYFUNCTION("""COMPUTED_VALUE"""),"Growth Summit")</f>
        <v>Growth Summit</v>
      </c>
      <c r="C42" s="49" t="str">
        <f>IFERROR(__xludf.DUMMYFUNCTION("""COMPUTED_VALUE"""),"Ransom Wuller")</f>
        <v>Ransom Wuller</v>
      </c>
      <c r="D42" s="49" t="str">
        <f>IFERROR(__xludf.DUMMYFUNCTION("""COMPUTED_VALUE"""),"2019/11/05 14:09:00")</f>
        <v>2019/11/05 14:09:00</v>
      </c>
      <c r="E42" s="49" t="str">
        <f>IFERROR(__xludf.DUMMYFUNCTION("""COMPUTED_VALUE"""),"2019/11/05 14:20:00")</f>
        <v>2019/11/05 14:20:00</v>
      </c>
      <c r="F42" s="49" t="str">
        <f>IFERROR(__xludf.DUMMYFUNCTION("""COMPUTED_VALUE"""),"1a38029c-c419-4fd5-a55f-b8af322dcbf9")</f>
        <v>1a38029c-c419-4fd5-a55f-b8af322dcbf9</v>
      </c>
      <c r="G42" s="52">
        <f>IFERROR(__xludf.DUMMYFUNCTION("""COMPUTED_VALUE"""),43774.0)</f>
        <v>43774</v>
      </c>
      <c r="H42" s="53">
        <f>IFERROR(__xludf.DUMMYFUNCTION("""COMPUTED_VALUE"""),0.5895833333333333)</f>
        <v>0.5895833333</v>
      </c>
      <c r="I42" s="52">
        <f>IFERROR(__xludf.DUMMYFUNCTION("""COMPUTED_VALUE"""),43774.0)</f>
        <v>43774</v>
      </c>
      <c r="J42" s="53">
        <f>IFERROR(__xludf.DUMMYFUNCTION("""COMPUTED_VALUE"""),0.5972222222222222)</f>
        <v>0.5972222222</v>
      </c>
      <c r="K42" s="53">
        <f t="shared" si="1"/>
        <v>0.007638888889</v>
      </c>
      <c r="L42" s="49" t="s">
        <v>585</v>
      </c>
      <c r="M42" s="49"/>
      <c r="N42" s="49"/>
      <c r="O42" s="48"/>
      <c r="P42" s="48"/>
      <c r="Q42" s="63"/>
      <c r="R42" s="49"/>
      <c r="S42" s="49"/>
      <c r="T42" s="49"/>
    </row>
    <row r="43">
      <c r="A43" s="49" t="str">
        <f>IFERROR(__xludf.DUMMYFUNCTION("""COMPUTED_VALUE"""),"David partnering Goliath: How startups should think at partnerships")</f>
        <v>David partnering Goliath: How startups should think at partnerships</v>
      </c>
      <c r="B43" s="49" t="str">
        <f>IFERROR(__xludf.DUMMYFUNCTION("""COMPUTED_VALUE"""),"Growth Summit")</f>
        <v>Growth Summit</v>
      </c>
      <c r="C43" s="49" t="str">
        <f>IFERROR(__xludf.DUMMYFUNCTION("""COMPUTED_VALUE"""),"Francesco Simoneschi")</f>
        <v>Francesco Simoneschi</v>
      </c>
      <c r="D43" s="49" t="str">
        <f>IFERROR(__xludf.DUMMYFUNCTION("""COMPUTED_VALUE"""),"2019/11/05 14:20:00")</f>
        <v>2019/11/05 14:20:00</v>
      </c>
      <c r="E43" s="49" t="str">
        <f>IFERROR(__xludf.DUMMYFUNCTION("""COMPUTED_VALUE"""),"2019/11/05 14:31:00")</f>
        <v>2019/11/05 14:31:00</v>
      </c>
      <c r="F43" s="49" t="str">
        <f>IFERROR(__xludf.DUMMYFUNCTION("""COMPUTED_VALUE"""),"60825590-e9f9-48d4-8c82-b3364f8133cc")</f>
        <v>60825590-e9f9-48d4-8c82-b3364f8133cc</v>
      </c>
      <c r="G43" s="52">
        <f>IFERROR(__xludf.DUMMYFUNCTION("""COMPUTED_VALUE"""),43774.0)</f>
        <v>43774</v>
      </c>
      <c r="H43" s="53">
        <f>IFERROR(__xludf.DUMMYFUNCTION("""COMPUTED_VALUE"""),0.5972222222222222)</f>
        <v>0.5972222222</v>
      </c>
      <c r="I43" s="52">
        <f>IFERROR(__xludf.DUMMYFUNCTION("""COMPUTED_VALUE"""),43774.0)</f>
        <v>43774</v>
      </c>
      <c r="J43" s="53">
        <f>IFERROR(__xludf.DUMMYFUNCTION("""COMPUTED_VALUE"""),0.6048611111111111)</f>
        <v>0.6048611111</v>
      </c>
      <c r="K43" s="53">
        <f t="shared" si="1"/>
        <v>0.007638888889</v>
      </c>
      <c r="L43" s="49" t="s">
        <v>585</v>
      </c>
      <c r="M43" s="49"/>
      <c r="N43" s="49"/>
      <c r="O43" s="48"/>
      <c r="P43" s="48"/>
      <c r="Q43" s="63"/>
      <c r="R43" s="49"/>
      <c r="S43" s="49"/>
      <c r="T43" s="49"/>
    </row>
    <row r="44">
      <c r="A44" s="49" t="str">
        <f>IFERROR(__xludf.DUMMYFUNCTION("""COMPUTED_VALUE"""),"From cleaning toilets to a $60m raise: The story of Guesty")</f>
        <v>From cleaning toilets to a $60m raise: The story of Guesty</v>
      </c>
      <c r="B44" s="49" t="str">
        <f>IFERROR(__xludf.DUMMYFUNCTION("""COMPUTED_VALUE"""),"Growth Summit")</f>
        <v>Growth Summit</v>
      </c>
      <c r="C44" s="49" t="str">
        <f>IFERROR(__xludf.DUMMYFUNCTION("""COMPUTED_VALUE"""),"Amiad Soto")</f>
        <v>Amiad Soto</v>
      </c>
      <c r="D44" s="49" t="str">
        <f>IFERROR(__xludf.DUMMYFUNCTION("""COMPUTED_VALUE"""),"2019/11/05 14:31:00")</f>
        <v>2019/11/05 14:31:00</v>
      </c>
      <c r="E44" s="49" t="str">
        <f>IFERROR(__xludf.DUMMYFUNCTION("""COMPUTED_VALUE"""),"2019/11/05 14:42:00")</f>
        <v>2019/11/05 14:42:00</v>
      </c>
      <c r="F44" s="49" t="str">
        <f>IFERROR(__xludf.DUMMYFUNCTION("""COMPUTED_VALUE"""),"8678c89e-3623-4e24-a55b-bf600aab28bb")</f>
        <v>8678c89e-3623-4e24-a55b-bf600aab28bb</v>
      </c>
      <c r="G44" s="52">
        <f>IFERROR(__xludf.DUMMYFUNCTION("""COMPUTED_VALUE"""),43774.0)</f>
        <v>43774</v>
      </c>
      <c r="H44" s="53">
        <f>IFERROR(__xludf.DUMMYFUNCTION("""COMPUTED_VALUE"""),0.6048611111111111)</f>
        <v>0.6048611111</v>
      </c>
      <c r="I44" s="52">
        <f>IFERROR(__xludf.DUMMYFUNCTION("""COMPUTED_VALUE"""),43774.0)</f>
        <v>43774</v>
      </c>
      <c r="J44" s="53">
        <f>IFERROR(__xludf.DUMMYFUNCTION("""COMPUTED_VALUE"""),0.6125)</f>
        <v>0.6125</v>
      </c>
      <c r="K44" s="53">
        <f t="shared" si="1"/>
        <v>0.007638888889</v>
      </c>
      <c r="L44" s="49" t="s">
        <v>585</v>
      </c>
      <c r="M44" s="49"/>
      <c r="N44" s="49"/>
      <c r="O44" s="48"/>
      <c r="P44" s="48"/>
      <c r="Q44" s="63"/>
      <c r="R44" s="49"/>
      <c r="S44" s="49"/>
      <c r="T44" s="49"/>
    </row>
    <row r="45">
      <c r="A45" s="49" t="str">
        <f>IFERROR(__xludf.DUMMYFUNCTION("""COMPUTED_VALUE"""),"How to move your business from startup to growth in five steps")</f>
        <v>How to move your business from startup to growth in five steps</v>
      </c>
      <c r="B45" s="49" t="str">
        <f>IFERROR(__xludf.DUMMYFUNCTION("""COMPUTED_VALUE"""),"Growth Summit")</f>
        <v>Growth Summit</v>
      </c>
      <c r="C45" s="49" t="str">
        <f>IFERROR(__xludf.DUMMYFUNCTION("""COMPUTED_VALUE"""),"David Yovanno")</f>
        <v>David Yovanno</v>
      </c>
      <c r="D45" s="49" t="str">
        <f>IFERROR(__xludf.DUMMYFUNCTION("""COMPUTED_VALUE"""),"2019/11/05 14:42:00")</f>
        <v>2019/11/05 14:42:00</v>
      </c>
      <c r="E45" s="49" t="str">
        <f>IFERROR(__xludf.DUMMYFUNCTION("""COMPUTED_VALUE"""),"2019/11/05 14:53:00")</f>
        <v>2019/11/05 14:53:00</v>
      </c>
      <c r="F45" s="49" t="str">
        <f>IFERROR(__xludf.DUMMYFUNCTION("""COMPUTED_VALUE"""),"e20b4bb4-2b9f-4029-8a10-60e3fe233692")</f>
        <v>e20b4bb4-2b9f-4029-8a10-60e3fe233692</v>
      </c>
      <c r="G45" s="52">
        <f>IFERROR(__xludf.DUMMYFUNCTION("""COMPUTED_VALUE"""),43774.0)</f>
        <v>43774</v>
      </c>
      <c r="H45" s="53">
        <f>IFERROR(__xludf.DUMMYFUNCTION("""COMPUTED_VALUE"""),0.6125)</f>
        <v>0.6125</v>
      </c>
      <c r="I45" s="52">
        <f>IFERROR(__xludf.DUMMYFUNCTION("""COMPUTED_VALUE"""),43774.0)</f>
        <v>43774</v>
      </c>
      <c r="J45" s="53">
        <f>IFERROR(__xludf.DUMMYFUNCTION("""COMPUTED_VALUE"""),0.6201388888888889)</f>
        <v>0.6201388889</v>
      </c>
      <c r="K45" s="53">
        <f t="shared" si="1"/>
        <v>0.007638888889</v>
      </c>
      <c r="L45" s="49" t="s">
        <v>585</v>
      </c>
      <c r="M45" s="49"/>
      <c r="N45" s="49"/>
      <c r="O45" s="48"/>
      <c r="P45" s="48"/>
      <c r="Q45" s="63"/>
      <c r="R45" s="49"/>
      <c r="S45" s="49"/>
      <c r="T45" s="49"/>
    </row>
    <row r="46">
      <c r="A46" s="49" t="str">
        <f>IFERROR(__xludf.DUMMYFUNCTION("""COMPUTED_VALUE"""),"Building a European champion in five years")</f>
        <v>Building a European champion in five years</v>
      </c>
      <c r="B46" s="49" t="str">
        <f>IFERROR(__xludf.DUMMYFUNCTION("""COMPUTED_VALUE"""),"Growth Summit")</f>
        <v>Growth Summit</v>
      </c>
      <c r="C46" s="49" t="str">
        <f>IFERROR(__xludf.DUMMYFUNCTION("""COMPUTED_VALUE"""),"Firmin Zocchetto")</f>
        <v>Firmin Zocchetto</v>
      </c>
      <c r="D46" s="49" t="str">
        <f>IFERROR(__xludf.DUMMYFUNCTION("""COMPUTED_VALUE"""),"2019/11/05 14:53:00")</f>
        <v>2019/11/05 14:53:00</v>
      </c>
      <c r="E46" s="49" t="str">
        <f>IFERROR(__xludf.DUMMYFUNCTION("""COMPUTED_VALUE"""),"2019/11/05 15:04:00")</f>
        <v>2019/11/05 15:04:00</v>
      </c>
      <c r="F46" s="49" t="str">
        <f>IFERROR(__xludf.DUMMYFUNCTION("""COMPUTED_VALUE"""),"99f588af-9185-44f9-90d2-7b770aefa8b5")</f>
        <v>99f588af-9185-44f9-90d2-7b770aefa8b5</v>
      </c>
      <c r="G46" s="52">
        <f>IFERROR(__xludf.DUMMYFUNCTION("""COMPUTED_VALUE"""),43774.0)</f>
        <v>43774</v>
      </c>
      <c r="H46" s="53">
        <f>IFERROR(__xludf.DUMMYFUNCTION("""COMPUTED_VALUE"""),0.6201388888888889)</f>
        <v>0.6201388889</v>
      </c>
      <c r="I46" s="52">
        <f>IFERROR(__xludf.DUMMYFUNCTION("""COMPUTED_VALUE"""),43774.0)</f>
        <v>43774</v>
      </c>
      <c r="J46" s="53">
        <f>IFERROR(__xludf.DUMMYFUNCTION("""COMPUTED_VALUE"""),0.6277777777777778)</f>
        <v>0.6277777778</v>
      </c>
      <c r="K46" s="53">
        <f t="shared" si="1"/>
        <v>0.007638888889</v>
      </c>
      <c r="L46" s="49" t="s">
        <v>585</v>
      </c>
      <c r="M46" s="49"/>
      <c r="N46" s="49"/>
      <c r="O46" s="48"/>
      <c r="P46" s="48"/>
      <c r="Q46" s="63"/>
      <c r="R46" s="49"/>
      <c r="S46" s="49"/>
      <c r="T46" s="49"/>
    </row>
    <row r="47">
      <c r="A47" s="49" t="str">
        <f>IFERROR(__xludf.DUMMYFUNCTION("""COMPUTED_VALUE"""),"Engineering a successful pivot")</f>
        <v>Engineering a successful pivot</v>
      </c>
      <c r="B47" s="49" t="str">
        <f>IFERROR(__xludf.DUMMYFUNCTION("""COMPUTED_VALUE"""),"Growth Summit")</f>
        <v>Growth Summit</v>
      </c>
      <c r="C47" s="49" t="str">
        <f>IFERROR(__xludf.DUMMYFUNCTION("""COMPUTED_VALUE"""),"Alex Barrotti")</f>
        <v>Alex Barrotti</v>
      </c>
      <c r="D47" s="49" t="str">
        <f>IFERROR(__xludf.DUMMYFUNCTION("""COMPUTED_VALUE"""),"2019/11/05 15:04:00")</f>
        <v>2019/11/05 15:04:00</v>
      </c>
      <c r="E47" s="49" t="str">
        <f>IFERROR(__xludf.DUMMYFUNCTION("""COMPUTED_VALUE"""),"2019/11/05 15:15:00")</f>
        <v>2019/11/05 15:15:00</v>
      </c>
      <c r="F47" s="49" t="str">
        <f>IFERROR(__xludf.DUMMYFUNCTION("""COMPUTED_VALUE"""),"5157fa8e-dc38-4fb3-bc2d-618db51819e4")</f>
        <v>5157fa8e-dc38-4fb3-bc2d-618db51819e4</v>
      </c>
      <c r="G47" s="52">
        <f>IFERROR(__xludf.DUMMYFUNCTION("""COMPUTED_VALUE"""),43774.0)</f>
        <v>43774</v>
      </c>
      <c r="H47" s="53">
        <f>IFERROR(__xludf.DUMMYFUNCTION("""COMPUTED_VALUE"""),0.6277777777777778)</f>
        <v>0.6277777778</v>
      </c>
      <c r="I47" s="52">
        <f>IFERROR(__xludf.DUMMYFUNCTION("""COMPUTED_VALUE"""),43774.0)</f>
        <v>43774</v>
      </c>
      <c r="J47" s="53">
        <f>IFERROR(__xludf.DUMMYFUNCTION("""COMPUTED_VALUE"""),0.6354166666666666)</f>
        <v>0.6354166667</v>
      </c>
      <c r="K47" s="53">
        <f t="shared" si="1"/>
        <v>0.007638888889</v>
      </c>
      <c r="L47" s="49" t="s">
        <v>585</v>
      </c>
      <c r="M47" s="49"/>
      <c r="N47" s="49"/>
      <c r="O47" s="48"/>
      <c r="P47" s="48"/>
      <c r="Q47" s="63"/>
      <c r="R47" s="49"/>
      <c r="S47" s="49"/>
      <c r="T47" s="49"/>
    </row>
    <row r="48">
      <c r="A48" s="49" t="str">
        <f>IFERROR(__xludf.DUMMYFUNCTION("""COMPUTED_VALUE"""),"Bidroom: Master disruption and growth with a subscription business model")</f>
        <v>Bidroom: Master disruption and growth with a subscription business model</v>
      </c>
      <c r="B48" s="49" t="str">
        <f>IFERROR(__xludf.DUMMYFUNCTION("""COMPUTED_VALUE"""),"Growth Summit")</f>
        <v>Growth Summit</v>
      </c>
      <c r="C48" s="49" t="str">
        <f>IFERROR(__xludf.DUMMYFUNCTION("""COMPUTED_VALUE"""),"Michael Ros")</f>
        <v>Michael Ros</v>
      </c>
      <c r="D48" s="49" t="str">
        <f>IFERROR(__xludf.DUMMYFUNCTION("""COMPUTED_VALUE"""),"2019/11/05 15:15:00")</f>
        <v>2019/11/05 15:15:00</v>
      </c>
      <c r="E48" s="49" t="str">
        <f>IFERROR(__xludf.DUMMYFUNCTION("""COMPUTED_VALUE"""),"2019/11/05 15:26:00")</f>
        <v>2019/11/05 15:26:00</v>
      </c>
      <c r="F48" s="49" t="str">
        <f>IFERROR(__xludf.DUMMYFUNCTION("""COMPUTED_VALUE"""),"161c0732-4898-4b62-b38c-0132395b35c6")</f>
        <v>161c0732-4898-4b62-b38c-0132395b35c6</v>
      </c>
      <c r="G48" s="52">
        <f>IFERROR(__xludf.DUMMYFUNCTION("""COMPUTED_VALUE"""),43774.0)</f>
        <v>43774</v>
      </c>
      <c r="H48" s="53">
        <f>IFERROR(__xludf.DUMMYFUNCTION("""COMPUTED_VALUE"""),0.6354166666666666)</f>
        <v>0.6354166667</v>
      </c>
      <c r="I48" s="52">
        <f>IFERROR(__xludf.DUMMYFUNCTION("""COMPUTED_VALUE"""),43774.0)</f>
        <v>43774</v>
      </c>
      <c r="J48" s="53">
        <f>IFERROR(__xludf.DUMMYFUNCTION("""COMPUTED_VALUE"""),0.6430555555555556)</f>
        <v>0.6430555556</v>
      </c>
      <c r="K48" s="53">
        <f t="shared" si="1"/>
        <v>0.007638888889</v>
      </c>
      <c r="L48" s="49" t="s">
        <v>585</v>
      </c>
      <c r="M48" s="49"/>
      <c r="N48" s="49"/>
      <c r="O48" s="48"/>
      <c r="P48" s="48"/>
      <c r="Q48" s="63"/>
      <c r="R48" s="49"/>
      <c r="S48" s="49"/>
      <c r="T48" s="49"/>
    </row>
    <row r="49">
      <c r="A49" s="49" t="str">
        <f>IFERROR(__xludf.DUMMYFUNCTION("""COMPUTED_VALUE"""),"Using the Silicon Valley playbook to take on big tech")</f>
        <v>Using the Silicon Valley playbook to take on big tech</v>
      </c>
      <c r="B49" s="49" t="str">
        <f>IFERROR(__xludf.DUMMYFUNCTION("""COMPUTED_VALUE"""),"Growth Summit")</f>
        <v>Growth Summit</v>
      </c>
      <c r="C49" s="49" t="str">
        <f>IFERROR(__xludf.DUMMYFUNCTION("""COMPUTED_VALUE"""),"Dominic Williams")</f>
        <v>Dominic Williams</v>
      </c>
      <c r="D49" s="49" t="str">
        <f>IFERROR(__xludf.DUMMYFUNCTION("""COMPUTED_VALUE"""),"2019/11/05 15:26:00")</f>
        <v>2019/11/05 15:26:00</v>
      </c>
      <c r="E49" s="49" t="str">
        <f>IFERROR(__xludf.DUMMYFUNCTION("""COMPUTED_VALUE"""),"2019/11/05 15:37:00")</f>
        <v>2019/11/05 15:37:00</v>
      </c>
      <c r="F49" s="49" t="str">
        <f>IFERROR(__xludf.DUMMYFUNCTION("""COMPUTED_VALUE"""),"579fc4f0-9bc4-443c-9fe1-d3b348b2076b")</f>
        <v>579fc4f0-9bc4-443c-9fe1-d3b348b2076b</v>
      </c>
      <c r="G49" s="52">
        <f>IFERROR(__xludf.DUMMYFUNCTION("""COMPUTED_VALUE"""),43774.0)</f>
        <v>43774</v>
      </c>
      <c r="H49" s="53">
        <f>IFERROR(__xludf.DUMMYFUNCTION("""COMPUTED_VALUE"""),0.6430555555555556)</f>
        <v>0.6430555556</v>
      </c>
      <c r="I49" s="52">
        <f>IFERROR(__xludf.DUMMYFUNCTION("""COMPUTED_VALUE"""),43774.0)</f>
        <v>43774</v>
      </c>
      <c r="J49" s="53">
        <f>IFERROR(__xludf.DUMMYFUNCTION("""COMPUTED_VALUE"""),0.6506944444444445)</f>
        <v>0.6506944444</v>
      </c>
      <c r="K49" s="53">
        <f t="shared" si="1"/>
        <v>0.007638888889</v>
      </c>
      <c r="L49" s="49" t="s">
        <v>585</v>
      </c>
      <c r="M49" s="49"/>
      <c r="N49" s="49"/>
      <c r="O49" s="48"/>
      <c r="P49" s="48"/>
      <c r="Q49" s="63"/>
      <c r="R49" s="49"/>
      <c r="S49" s="49"/>
      <c r="T49" s="49"/>
    </row>
    <row r="50">
      <c r="A50" s="49" t="str">
        <f>IFERROR(__xludf.DUMMYFUNCTION("""COMPUTED_VALUE"""),"A job in 24 hours: The reinvention of blue collar hiring")</f>
        <v>A job in 24 hours: The reinvention of blue collar hiring</v>
      </c>
      <c r="B50" s="49" t="str">
        <f>IFERROR(__xludf.DUMMYFUNCTION("""COMPUTED_VALUE"""),"Growth Summit")</f>
        <v>Growth Summit</v>
      </c>
      <c r="C50" s="49" t="str">
        <f>IFERROR(__xludf.DUMMYFUNCTION("""COMPUTED_VALUE"""),"Polina Montano")</f>
        <v>Polina Montano</v>
      </c>
      <c r="D50" s="49" t="str">
        <f>IFERROR(__xludf.DUMMYFUNCTION("""COMPUTED_VALUE"""),"2019/11/05 15:37:00")</f>
        <v>2019/11/05 15:37:00</v>
      </c>
      <c r="E50" s="49" t="str">
        <f>IFERROR(__xludf.DUMMYFUNCTION("""COMPUTED_VALUE"""),"2019/11/05 15:48:00")</f>
        <v>2019/11/05 15:48:00</v>
      </c>
      <c r="F50" s="49" t="str">
        <f>IFERROR(__xludf.DUMMYFUNCTION("""COMPUTED_VALUE"""),"366dfa7a-9cc6-48ac-8004-d054096b2b51")</f>
        <v>366dfa7a-9cc6-48ac-8004-d054096b2b51</v>
      </c>
      <c r="G50" s="52">
        <f>IFERROR(__xludf.DUMMYFUNCTION("""COMPUTED_VALUE"""),43774.0)</f>
        <v>43774</v>
      </c>
      <c r="H50" s="53">
        <f>IFERROR(__xludf.DUMMYFUNCTION("""COMPUTED_VALUE"""),0.6506944444444445)</f>
        <v>0.6506944444</v>
      </c>
      <c r="I50" s="52">
        <f>IFERROR(__xludf.DUMMYFUNCTION("""COMPUTED_VALUE"""),43774.0)</f>
        <v>43774</v>
      </c>
      <c r="J50" s="53">
        <f>IFERROR(__xludf.DUMMYFUNCTION("""COMPUTED_VALUE"""),0.6583333333333333)</f>
        <v>0.6583333333</v>
      </c>
      <c r="K50" s="53">
        <f t="shared" si="1"/>
        <v>0.007638888889</v>
      </c>
      <c r="L50" s="49" t="s">
        <v>585</v>
      </c>
      <c r="M50" s="49"/>
      <c r="N50" s="49"/>
      <c r="O50" s="48"/>
      <c r="P50" s="48"/>
      <c r="Q50" s="63"/>
      <c r="R50" s="49"/>
      <c r="S50" s="49"/>
      <c r="T50" s="49"/>
    </row>
    <row r="51">
      <c r="A51" s="49" t="str">
        <f>IFERROR(__xludf.DUMMYFUNCTION("""COMPUTED_VALUE"""),"Solving the problem of next-gen cars starts with thinking of scale")</f>
        <v>Solving the problem of next-gen cars starts with thinking of scale</v>
      </c>
      <c r="B51" s="49" t="str">
        <f>IFERROR(__xludf.DUMMYFUNCTION("""COMPUTED_VALUE"""),"Growth Summit")</f>
        <v>Growth Summit</v>
      </c>
      <c r="C51" s="49" t="str">
        <f>IFERROR(__xludf.DUMMYFUNCTION("""COMPUTED_VALUE"""),"Kobi Marenko")</f>
        <v>Kobi Marenko</v>
      </c>
      <c r="D51" s="49" t="str">
        <f>IFERROR(__xludf.DUMMYFUNCTION("""COMPUTED_VALUE"""),"2019/11/05 15:48:00")</f>
        <v>2019/11/05 15:48:00</v>
      </c>
      <c r="E51" s="49" t="str">
        <f>IFERROR(__xludf.DUMMYFUNCTION("""COMPUTED_VALUE"""),"2019/11/05 15:59:00")</f>
        <v>2019/11/05 15:59:00</v>
      </c>
      <c r="F51" s="49" t="str">
        <f>IFERROR(__xludf.DUMMYFUNCTION("""COMPUTED_VALUE"""),"6f326db8-17ff-481c-b285-24416a034240")</f>
        <v>6f326db8-17ff-481c-b285-24416a034240</v>
      </c>
      <c r="G51" s="52">
        <f>IFERROR(__xludf.DUMMYFUNCTION("""COMPUTED_VALUE"""),43774.0)</f>
        <v>43774</v>
      </c>
      <c r="H51" s="53">
        <f>IFERROR(__xludf.DUMMYFUNCTION("""COMPUTED_VALUE"""),0.6583333333333333)</f>
        <v>0.6583333333</v>
      </c>
      <c r="I51" s="52">
        <f>IFERROR(__xludf.DUMMYFUNCTION("""COMPUTED_VALUE"""),43774.0)</f>
        <v>43774</v>
      </c>
      <c r="J51" s="53">
        <f>IFERROR(__xludf.DUMMYFUNCTION("""COMPUTED_VALUE"""),0.6659722222222222)</f>
        <v>0.6659722222</v>
      </c>
      <c r="K51" s="53">
        <f t="shared" si="1"/>
        <v>0.007638888889</v>
      </c>
      <c r="L51" s="49" t="s">
        <v>585</v>
      </c>
      <c r="M51" s="49"/>
      <c r="N51" s="49"/>
      <c r="O51" s="48"/>
      <c r="P51" s="48"/>
      <c r="Q51" s="63"/>
      <c r="R51" s="49"/>
      <c r="S51" s="49"/>
      <c r="T51" s="49"/>
    </row>
    <row r="52">
      <c r="A52" s="49" t="str">
        <f>IFERROR(__xludf.DUMMYFUNCTION("""COMPUTED_VALUE"""),"The DNA of a great invention is a great unmet need")</f>
        <v>The DNA of a great invention is a great unmet need</v>
      </c>
      <c r="B52" s="49" t="str">
        <f>IFERROR(__xludf.DUMMYFUNCTION("""COMPUTED_VALUE"""),"Growth Summit")</f>
        <v>Growth Summit</v>
      </c>
      <c r="C52" s="49" t="str">
        <f>IFERROR(__xludf.DUMMYFUNCTION("""COMPUTED_VALUE"""),"Kate Rosenbluth")</f>
        <v>Kate Rosenbluth</v>
      </c>
      <c r="D52" s="49" t="str">
        <f>IFERROR(__xludf.DUMMYFUNCTION("""COMPUTED_VALUE"""),"2019/11/05 15:59:00")</f>
        <v>2019/11/05 15:59:00</v>
      </c>
      <c r="E52" s="49" t="str">
        <f>IFERROR(__xludf.DUMMYFUNCTION("""COMPUTED_VALUE"""),"2019/11/05 16:10:00")</f>
        <v>2019/11/05 16:10:00</v>
      </c>
      <c r="F52" s="49" t="str">
        <f>IFERROR(__xludf.DUMMYFUNCTION("""COMPUTED_VALUE"""),"8f1fb494-18df-473f-8594-3f5388e5f785")</f>
        <v>8f1fb494-18df-473f-8594-3f5388e5f785</v>
      </c>
      <c r="G52" s="52">
        <f>IFERROR(__xludf.DUMMYFUNCTION("""COMPUTED_VALUE"""),43774.0)</f>
        <v>43774</v>
      </c>
      <c r="H52" s="53">
        <f>IFERROR(__xludf.DUMMYFUNCTION("""COMPUTED_VALUE"""),0.6659722222222222)</f>
        <v>0.6659722222</v>
      </c>
      <c r="I52" s="52">
        <f>IFERROR(__xludf.DUMMYFUNCTION("""COMPUTED_VALUE"""),43774.0)</f>
        <v>43774</v>
      </c>
      <c r="J52" s="53">
        <f>IFERROR(__xludf.DUMMYFUNCTION("""COMPUTED_VALUE"""),0.6736111111111112)</f>
        <v>0.6736111111</v>
      </c>
      <c r="K52" s="53">
        <f t="shared" si="1"/>
        <v>0.007638888889</v>
      </c>
      <c r="L52" s="49" t="s">
        <v>585</v>
      </c>
      <c r="M52" s="49"/>
      <c r="N52" s="49"/>
      <c r="O52" s="48"/>
      <c r="P52" s="48"/>
      <c r="Q52" s="63"/>
      <c r="R52" s="49"/>
      <c r="S52" s="49"/>
      <c r="T52" s="49"/>
    </row>
    <row r="53">
      <c r="A53" s="49" t="str">
        <f>IFERROR(__xludf.DUMMYFUNCTION("""COMPUTED_VALUE"""),"From newcomers to leaders: How Red Points is disrupting the fight against fakes")</f>
        <v>From newcomers to leaders: How Red Points is disrupting the fight against fakes</v>
      </c>
      <c r="B53" s="49" t="str">
        <f>IFERROR(__xludf.DUMMYFUNCTION("""COMPUTED_VALUE"""),"Growth Summit")</f>
        <v>Growth Summit</v>
      </c>
      <c r="C53" s="49" t="str">
        <f>IFERROR(__xludf.DUMMYFUNCTION("""COMPUTED_VALUE"""),"Laura Urquizu")</f>
        <v>Laura Urquizu</v>
      </c>
      <c r="D53" s="49" t="str">
        <f>IFERROR(__xludf.DUMMYFUNCTION("""COMPUTED_VALUE"""),"2019/11/05 16:10:00")</f>
        <v>2019/11/05 16:10:00</v>
      </c>
      <c r="E53" s="49" t="str">
        <f>IFERROR(__xludf.DUMMYFUNCTION("""COMPUTED_VALUE"""),"2019/11/05 16:21:00")</f>
        <v>2019/11/05 16:21:00</v>
      </c>
      <c r="F53" s="49" t="str">
        <f>IFERROR(__xludf.DUMMYFUNCTION("""COMPUTED_VALUE"""),"b107bcfd-78d1-469e-b998-6d5efffc0b14")</f>
        <v>b107bcfd-78d1-469e-b998-6d5efffc0b14</v>
      </c>
      <c r="G53" s="52">
        <f>IFERROR(__xludf.DUMMYFUNCTION("""COMPUTED_VALUE"""),43774.0)</f>
        <v>43774</v>
      </c>
      <c r="H53" s="53">
        <f>IFERROR(__xludf.DUMMYFUNCTION("""COMPUTED_VALUE"""),0.6736111111111112)</f>
        <v>0.6736111111</v>
      </c>
      <c r="I53" s="52">
        <f>IFERROR(__xludf.DUMMYFUNCTION("""COMPUTED_VALUE"""),43774.0)</f>
        <v>43774</v>
      </c>
      <c r="J53" s="53">
        <f>IFERROR(__xludf.DUMMYFUNCTION("""COMPUTED_VALUE"""),0.68125)</f>
        <v>0.68125</v>
      </c>
      <c r="K53" s="53">
        <f t="shared" si="1"/>
        <v>0.007638888889</v>
      </c>
      <c r="L53" s="49" t="s">
        <v>585</v>
      </c>
      <c r="M53" s="49"/>
      <c r="N53" s="49"/>
      <c r="O53" s="48"/>
      <c r="P53" s="48"/>
      <c r="Q53" s="63"/>
      <c r="R53" s="49"/>
      <c r="S53" s="49"/>
      <c r="T53" s="49"/>
    </row>
    <row r="54">
      <c r="A54" s="49" t="str">
        <f>IFERROR(__xludf.DUMMYFUNCTION("""COMPUTED_VALUE"""),"Opening remarks")</f>
        <v>Opening remarks</v>
      </c>
      <c r="B54" s="49" t="str">
        <f>IFERROR(__xludf.DUMMYFUNCTION("""COMPUTED_VALUE"""),"Growth Summit")</f>
        <v>Growth Summit</v>
      </c>
      <c r="C54" s="49" t="str">
        <f>IFERROR(__xludf.DUMMYFUNCTION("""COMPUTED_VALUE"""),"Brendan Yell")</f>
        <v>Brendan Yell</v>
      </c>
      <c r="D54" s="49" t="str">
        <f>IFERROR(__xludf.DUMMYFUNCTION("""COMPUTED_VALUE"""),"2019/11/06 10:00:00")</f>
        <v>2019/11/06 10:00:00</v>
      </c>
      <c r="E54" s="49" t="str">
        <f>IFERROR(__xludf.DUMMYFUNCTION("""COMPUTED_VALUE"""),"2019/11/06 10:02:00")</f>
        <v>2019/11/06 10:02:00</v>
      </c>
      <c r="F54" s="49" t="str">
        <f>IFERROR(__xludf.DUMMYFUNCTION("""COMPUTED_VALUE"""),"4930ed09-80e7-4ba5-8d3d-ddf2e9d7f812")</f>
        <v>4930ed09-80e7-4ba5-8d3d-ddf2e9d7f812</v>
      </c>
      <c r="G54" s="52">
        <f>IFERROR(__xludf.DUMMYFUNCTION("""COMPUTED_VALUE"""),43775.0)</f>
        <v>43775</v>
      </c>
      <c r="H54" s="53">
        <f>IFERROR(__xludf.DUMMYFUNCTION("""COMPUTED_VALUE"""),0.4166666666666667)</f>
        <v>0.4166666667</v>
      </c>
      <c r="I54" s="52">
        <f>IFERROR(__xludf.DUMMYFUNCTION("""COMPUTED_VALUE"""),43775.0)</f>
        <v>43775</v>
      </c>
      <c r="J54" s="53">
        <f>IFERROR(__xludf.DUMMYFUNCTION("""COMPUTED_VALUE"""),0.41805555555555557)</f>
        <v>0.4180555556</v>
      </c>
      <c r="K54" s="53">
        <f t="shared" si="1"/>
        <v>0.001388888889</v>
      </c>
      <c r="L54" s="49" t="s">
        <v>584</v>
      </c>
      <c r="M54" s="49"/>
      <c r="N54" s="49"/>
      <c r="O54" s="48"/>
      <c r="P54" s="48"/>
      <c r="Q54" s="63"/>
      <c r="R54" s="49"/>
      <c r="S54" s="49"/>
      <c r="T54" s="49"/>
    </row>
    <row r="55">
      <c r="A55" s="49" t="str">
        <f>IFERROR(__xludf.DUMMYFUNCTION("""COMPUTED_VALUE"""),"How CTO.ai empowers DevOps through automation")</f>
        <v>How CTO.ai empowers DevOps through automation</v>
      </c>
      <c r="B55" s="49" t="str">
        <f>IFERROR(__xludf.DUMMYFUNCTION("""COMPUTED_VALUE"""),"Growth Summit")</f>
        <v>Growth Summit</v>
      </c>
      <c r="C55" s="49" t="str">
        <f>IFERROR(__xludf.DUMMYFUNCTION("""COMPUTED_VALUE"""),"Kyle Campbell")</f>
        <v>Kyle Campbell</v>
      </c>
      <c r="D55" s="49" t="str">
        <f>IFERROR(__xludf.DUMMYFUNCTION("""COMPUTED_VALUE"""),"2019/11/06 10:02:00")</f>
        <v>2019/11/06 10:02:00</v>
      </c>
      <c r="E55" s="49" t="str">
        <f>IFERROR(__xludf.DUMMYFUNCTION("""COMPUTED_VALUE"""),"2019/11/06 10:06:00")</f>
        <v>2019/11/06 10:06:00</v>
      </c>
      <c r="F55" s="49" t="str">
        <f>IFERROR(__xludf.DUMMYFUNCTION("""COMPUTED_VALUE"""),"61aaaa54-6029-4a92-8368-edb8e2da5471")</f>
        <v>61aaaa54-6029-4a92-8368-edb8e2da5471</v>
      </c>
      <c r="G55" s="52">
        <f>IFERROR(__xludf.DUMMYFUNCTION("""COMPUTED_VALUE"""),43775.0)</f>
        <v>43775</v>
      </c>
      <c r="H55" s="53">
        <f>IFERROR(__xludf.DUMMYFUNCTION("""COMPUTED_VALUE"""),0.41805555555555557)</f>
        <v>0.4180555556</v>
      </c>
      <c r="I55" s="52">
        <f>IFERROR(__xludf.DUMMYFUNCTION("""COMPUTED_VALUE"""),43775.0)</f>
        <v>43775</v>
      </c>
      <c r="J55" s="53">
        <f>IFERROR(__xludf.DUMMYFUNCTION("""COMPUTED_VALUE"""),0.42083333333333334)</f>
        <v>0.4208333333</v>
      </c>
      <c r="K55" s="53">
        <f t="shared" si="1"/>
        <v>0.002777777778</v>
      </c>
      <c r="L55" s="49" t="s">
        <v>583</v>
      </c>
      <c r="M55" s="49"/>
      <c r="N55" s="49"/>
      <c r="O55" s="48"/>
      <c r="P55" s="48"/>
      <c r="Q55" s="63"/>
      <c r="R55" s="49"/>
      <c r="S55" s="49"/>
      <c r="T55" s="49"/>
    </row>
    <row r="56">
      <c r="A56" s="49" t="str">
        <f>IFERROR(__xludf.DUMMYFUNCTION("""COMPUTED_VALUE"""),"How to fund a startup with unorthodox strategies")</f>
        <v>How to fund a startup with unorthodox strategies</v>
      </c>
      <c r="B56" s="49" t="str">
        <f>IFERROR(__xludf.DUMMYFUNCTION("""COMPUTED_VALUE"""),"Growth Summit")</f>
        <v>Growth Summit</v>
      </c>
      <c r="C56" s="49" t="str">
        <f>IFERROR(__xludf.DUMMYFUNCTION("""COMPUTED_VALUE"""),"Michael Bibeau")</f>
        <v>Michael Bibeau</v>
      </c>
      <c r="D56" s="49" t="str">
        <f>IFERROR(__xludf.DUMMYFUNCTION("""COMPUTED_VALUE"""),"2019/11/06 10:06:00")</f>
        <v>2019/11/06 10:06:00</v>
      </c>
      <c r="E56" s="49" t="str">
        <f>IFERROR(__xludf.DUMMYFUNCTION("""COMPUTED_VALUE"""),"2019/11/06 10:10:00")</f>
        <v>2019/11/06 10:10:00</v>
      </c>
      <c r="F56" s="49" t="str">
        <f>IFERROR(__xludf.DUMMYFUNCTION("""COMPUTED_VALUE"""),"fe4689dd-6808-4d9b-8460-9e37ff642d77")</f>
        <v>fe4689dd-6808-4d9b-8460-9e37ff642d77</v>
      </c>
      <c r="G56" s="52">
        <f>IFERROR(__xludf.DUMMYFUNCTION("""COMPUTED_VALUE"""),43775.0)</f>
        <v>43775</v>
      </c>
      <c r="H56" s="53">
        <f>IFERROR(__xludf.DUMMYFUNCTION("""COMPUTED_VALUE"""),0.42083333333333334)</f>
        <v>0.4208333333</v>
      </c>
      <c r="I56" s="52">
        <f>IFERROR(__xludf.DUMMYFUNCTION("""COMPUTED_VALUE"""),43775.0)</f>
        <v>43775</v>
      </c>
      <c r="J56" s="53">
        <f>IFERROR(__xludf.DUMMYFUNCTION("""COMPUTED_VALUE"""),0.4236111111111111)</f>
        <v>0.4236111111</v>
      </c>
      <c r="K56" s="53">
        <f t="shared" si="1"/>
        <v>0.002777777778</v>
      </c>
      <c r="L56" s="49" t="s">
        <v>583</v>
      </c>
      <c r="M56" s="49"/>
      <c r="N56" s="49"/>
      <c r="O56" s="48"/>
      <c r="P56" s="48"/>
      <c r="Q56" s="63"/>
      <c r="R56" s="49"/>
      <c r="S56" s="49"/>
      <c r="T56" s="49"/>
    </row>
    <row r="57">
      <c r="A57" s="49" t="str">
        <f>IFERROR(__xludf.DUMMYFUNCTION("""COMPUTED_VALUE"""),"Working with giants: Three ways to close B2B partnerships faster")</f>
        <v>Working with giants: Three ways to close B2B partnerships faster</v>
      </c>
      <c r="B57" s="49" t="str">
        <f>IFERROR(__xludf.DUMMYFUNCTION("""COMPUTED_VALUE"""),"Growth Summit")</f>
        <v>Growth Summit</v>
      </c>
      <c r="C57" s="49" t="str">
        <f>IFERROR(__xludf.DUMMYFUNCTION("""COMPUTED_VALUE"""),"Matty Cusden-Ross")</f>
        <v>Matty Cusden-Ross</v>
      </c>
      <c r="D57" s="49" t="str">
        <f>IFERROR(__xludf.DUMMYFUNCTION("""COMPUTED_VALUE"""),"2019/11/06 10:10:00")</f>
        <v>2019/11/06 10:10:00</v>
      </c>
      <c r="E57" s="49" t="str">
        <f>IFERROR(__xludf.DUMMYFUNCTION("""COMPUTED_VALUE"""),"2019/11/06 10:14:00")</f>
        <v>2019/11/06 10:14:00</v>
      </c>
      <c r="F57" s="49" t="str">
        <f>IFERROR(__xludf.DUMMYFUNCTION("""COMPUTED_VALUE"""),"5f028636-6abd-4417-a264-1f869ec452e3")</f>
        <v>5f028636-6abd-4417-a264-1f869ec452e3</v>
      </c>
      <c r="G57" s="52">
        <f>IFERROR(__xludf.DUMMYFUNCTION("""COMPUTED_VALUE"""),43775.0)</f>
        <v>43775</v>
      </c>
      <c r="H57" s="53">
        <f>IFERROR(__xludf.DUMMYFUNCTION("""COMPUTED_VALUE"""),0.4236111111111111)</f>
        <v>0.4236111111</v>
      </c>
      <c r="I57" s="52">
        <f>IFERROR(__xludf.DUMMYFUNCTION("""COMPUTED_VALUE"""),43775.0)</f>
        <v>43775</v>
      </c>
      <c r="J57" s="53">
        <f>IFERROR(__xludf.DUMMYFUNCTION("""COMPUTED_VALUE"""),0.4263888888888889)</f>
        <v>0.4263888889</v>
      </c>
      <c r="K57" s="53">
        <f t="shared" si="1"/>
        <v>0.002777777778</v>
      </c>
      <c r="L57" s="49" t="s">
        <v>583</v>
      </c>
      <c r="M57" s="49"/>
      <c r="N57" s="49"/>
      <c r="O57" s="48"/>
      <c r="P57" s="48"/>
      <c r="Q57" s="63"/>
      <c r="R57" s="49"/>
      <c r="S57" s="49"/>
      <c r="T57" s="49"/>
    </row>
    <row r="58">
      <c r="A58" s="49" t="str">
        <f>IFERROR(__xludf.DUMMYFUNCTION("""COMPUTED_VALUE"""),"ShopAdvizor: Building collaborative ecosystems")</f>
        <v>ShopAdvizor: Building collaborative ecosystems</v>
      </c>
      <c r="B58" s="49" t="str">
        <f>IFERROR(__xludf.DUMMYFUNCTION("""COMPUTED_VALUE"""),"Growth Summit")</f>
        <v>Growth Summit</v>
      </c>
      <c r="C58" s="49" t="str">
        <f>IFERROR(__xludf.DUMMYFUNCTION("""COMPUTED_VALUE"""),"Diego Chorny")</f>
        <v>Diego Chorny</v>
      </c>
      <c r="D58" s="49" t="str">
        <f>IFERROR(__xludf.DUMMYFUNCTION("""COMPUTED_VALUE"""),"2019/11/06 10:14:00")</f>
        <v>2019/11/06 10:14:00</v>
      </c>
      <c r="E58" s="49" t="str">
        <f>IFERROR(__xludf.DUMMYFUNCTION("""COMPUTED_VALUE"""),"2019/11/06 10:18:00")</f>
        <v>2019/11/06 10:18:00</v>
      </c>
      <c r="F58" s="49" t="str">
        <f>IFERROR(__xludf.DUMMYFUNCTION("""COMPUTED_VALUE"""),"617644be-ed2a-4d1d-81a2-7d2a002112e1")</f>
        <v>617644be-ed2a-4d1d-81a2-7d2a002112e1</v>
      </c>
      <c r="G58" s="52">
        <f>IFERROR(__xludf.DUMMYFUNCTION("""COMPUTED_VALUE"""),43775.0)</f>
        <v>43775</v>
      </c>
      <c r="H58" s="53">
        <f>IFERROR(__xludf.DUMMYFUNCTION("""COMPUTED_VALUE"""),0.4263888888888889)</f>
        <v>0.4263888889</v>
      </c>
      <c r="I58" s="52">
        <f>IFERROR(__xludf.DUMMYFUNCTION("""COMPUTED_VALUE"""),43775.0)</f>
        <v>43775</v>
      </c>
      <c r="J58" s="53">
        <f>IFERROR(__xludf.DUMMYFUNCTION("""COMPUTED_VALUE"""),0.42916666666666664)</f>
        <v>0.4291666667</v>
      </c>
      <c r="K58" s="53">
        <f t="shared" si="1"/>
        <v>0.002777777778</v>
      </c>
      <c r="L58" s="49" t="s">
        <v>583</v>
      </c>
      <c r="M58" s="49"/>
      <c r="N58" s="49"/>
      <c r="O58" s="48"/>
      <c r="P58" s="48"/>
      <c r="Q58" s="63"/>
      <c r="R58" s="49"/>
      <c r="S58" s="49"/>
      <c r="T58" s="49"/>
    </row>
    <row r="59">
      <c r="A59" s="49" t="str">
        <f>IFERROR(__xludf.DUMMYFUNCTION("""COMPUTED_VALUE"""),"Shaping your future in the (former) Valley of the Unaware")</f>
        <v>Shaping your future in the (former) Valley of the Unaware</v>
      </c>
      <c r="B59" s="49" t="str">
        <f>IFERROR(__xludf.DUMMYFUNCTION("""COMPUTED_VALUE"""),"Growth Summit")</f>
        <v>Growth Summit</v>
      </c>
      <c r="C59" s="49" t="str">
        <f>IFERROR(__xludf.DUMMYFUNCTION("""COMPUTED_VALUE"""),"Christian Piechnick")</f>
        <v>Christian Piechnick</v>
      </c>
      <c r="D59" s="49" t="str">
        <f>IFERROR(__xludf.DUMMYFUNCTION("""COMPUTED_VALUE"""),"2019/11/06 10:18:00")</f>
        <v>2019/11/06 10:18:00</v>
      </c>
      <c r="E59" s="49" t="str">
        <f>IFERROR(__xludf.DUMMYFUNCTION("""COMPUTED_VALUE"""),"2019/11/06 10:22:00")</f>
        <v>2019/11/06 10:22:00</v>
      </c>
      <c r="F59" s="49" t="str">
        <f>IFERROR(__xludf.DUMMYFUNCTION("""COMPUTED_VALUE"""),"8de81090-a58e-4170-81aa-981df312797f")</f>
        <v>8de81090-a58e-4170-81aa-981df312797f</v>
      </c>
      <c r="G59" s="52">
        <f>IFERROR(__xludf.DUMMYFUNCTION("""COMPUTED_VALUE"""),43775.0)</f>
        <v>43775</v>
      </c>
      <c r="H59" s="53">
        <f>IFERROR(__xludf.DUMMYFUNCTION("""COMPUTED_VALUE"""),0.42916666666666664)</f>
        <v>0.4291666667</v>
      </c>
      <c r="I59" s="52">
        <f>IFERROR(__xludf.DUMMYFUNCTION("""COMPUTED_VALUE"""),43775.0)</f>
        <v>43775</v>
      </c>
      <c r="J59" s="53">
        <f>IFERROR(__xludf.DUMMYFUNCTION("""COMPUTED_VALUE"""),0.43194444444444446)</f>
        <v>0.4319444444</v>
      </c>
      <c r="K59" s="53">
        <f t="shared" si="1"/>
        <v>0.002777777778</v>
      </c>
      <c r="L59" s="49" t="s">
        <v>583</v>
      </c>
      <c r="M59" s="49"/>
      <c r="N59" s="49"/>
      <c r="O59" s="48"/>
      <c r="P59" s="48"/>
      <c r="Q59" s="63"/>
      <c r="R59" s="49"/>
      <c r="S59" s="49"/>
      <c r="T59" s="49"/>
    </row>
    <row r="60">
      <c r="A60" s="49" t="str">
        <f>IFERROR(__xludf.DUMMYFUNCTION("""COMPUTED_VALUE"""),"Wealthtech: Finding our path to success")</f>
        <v>Wealthtech: Finding our path to success</v>
      </c>
      <c r="B60" s="49" t="str">
        <f>IFERROR(__xludf.DUMMYFUNCTION("""COMPUTED_VALUE"""),"Growth Summit")</f>
        <v>Growth Summit</v>
      </c>
      <c r="C60" s="49" t="str">
        <f>IFERROR(__xludf.DUMMYFUNCTION("""COMPUTED_VALUE"""),"Lennart Asshoff")</f>
        <v>Lennart Asshoff</v>
      </c>
      <c r="D60" s="49" t="str">
        <f>IFERROR(__xludf.DUMMYFUNCTION("""COMPUTED_VALUE"""),"2019/11/06 10:22:00")</f>
        <v>2019/11/06 10:22:00</v>
      </c>
      <c r="E60" s="49" t="str">
        <f>IFERROR(__xludf.DUMMYFUNCTION("""COMPUTED_VALUE"""),"2019/11/06 10:26:00")</f>
        <v>2019/11/06 10:26:00</v>
      </c>
      <c r="F60" s="49" t="str">
        <f>IFERROR(__xludf.DUMMYFUNCTION("""COMPUTED_VALUE"""),"b3535b77-bbce-4a95-8901-534a627cae9c")</f>
        <v>b3535b77-bbce-4a95-8901-534a627cae9c</v>
      </c>
      <c r="G60" s="52">
        <f>IFERROR(__xludf.DUMMYFUNCTION("""COMPUTED_VALUE"""),43775.0)</f>
        <v>43775</v>
      </c>
      <c r="H60" s="53">
        <f>IFERROR(__xludf.DUMMYFUNCTION("""COMPUTED_VALUE"""),0.43194444444444446)</f>
        <v>0.4319444444</v>
      </c>
      <c r="I60" s="52">
        <f>IFERROR(__xludf.DUMMYFUNCTION("""COMPUTED_VALUE"""),43775.0)</f>
        <v>43775</v>
      </c>
      <c r="J60" s="53">
        <f>IFERROR(__xludf.DUMMYFUNCTION("""COMPUTED_VALUE"""),0.43472222222222223)</f>
        <v>0.4347222222</v>
      </c>
      <c r="K60" s="53">
        <f t="shared" si="1"/>
        <v>0.002777777778</v>
      </c>
      <c r="L60" s="49" t="s">
        <v>583</v>
      </c>
      <c r="M60" s="49"/>
      <c r="N60" s="49"/>
      <c r="O60" s="48"/>
      <c r="P60" s="48"/>
      <c r="Q60" s="63"/>
      <c r="R60" s="49"/>
      <c r="S60" s="49"/>
      <c r="T60" s="49"/>
    </row>
    <row r="61">
      <c r="A61" s="49" t="str">
        <f>IFERROR(__xludf.DUMMYFUNCTION("""COMPUTED_VALUE"""),"How automation is disrupting the $45bn market research industry")</f>
        <v>How automation is disrupting the $45bn market research industry</v>
      </c>
      <c r="B61" s="49" t="str">
        <f>IFERROR(__xludf.DUMMYFUNCTION("""COMPUTED_VALUE"""),"Growth Summit")</f>
        <v>Growth Summit</v>
      </c>
      <c r="C61" s="49" t="str">
        <f>IFERROR(__xludf.DUMMYFUNCTION("""COMPUTED_VALUE"""),"Peter Aschmoneit")</f>
        <v>Peter Aschmoneit</v>
      </c>
      <c r="D61" s="49" t="str">
        <f>IFERROR(__xludf.DUMMYFUNCTION("""COMPUTED_VALUE"""),"2019/11/06 10:26:00")</f>
        <v>2019/11/06 10:26:00</v>
      </c>
      <c r="E61" s="49" t="str">
        <f>IFERROR(__xludf.DUMMYFUNCTION("""COMPUTED_VALUE"""),"2019/11/06 10:30:00")</f>
        <v>2019/11/06 10:30:00</v>
      </c>
      <c r="F61" s="49" t="str">
        <f>IFERROR(__xludf.DUMMYFUNCTION("""COMPUTED_VALUE"""),"f963458e-e614-448f-9ac7-d67be21e4d2d")</f>
        <v>f963458e-e614-448f-9ac7-d67be21e4d2d</v>
      </c>
      <c r="G61" s="52">
        <f>IFERROR(__xludf.DUMMYFUNCTION("""COMPUTED_VALUE"""),43775.0)</f>
        <v>43775</v>
      </c>
      <c r="H61" s="53">
        <f>IFERROR(__xludf.DUMMYFUNCTION("""COMPUTED_VALUE"""),0.43472222222222223)</f>
        <v>0.4347222222</v>
      </c>
      <c r="I61" s="52">
        <f>IFERROR(__xludf.DUMMYFUNCTION("""COMPUTED_VALUE"""),43775.0)</f>
        <v>43775</v>
      </c>
      <c r="J61" s="53">
        <f>IFERROR(__xludf.DUMMYFUNCTION("""COMPUTED_VALUE"""),0.4375)</f>
        <v>0.4375</v>
      </c>
      <c r="K61" s="53">
        <f t="shared" si="1"/>
        <v>0.002777777778</v>
      </c>
      <c r="L61" s="49" t="s">
        <v>583</v>
      </c>
      <c r="M61" s="49"/>
      <c r="N61" s="49"/>
      <c r="O61" s="48"/>
      <c r="P61" s="48"/>
      <c r="Q61" s="63"/>
      <c r="R61" s="49"/>
      <c r="S61" s="49"/>
      <c r="T61" s="49"/>
    </row>
    <row r="62">
      <c r="A62" s="49" t="str">
        <f>IFERROR(__xludf.DUMMYFUNCTION("""COMPUTED_VALUE"""),"How to rise above digital noise and achieve hypergrowth")</f>
        <v>How to rise above digital noise and achieve hypergrowth</v>
      </c>
      <c r="B62" s="49" t="str">
        <f>IFERROR(__xludf.DUMMYFUNCTION("""COMPUTED_VALUE"""),"Growth Summit")</f>
        <v>Growth Summit</v>
      </c>
      <c r="C62" s="49" t="str">
        <f>IFERROR(__xludf.DUMMYFUNCTION("""COMPUTED_VALUE"""),"Kris Rudeegraap")</f>
        <v>Kris Rudeegraap</v>
      </c>
      <c r="D62" s="49" t="str">
        <f>IFERROR(__xludf.DUMMYFUNCTION("""COMPUTED_VALUE"""),"2019/11/06 10:30:00")</f>
        <v>2019/11/06 10:30:00</v>
      </c>
      <c r="E62" s="49" t="str">
        <f>IFERROR(__xludf.DUMMYFUNCTION("""COMPUTED_VALUE"""),"2019/11/06 10:34:00")</f>
        <v>2019/11/06 10:34:00</v>
      </c>
      <c r="F62" s="49" t="str">
        <f>IFERROR(__xludf.DUMMYFUNCTION("""COMPUTED_VALUE"""),"ea6b06e5-9ca9-4e4b-92e8-bcfdb371ddcf")</f>
        <v>ea6b06e5-9ca9-4e4b-92e8-bcfdb371ddcf</v>
      </c>
      <c r="G62" s="52">
        <f>IFERROR(__xludf.DUMMYFUNCTION("""COMPUTED_VALUE"""),43775.0)</f>
        <v>43775</v>
      </c>
      <c r="H62" s="53">
        <f>IFERROR(__xludf.DUMMYFUNCTION("""COMPUTED_VALUE"""),0.4375)</f>
        <v>0.4375</v>
      </c>
      <c r="I62" s="52">
        <f>IFERROR(__xludf.DUMMYFUNCTION("""COMPUTED_VALUE"""),43775.0)</f>
        <v>43775</v>
      </c>
      <c r="J62" s="53">
        <f>IFERROR(__xludf.DUMMYFUNCTION("""COMPUTED_VALUE"""),0.44027777777777777)</f>
        <v>0.4402777778</v>
      </c>
      <c r="K62" s="53">
        <f t="shared" si="1"/>
        <v>0.002777777778</v>
      </c>
      <c r="L62" s="49" t="s">
        <v>583</v>
      </c>
      <c r="M62" s="49"/>
      <c r="N62" s="49"/>
      <c r="O62" s="48"/>
      <c r="P62" s="48"/>
      <c r="Q62" s="63"/>
      <c r="R62" s="49"/>
      <c r="S62" s="49"/>
      <c r="T62" s="49"/>
    </row>
    <row r="63">
      <c r="A63" s="49" t="str">
        <f>IFERROR(__xludf.DUMMYFUNCTION("""COMPUTED_VALUE"""),"Lessons from 1000 cities - how to achieve growth with limited funding")</f>
        <v>Lessons from 1000 cities - how to achieve growth with limited funding</v>
      </c>
      <c r="B63" s="49" t="str">
        <f>IFERROR(__xludf.DUMMYFUNCTION("""COMPUTED_VALUE"""),"Growth Summit")</f>
        <v>Growth Summit</v>
      </c>
      <c r="C63" s="49" t="str">
        <f>IFERROR(__xludf.DUMMYFUNCTION("""COMPUTED_VALUE"""),"Henry  Joseph-Grant")</f>
        <v>Henry  Joseph-Grant</v>
      </c>
      <c r="D63" s="49" t="str">
        <f>IFERROR(__xludf.DUMMYFUNCTION("""COMPUTED_VALUE"""),"2019/11/06 10:34:00")</f>
        <v>2019/11/06 10:34:00</v>
      </c>
      <c r="E63" s="49" t="str">
        <f>IFERROR(__xludf.DUMMYFUNCTION("""COMPUTED_VALUE"""),"2019/11/06 10:38:00")</f>
        <v>2019/11/06 10:38:00</v>
      </c>
      <c r="F63" s="49" t="str">
        <f>IFERROR(__xludf.DUMMYFUNCTION("""COMPUTED_VALUE"""),"a2851c3f-6ed4-4e78-b0bc-69b6eb5f820d")</f>
        <v>a2851c3f-6ed4-4e78-b0bc-69b6eb5f820d</v>
      </c>
      <c r="G63" s="52">
        <f>IFERROR(__xludf.DUMMYFUNCTION("""COMPUTED_VALUE"""),43775.0)</f>
        <v>43775</v>
      </c>
      <c r="H63" s="53">
        <f>IFERROR(__xludf.DUMMYFUNCTION("""COMPUTED_VALUE"""),0.44027777777777777)</f>
        <v>0.4402777778</v>
      </c>
      <c r="I63" s="52">
        <f>IFERROR(__xludf.DUMMYFUNCTION("""COMPUTED_VALUE"""),43775.0)</f>
        <v>43775</v>
      </c>
      <c r="J63" s="53">
        <f>IFERROR(__xludf.DUMMYFUNCTION("""COMPUTED_VALUE"""),0.44305555555555554)</f>
        <v>0.4430555556</v>
      </c>
      <c r="K63" s="53">
        <f t="shared" si="1"/>
        <v>0.002777777778</v>
      </c>
      <c r="L63" s="49" t="s">
        <v>583</v>
      </c>
      <c r="M63" s="49"/>
      <c r="N63" s="49"/>
      <c r="O63" s="48"/>
      <c r="P63" s="48"/>
      <c r="Q63" s="63"/>
      <c r="R63" s="49"/>
      <c r="S63" s="49"/>
      <c r="T63" s="49"/>
    </row>
    <row r="64">
      <c r="A64" s="49" t="str">
        <f>IFERROR(__xludf.DUMMYFUNCTION("""COMPUTED_VALUE"""),"Breaking down doors with open source ")</f>
        <v>Breaking down doors with open source </v>
      </c>
      <c r="B64" s="49" t="str">
        <f>IFERROR(__xludf.DUMMYFUNCTION("""COMPUTED_VALUE"""),"Growth Summit")</f>
        <v>Growth Summit</v>
      </c>
      <c r="C64" s="49" t="str">
        <f>IFERROR(__xludf.DUMMYFUNCTION("""COMPUTED_VALUE"""),"John A. Entwistle and Kyle Carberry")</f>
        <v>John A. Entwistle and Kyle Carberry</v>
      </c>
      <c r="D64" s="49" t="str">
        <f>IFERROR(__xludf.DUMMYFUNCTION("""COMPUTED_VALUE"""),"2019/11/06 10:38:00")</f>
        <v>2019/11/06 10:38:00</v>
      </c>
      <c r="E64" s="49" t="str">
        <f>IFERROR(__xludf.DUMMYFUNCTION("""COMPUTED_VALUE"""),"2019/11/06 10:42:00")</f>
        <v>2019/11/06 10:42:00</v>
      </c>
      <c r="F64" s="49" t="str">
        <f>IFERROR(__xludf.DUMMYFUNCTION("""COMPUTED_VALUE"""),"9292a315-9472-4fac-8eb8-60425a698d42")</f>
        <v>9292a315-9472-4fac-8eb8-60425a698d42</v>
      </c>
      <c r="G64" s="52">
        <f>IFERROR(__xludf.DUMMYFUNCTION("""COMPUTED_VALUE"""),43775.0)</f>
        <v>43775</v>
      </c>
      <c r="H64" s="53">
        <f>IFERROR(__xludf.DUMMYFUNCTION("""COMPUTED_VALUE"""),0.44305555555555554)</f>
        <v>0.4430555556</v>
      </c>
      <c r="I64" s="52">
        <f>IFERROR(__xludf.DUMMYFUNCTION("""COMPUTED_VALUE"""),43775.0)</f>
        <v>43775</v>
      </c>
      <c r="J64" s="53">
        <f>IFERROR(__xludf.DUMMYFUNCTION("""COMPUTED_VALUE"""),0.44583333333333336)</f>
        <v>0.4458333333</v>
      </c>
      <c r="K64" s="53">
        <f t="shared" si="1"/>
        <v>0.002777777778</v>
      </c>
      <c r="L64" s="49" t="s">
        <v>583</v>
      </c>
      <c r="M64" s="49"/>
      <c r="N64" s="49"/>
      <c r="O64" s="48"/>
      <c r="P64" s="48"/>
      <c r="Q64" s="63"/>
      <c r="R64" s="49"/>
      <c r="S64" s="49"/>
      <c r="T64" s="49"/>
    </row>
    <row r="65">
      <c r="A65" s="49" t="str">
        <f>IFERROR(__xludf.DUMMYFUNCTION("""COMPUTED_VALUE"""),"The future of startup investment")</f>
        <v>The future of startup investment</v>
      </c>
      <c r="B65" s="49" t="str">
        <f>IFERROR(__xludf.DUMMYFUNCTION("""COMPUTED_VALUE"""),"Growth Summit")</f>
        <v>Growth Summit</v>
      </c>
      <c r="C65" s="49" t="str">
        <f>IFERROR(__xludf.DUMMYFUNCTION("""COMPUTED_VALUE"""),"Anthony Rose")</f>
        <v>Anthony Rose</v>
      </c>
      <c r="D65" s="49" t="str">
        <f>IFERROR(__xludf.DUMMYFUNCTION("""COMPUTED_VALUE"""),"2019/11/06 10:42:00")</f>
        <v>2019/11/06 10:42:00</v>
      </c>
      <c r="E65" s="49" t="str">
        <f>IFERROR(__xludf.DUMMYFUNCTION("""COMPUTED_VALUE"""),"2019/11/06 10:46:00")</f>
        <v>2019/11/06 10:46:00</v>
      </c>
      <c r="F65" s="49" t="str">
        <f>IFERROR(__xludf.DUMMYFUNCTION("""COMPUTED_VALUE"""),"210701d5-9b54-4a39-ac67-62a830cf820c")</f>
        <v>210701d5-9b54-4a39-ac67-62a830cf820c</v>
      </c>
      <c r="G65" s="52">
        <f>IFERROR(__xludf.DUMMYFUNCTION("""COMPUTED_VALUE"""),43775.0)</f>
        <v>43775</v>
      </c>
      <c r="H65" s="53">
        <f>IFERROR(__xludf.DUMMYFUNCTION("""COMPUTED_VALUE"""),0.44583333333333336)</f>
        <v>0.4458333333</v>
      </c>
      <c r="I65" s="52">
        <f>IFERROR(__xludf.DUMMYFUNCTION("""COMPUTED_VALUE"""),43775.0)</f>
        <v>43775</v>
      </c>
      <c r="J65" s="53">
        <f>IFERROR(__xludf.DUMMYFUNCTION("""COMPUTED_VALUE"""),0.4486111111111111)</f>
        <v>0.4486111111</v>
      </c>
      <c r="K65" s="53">
        <f t="shared" si="1"/>
        <v>0.002777777778</v>
      </c>
      <c r="L65" s="49" t="s">
        <v>583</v>
      </c>
      <c r="M65" s="49"/>
      <c r="N65" s="49"/>
      <c r="O65" s="48"/>
      <c r="P65" s="48"/>
      <c r="Q65" s="63"/>
      <c r="R65" s="49"/>
      <c r="S65" s="49"/>
      <c r="T65" s="49"/>
    </row>
    <row r="66">
      <c r="A66" s="49" t="str">
        <f>IFERROR(__xludf.DUMMYFUNCTION("""COMPUTED_VALUE"""),"Is your startup really fundable? The hexagon theory of fundraising")</f>
        <v>Is your startup really fundable? The hexagon theory of fundraising</v>
      </c>
      <c r="B66" s="49" t="str">
        <f>IFERROR(__xludf.DUMMYFUNCTION("""COMPUTED_VALUE"""),"Growth Summit")</f>
        <v>Growth Summit</v>
      </c>
      <c r="C66" s="49" t="str">
        <f>IFERROR(__xludf.DUMMYFUNCTION("""COMPUTED_VALUE"""),"Karén Chiftalaryan")</f>
        <v>Karén Chiftalaryan</v>
      </c>
      <c r="D66" s="49" t="str">
        <f>IFERROR(__xludf.DUMMYFUNCTION("""COMPUTED_VALUE"""),"2019/11/06 10:46:00")</f>
        <v>2019/11/06 10:46:00</v>
      </c>
      <c r="E66" s="49" t="str">
        <f>IFERROR(__xludf.DUMMYFUNCTION("""COMPUTED_VALUE"""),"2019/11/06 10:50:00")</f>
        <v>2019/11/06 10:50:00</v>
      </c>
      <c r="F66" s="49" t="str">
        <f>IFERROR(__xludf.DUMMYFUNCTION("""COMPUTED_VALUE"""),"782a807a-0bdf-40fd-bd63-32551cdfc2e5")</f>
        <v>782a807a-0bdf-40fd-bd63-32551cdfc2e5</v>
      </c>
      <c r="G66" s="52">
        <f>IFERROR(__xludf.DUMMYFUNCTION("""COMPUTED_VALUE"""),43775.0)</f>
        <v>43775</v>
      </c>
      <c r="H66" s="53">
        <f>IFERROR(__xludf.DUMMYFUNCTION("""COMPUTED_VALUE"""),0.4486111111111111)</f>
        <v>0.4486111111</v>
      </c>
      <c r="I66" s="52">
        <f>IFERROR(__xludf.DUMMYFUNCTION("""COMPUTED_VALUE"""),43775.0)</f>
        <v>43775</v>
      </c>
      <c r="J66" s="53">
        <f>IFERROR(__xludf.DUMMYFUNCTION("""COMPUTED_VALUE"""),0.4513888888888889)</f>
        <v>0.4513888889</v>
      </c>
      <c r="K66" s="53">
        <f t="shared" si="1"/>
        <v>0.002777777778</v>
      </c>
      <c r="L66" s="49" t="s">
        <v>583</v>
      </c>
      <c r="M66" s="49"/>
      <c r="N66" s="49"/>
      <c r="O66" s="48"/>
      <c r="P66" s="48"/>
      <c r="Q66" s="63"/>
      <c r="R66" s="49"/>
      <c r="S66" s="49"/>
      <c r="T66" s="49"/>
    </row>
    <row r="67">
      <c r="A67" s="49" t="str">
        <f>IFERROR(__xludf.DUMMYFUNCTION("""COMPUTED_VALUE"""),"Diversity for business growth")</f>
        <v>Diversity for business growth</v>
      </c>
      <c r="B67" s="49" t="str">
        <f>IFERROR(__xludf.DUMMYFUNCTION("""COMPUTED_VALUE"""),"Growth Summit")</f>
        <v>Growth Summit</v>
      </c>
      <c r="C67" s="49" t="str">
        <f>IFERROR(__xludf.DUMMYFUNCTION("""COMPUTED_VALUE"""),"Andrey Perfilyev")</f>
        <v>Andrey Perfilyev</v>
      </c>
      <c r="D67" s="49" t="str">
        <f>IFERROR(__xludf.DUMMYFUNCTION("""COMPUTED_VALUE"""),"2019/11/06 10:50:00")</f>
        <v>2019/11/06 10:50:00</v>
      </c>
      <c r="E67" s="49" t="str">
        <f>IFERROR(__xludf.DUMMYFUNCTION("""COMPUTED_VALUE"""),"2019/11/06 10:54:00")</f>
        <v>2019/11/06 10:54:00</v>
      </c>
      <c r="F67" s="49" t="str">
        <f>IFERROR(__xludf.DUMMYFUNCTION("""COMPUTED_VALUE"""),"2427d832-03ee-4809-8128-d9104f522115")</f>
        <v>2427d832-03ee-4809-8128-d9104f522115</v>
      </c>
      <c r="G67" s="52">
        <f>IFERROR(__xludf.DUMMYFUNCTION("""COMPUTED_VALUE"""),43775.0)</f>
        <v>43775</v>
      </c>
      <c r="H67" s="53">
        <f>IFERROR(__xludf.DUMMYFUNCTION("""COMPUTED_VALUE"""),0.4513888888888889)</f>
        <v>0.4513888889</v>
      </c>
      <c r="I67" s="52">
        <f>IFERROR(__xludf.DUMMYFUNCTION("""COMPUTED_VALUE"""),43775.0)</f>
        <v>43775</v>
      </c>
      <c r="J67" s="53">
        <f>IFERROR(__xludf.DUMMYFUNCTION("""COMPUTED_VALUE"""),0.45416666666666666)</f>
        <v>0.4541666667</v>
      </c>
      <c r="K67" s="53">
        <f t="shared" si="1"/>
        <v>0.002777777778</v>
      </c>
      <c r="L67" s="49" t="s">
        <v>583</v>
      </c>
      <c r="M67" s="49"/>
      <c r="N67" s="49"/>
      <c r="O67" s="48"/>
      <c r="P67" s="48"/>
      <c r="Q67" s="63"/>
      <c r="R67" s="49"/>
      <c r="S67" s="49"/>
      <c r="T67" s="49"/>
    </row>
    <row r="68">
      <c r="A68" s="49" t="str">
        <f>IFERROR(__xludf.DUMMYFUNCTION("""COMPUTED_VALUE"""),"Pivot or die: When it’s time to move on")</f>
        <v>Pivot or die: When it’s time to move on</v>
      </c>
      <c r="B68" s="49" t="str">
        <f>IFERROR(__xludf.DUMMYFUNCTION("""COMPUTED_VALUE"""),"Growth Summit")</f>
        <v>Growth Summit</v>
      </c>
      <c r="C68" s="49" t="str">
        <f>IFERROR(__xludf.DUMMYFUNCTION("""COMPUTED_VALUE"""),"Stephan Noller")</f>
        <v>Stephan Noller</v>
      </c>
      <c r="D68" s="49" t="str">
        <f>IFERROR(__xludf.DUMMYFUNCTION("""COMPUTED_VALUE"""),"2019/11/06 10:54:00")</f>
        <v>2019/11/06 10:54:00</v>
      </c>
      <c r="E68" s="49" t="str">
        <f>IFERROR(__xludf.DUMMYFUNCTION("""COMPUTED_VALUE"""),"2019/11/06 10:58:00")</f>
        <v>2019/11/06 10:58:00</v>
      </c>
      <c r="F68" s="49" t="str">
        <f>IFERROR(__xludf.DUMMYFUNCTION("""COMPUTED_VALUE"""),"154214db-f685-43a7-b2e7-d5ea78b00fe4")</f>
        <v>154214db-f685-43a7-b2e7-d5ea78b00fe4</v>
      </c>
      <c r="G68" s="52">
        <f>IFERROR(__xludf.DUMMYFUNCTION("""COMPUTED_VALUE"""),43775.0)</f>
        <v>43775</v>
      </c>
      <c r="H68" s="53">
        <f>IFERROR(__xludf.DUMMYFUNCTION("""COMPUTED_VALUE"""),0.45416666666666666)</f>
        <v>0.4541666667</v>
      </c>
      <c r="I68" s="52">
        <f>IFERROR(__xludf.DUMMYFUNCTION("""COMPUTED_VALUE"""),43775.0)</f>
        <v>43775</v>
      </c>
      <c r="J68" s="53">
        <f>IFERROR(__xludf.DUMMYFUNCTION("""COMPUTED_VALUE"""),0.45694444444444443)</f>
        <v>0.4569444444</v>
      </c>
      <c r="K68" s="53">
        <f t="shared" si="1"/>
        <v>0.002777777778</v>
      </c>
      <c r="L68" s="49" t="s">
        <v>583</v>
      </c>
      <c r="M68" s="49"/>
      <c r="N68" s="49"/>
      <c r="O68" s="48"/>
      <c r="P68" s="48"/>
      <c r="Q68" s="63"/>
      <c r="R68" s="49"/>
      <c r="S68" s="49"/>
      <c r="T68" s="49"/>
    </row>
    <row r="69">
      <c r="A69" s="49" t="str">
        <f>IFERROR(__xludf.DUMMYFUNCTION("""COMPUTED_VALUE"""),"Creating the Android of WiFi networks")</f>
        <v>Creating the Android of WiFi networks</v>
      </c>
      <c r="B69" s="49" t="str">
        <f>IFERROR(__xludf.DUMMYFUNCTION("""COMPUTED_VALUE"""),"Growth Summit")</f>
        <v>Growth Summit</v>
      </c>
      <c r="C69" s="49" t="str">
        <f>IFERROR(__xludf.DUMMYFUNCTION("""COMPUTED_VALUE"""),"Sebastiano Bertani")</f>
        <v>Sebastiano Bertani</v>
      </c>
      <c r="D69" s="49" t="str">
        <f>IFERROR(__xludf.DUMMYFUNCTION("""COMPUTED_VALUE"""),"2019/11/06 10:58:00")</f>
        <v>2019/11/06 10:58:00</v>
      </c>
      <c r="E69" s="49" t="str">
        <f>IFERROR(__xludf.DUMMYFUNCTION("""COMPUTED_VALUE"""),"2019/11/06 11:02:00")</f>
        <v>2019/11/06 11:02:00</v>
      </c>
      <c r="F69" s="49" t="str">
        <f>IFERROR(__xludf.DUMMYFUNCTION("""COMPUTED_VALUE"""),"18d984ca-d851-4f55-b503-6f10cbe565bd")</f>
        <v>18d984ca-d851-4f55-b503-6f10cbe565bd</v>
      </c>
      <c r="G69" s="52">
        <f>IFERROR(__xludf.DUMMYFUNCTION("""COMPUTED_VALUE"""),43775.0)</f>
        <v>43775</v>
      </c>
      <c r="H69" s="53">
        <f>IFERROR(__xludf.DUMMYFUNCTION("""COMPUTED_VALUE"""),0.45694444444444443)</f>
        <v>0.4569444444</v>
      </c>
      <c r="I69" s="52">
        <f>IFERROR(__xludf.DUMMYFUNCTION("""COMPUTED_VALUE"""),43775.0)</f>
        <v>43775</v>
      </c>
      <c r="J69" s="53">
        <f>IFERROR(__xludf.DUMMYFUNCTION("""COMPUTED_VALUE"""),0.4597222222222222)</f>
        <v>0.4597222222</v>
      </c>
      <c r="K69" s="53">
        <f t="shared" si="1"/>
        <v>0.002777777778</v>
      </c>
      <c r="L69" s="49" t="s">
        <v>583</v>
      </c>
      <c r="M69" s="49"/>
      <c r="N69" s="49"/>
      <c r="O69" s="48"/>
      <c r="P69" s="48"/>
      <c r="Q69" s="63"/>
      <c r="R69" s="49"/>
      <c r="S69" s="49"/>
      <c r="T69" s="49"/>
    </row>
    <row r="70">
      <c r="A70" s="49" t="str">
        <f>IFERROR(__xludf.DUMMYFUNCTION("""COMPUTED_VALUE"""),"The importance of secure communications for global growth")</f>
        <v>The importance of secure communications for global growth</v>
      </c>
      <c r="B70" s="49" t="str">
        <f>IFERROR(__xludf.DUMMYFUNCTION("""COMPUTED_VALUE"""),"Growth Summit")</f>
        <v>Growth Summit</v>
      </c>
      <c r="C70" s="49" t="str">
        <f>IFERROR(__xludf.DUMMYFUNCTION("""COMPUTED_VALUE"""),"Fabio Fischer de Aguiar")</f>
        <v>Fabio Fischer de Aguiar</v>
      </c>
      <c r="D70" s="49" t="str">
        <f>IFERROR(__xludf.DUMMYFUNCTION("""COMPUTED_VALUE"""),"2019/11/06 11:02:00")</f>
        <v>2019/11/06 11:02:00</v>
      </c>
      <c r="E70" s="49" t="str">
        <f>IFERROR(__xludf.DUMMYFUNCTION("""COMPUTED_VALUE"""),"2019/11/06 11:06:00")</f>
        <v>2019/11/06 11:06:00</v>
      </c>
      <c r="F70" s="49" t="str">
        <f>IFERROR(__xludf.DUMMYFUNCTION("""COMPUTED_VALUE"""),"9155bfae-4012-4e93-bac9-daea87f8de59")</f>
        <v>9155bfae-4012-4e93-bac9-daea87f8de59</v>
      </c>
      <c r="G70" s="52">
        <f>IFERROR(__xludf.DUMMYFUNCTION("""COMPUTED_VALUE"""),43775.0)</f>
        <v>43775</v>
      </c>
      <c r="H70" s="53">
        <f>IFERROR(__xludf.DUMMYFUNCTION("""COMPUTED_VALUE"""),0.4597222222222222)</f>
        <v>0.4597222222</v>
      </c>
      <c r="I70" s="52">
        <f>IFERROR(__xludf.DUMMYFUNCTION("""COMPUTED_VALUE"""),43775.0)</f>
        <v>43775</v>
      </c>
      <c r="J70" s="53">
        <f>IFERROR(__xludf.DUMMYFUNCTION("""COMPUTED_VALUE"""),0.4625)</f>
        <v>0.4625</v>
      </c>
      <c r="K70" s="53">
        <f t="shared" si="1"/>
        <v>0.002777777778</v>
      </c>
      <c r="L70" s="49" t="s">
        <v>583</v>
      </c>
      <c r="M70" s="49"/>
      <c r="N70" s="49"/>
      <c r="O70" s="48"/>
      <c r="P70" s="48"/>
      <c r="Q70" s="63"/>
      <c r="R70" s="49"/>
      <c r="S70" s="49"/>
      <c r="T70" s="49"/>
    </row>
    <row r="71">
      <c r="A71" s="49" t="str">
        <f>IFERROR(__xludf.DUMMYFUNCTION("""COMPUTED_VALUE"""),"Creating a company genius zone")</f>
        <v>Creating a company genius zone</v>
      </c>
      <c r="B71" s="49" t="str">
        <f>IFERROR(__xludf.DUMMYFUNCTION("""COMPUTED_VALUE"""),"Growth Summit")</f>
        <v>Growth Summit</v>
      </c>
      <c r="C71" s="49" t="str">
        <f>IFERROR(__xludf.DUMMYFUNCTION("""COMPUTED_VALUE"""),"Craig Beddis")</f>
        <v>Craig Beddis</v>
      </c>
      <c r="D71" s="49" t="str">
        <f>IFERROR(__xludf.DUMMYFUNCTION("""COMPUTED_VALUE"""),"2019/11/06 11:06:00")</f>
        <v>2019/11/06 11:06:00</v>
      </c>
      <c r="E71" s="49" t="str">
        <f>IFERROR(__xludf.DUMMYFUNCTION("""COMPUTED_VALUE"""),"2019/11/06 11:10:00")</f>
        <v>2019/11/06 11:10:00</v>
      </c>
      <c r="F71" s="49" t="str">
        <f>IFERROR(__xludf.DUMMYFUNCTION("""COMPUTED_VALUE"""),"7b057a68-4985-4ded-ad0e-2e1ad7ae6343")</f>
        <v>7b057a68-4985-4ded-ad0e-2e1ad7ae6343</v>
      </c>
      <c r="G71" s="52">
        <f>IFERROR(__xludf.DUMMYFUNCTION("""COMPUTED_VALUE"""),43775.0)</f>
        <v>43775</v>
      </c>
      <c r="H71" s="53">
        <f>IFERROR(__xludf.DUMMYFUNCTION("""COMPUTED_VALUE"""),0.4625)</f>
        <v>0.4625</v>
      </c>
      <c r="I71" s="52">
        <f>IFERROR(__xludf.DUMMYFUNCTION("""COMPUTED_VALUE"""),43775.0)</f>
        <v>43775</v>
      </c>
      <c r="J71" s="53">
        <f>IFERROR(__xludf.DUMMYFUNCTION("""COMPUTED_VALUE"""),0.4652777777777778)</f>
        <v>0.4652777778</v>
      </c>
      <c r="K71" s="53">
        <f t="shared" si="1"/>
        <v>0.002777777778</v>
      </c>
      <c r="L71" s="49" t="s">
        <v>583</v>
      </c>
      <c r="M71" s="49"/>
      <c r="N71" s="49"/>
      <c r="O71" s="48"/>
      <c r="P71" s="48"/>
      <c r="Q71" s="63"/>
      <c r="R71" s="49"/>
      <c r="S71" s="49"/>
      <c r="T71" s="49"/>
    </row>
    <row r="72">
      <c r="A72" s="49" t="str">
        <f>IFERROR(__xludf.DUMMYFUNCTION("""COMPUTED_VALUE"""),"One thing you need to make better product decisions ")</f>
        <v>One thing you need to make better product decisions </v>
      </c>
      <c r="B72" s="49" t="str">
        <f>IFERROR(__xludf.DUMMYFUNCTION("""COMPUTED_VALUE"""),"Growth Summit")</f>
        <v>Growth Summit</v>
      </c>
      <c r="C72" s="49" t="str">
        <f>IFERROR(__xludf.DUMMYFUNCTION("""COMPUTED_VALUE"""),"Elad Simon")</f>
        <v>Elad Simon</v>
      </c>
      <c r="D72" s="49" t="str">
        <f>IFERROR(__xludf.DUMMYFUNCTION("""COMPUTED_VALUE"""),"2019/11/06 11:10:00")</f>
        <v>2019/11/06 11:10:00</v>
      </c>
      <c r="E72" s="49" t="str">
        <f>IFERROR(__xludf.DUMMYFUNCTION("""COMPUTED_VALUE"""),"2019/11/06 11:14:00")</f>
        <v>2019/11/06 11:14:00</v>
      </c>
      <c r="F72" s="49" t="str">
        <f>IFERROR(__xludf.DUMMYFUNCTION("""COMPUTED_VALUE"""),"80a06c6c-56c8-4a7a-a1e9-cb596f5bead8")</f>
        <v>80a06c6c-56c8-4a7a-a1e9-cb596f5bead8</v>
      </c>
      <c r="G72" s="52">
        <f>IFERROR(__xludf.DUMMYFUNCTION("""COMPUTED_VALUE"""),43775.0)</f>
        <v>43775</v>
      </c>
      <c r="H72" s="53">
        <f>IFERROR(__xludf.DUMMYFUNCTION("""COMPUTED_VALUE"""),0.4652777777777778)</f>
        <v>0.4652777778</v>
      </c>
      <c r="I72" s="52">
        <f>IFERROR(__xludf.DUMMYFUNCTION("""COMPUTED_VALUE"""),43775.0)</f>
        <v>43775</v>
      </c>
      <c r="J72" s="53">
        <f>IFERROR(__xludf.DUMMYFUNCTION("""COMPUTED_VALUE"""),0.46805555555555556)</f>
        <v>0.4680555556</v>
      </c>
      <c r="K72" s="53">
        <f t="shared" si="1"/>
        <v>0.002777777778</v>
      </c>
      <c r="L72" s="49" t="s">
        <v>583</v>
      </c>
      <c r="M72" s="49"/>
      <c r="N72" s="49"/>
      <c r="O72" s="48"/>
      <c r="P72" s="48"/>
      <c r="Q72" s="63"/>
      <c r="R72" s="49"/>
      <c r="S72" s="49"/>
      <c r="T72" s="49"/>
    </row>
    <row r="73">
      <c r="A73" s="49" t="str">
        <f>IFERROR(__xludf.DUMMYFUNCTION("""COMPUTED_VALUE"""),"AI-based solutions as a driver of growth")</f>
        <v>AI-based solutions as a driver of growth</v>
      </c>
      <c r="B73" s="49" t="str">
        <f>IFERROR(__xludf.DUMMYFUNCTION("""COMPUTED_VALUE"""),"Growth Summit")</f>
        <v>Growth Summit</v>
      </c>
      <c r="C73" s="49" t="str">
        <f>IFERROR(__xludf.DUMMYFUNCTION("""COMPUTED_VALUE"""),"Olga Prikhodko")</f>
        <v>Olga Prikhodko</v>
      </c>
      <c r="D73" s="49" t="str">
        <f>IFERROR(__xludf.DUMMYFUNCTION("""COMPUTED_VALUE"""),"2019/11/06 11:14:00")</f>
        <v>2019/11/06 11:14:00</v>
      </c>
      <c r="E73" s="49" t="str">
        <f>IFERROR(__xludf.DUMMYFUNCTION("""COMPUTED_VALUE"""),"2019/11/06 11:18:00")</f>
        <v>2019/11/06 11:18:00</v>
      </c>
      <c r="F73" s="49" t="str">
        <f>IFERROR(__xludf.DUMMYFUNCTION("""COMPUTED_VALUE"""),"186f7796-f9c0-48be-9e46-af21ceb39db1")</f>
        <v>186f7796-f9c0-48be-9e46-af21ceb39db1</v>
      </c>
      <c r="G73" s="52">
        <f>IFERROR(__xludf.DUMMYFUNCTION("""COMPUTED_VALUE"""),43775.0)</f>
        <v>43775</v>
      </c>
      <c r="H73" s="53">
        <f>IFERROR(__xludf.DUMMYFUNCTION("""COMPUTED_VALUE"""),0.46805555555555556)</f>
        <v>0.4680555556</v>
      </c>
      <c r="I73" s="52">
        <f>IFERROR(__xludf.DUMMYFUNCTION("""COMPUTED_VALUE"""),43775.0)</f>
        <v>43775</v>
      </c>
      <c r="J73" s="53">
        <f>IFERROR(__xludf.DUMMYFUNCTION("""COMPUTED_VALUE"""),0.4708333333333333)</f>
        <v>0.4708333333</v>
      </c>
      <c r="K73" s="53">
        <f t="shared" si="1"/>
        <v>0.002777777778</v>
      </c>
      <c r="L73" s="49" t="s">
        <v>583</v>
      </c>
      <c r="M73" s="49"/>
      <c r="N73" s="49"/>
      <c r="O73" s="48"/>
      <c r="P73" s="48"/>
      <c r="Q73" s="63"/>
      <c r="R73" s="49"/>
      <c r="S73" s="49"/>
      <c r="T73" s="49"/>
    </row>
    <row r="74">
      <c r="A74" s="49" t="str">
        <f>IFERROR(__xludf.DUMMYFUNCTION("""COMPUTED_VALUE"""),"Creating trust in capital markets through disruptive collaboration")</f>
        <v>Creating trust in capital markets through disruptive collaboration</v>
      </c>
      <c r="B74" s="49" t="str">
        <f>IFERROR(__xludf.DUMMYFUNCTION("""COMPUTED_VALUE"""),"Growth Summit")</f>
        <v>Growth Summit</v>
      </c>
      <c r="C74" s="49" t="str">
        <f>IFERROR(__xludf.DUMMYFUNCTION("""COMPUTED_VALUE"""),"Boaz Yaari")</f>
        <v>Boaz Yaari</v>
      </c>
      <c r="D74" s="49" t="str">
        <f>IFERROR(__xludf.DUMMYFUNCTION("""COMPUTED_VALUE"""),"2019/11/06 11:18:00")</f>
        <v>2019/11/06 11:18:00</v>
      </c>
      <c r="E74" s="49" t="str">
        <f>IFERROR(__xludf.DUMMYFUNCTION("""COMPUTED_VALUE"""),"2019/11/06 11:22:00")</f>
        <v>2019/11/06 11:22:00</v>
      </c>
      <c r="F74" s="49" t="str">
        <f>IFERROR(__xludf.DUMMYFUNCTION("""COMPUTED_VALUE"""),"53bc3899-fa38-449c-9767-57c8beb089ae")</f>
        <v>53bc3899-fa38-449c-9767-57c8beb089ae</v>
      </c>
      <c r="G74" s="52">
        <f>IFERROR(__xludf.DUMMYFUNCTION("""COMPUTED_VALUE"""),43775.0)</f>
        <v>43775</v>
      </c>
      <c r="H74" s="53">
        <f>IFERROR(__xludf.DUMMYFUNCTION("""COMPUTED_VALUE"""),0.4708333333333333)</f>
        <v>0.4708333333</v>
      </c>
      <c r="I74" s="52">
        <f>IFERROR(__xludf.DUMMYFUNCTION("""COMPUTED_VALUE"""),43775.0)</f>
        <v>43775</v>
      </c>
      <c r="J74" s="53">
        <f>IFERROR(__xludf.DUMMYFUNCTION("""COMPUTED_VALUE"""),0.4736111111111111)</f>
        <v>0.4736111111</v>
      </c>
      <c r="K74" s="53">
        <f t="shared" si="1"/>
        <v>0.002777777778</v>
      </c>
      <c r="L74" s="49" t="s">
        <v>583</v>
      </c>
      <c r="M74" s="49"/>
      <c r="N74" s="49"/>
      <c r="O74" s="48"/>
      <c r="P74" s="48"/>
      <c r="Q74" s="63"/>
      <c r="R74" s="49"/>
      <c r="S74" s="49"/>
      <c r="T74" s="49"/>
    </row>
    <row r="75">
      <c r="A75" s="49" t="str">
        <f>IFERROR(__xludf.DUMMYFUNCTION("""COMPUTED_VALUE"""),"Product-market fit as a moving target")</f>
        <v>Product-market fit as a moving target</v>
      </c>
      <c r="B75" s="49" t="str">
        <f>IFERROR(__xludf.DUMMYFUNCTION("""COMPUTED_VALUE"""),"Growth Summit")</f>
        <v>Growth Summit</v>
      </c>
      <c r="C75" s="49" t="str">
        <f>IFERROR(__xludf.DUMMYFUNCTION("""COMPUTED_VALUE"""),"Javi Fondevila")</f>
        <v>Javi Fondevila</v>
      </c>
      <c r="D75" s="49" t="str">
        <f>IFERROR(__xludf.DUMMYFUNCTION("""COMPUTED_VALUE"""),"2019/11/06 11:22:00")</f>
        <v>2019/11/06 11:22:00</v>
      </c>
      <c r="E75" s="49" t="str">
        <f>IFERROR(__xludf.DUMMYFUNCTION("""COMPUTED_VALUE"""),"2019/11/06 11:26:00")</f>
        <v>2019/11/06 11:26:00</v>
      </c>
      <c r="F75" s="49" t="str">
        <f>IFERROR(__xludf.DUMMYFUNCTION("""COMPUTED_VALUE"""),"1a0a8cf0-7134-4307-a284-0490adf28472")</f>
        <v>1a0a8cf0-7134-4307-a284-0490adf28472</v>
      </c>
      <c r="G75" s="52">
        <f>IFERROR(__xludf.DUMMYFUNCTION("""COMPUTED_VALUE"""),43775.0)</f>
        <v>43775</v>
      </c>
      <c r="H75" s="53">
        <f>IFERROR(__xludf.DUMMYFUNCTION("""COMPUTED_VALUE"""),0.4736111111111111)</f>
        <v>0.4736111111</v>
      </c>
      <c r="I75" s="52">
        <f>IFERROR(__xludf.DUMMYFUNCTION("""COMPUTED_VALUE"""),43775.0)</f>
        <v>43775</v>
      </c>
      <c r="J75" s="53">
        <f>IFERROR(__xludf.DUMMYFUNCTION("""COMPUTED_VALUE"""),0.47638888888888886)</f>
        <v>0.4763888889</v>
      </c>
      <c r="K75" s="53">
        <f t="shared" si="1"/>
        <v>0.002777777778</v>
      </c>
      <c r="L75" s="49" t="s">
        <v>583</v>
      </c>
      <c r="M75" s="49"/>
      <c r="N75" s="49"/>
      <c r="O75" s="48"/>
      <c r="P75" s="48"/>
      <c r="Q75" s="63"/>
      <c r="R75" s="49"/>
      <c r="S75" s="49"/>
      <c r="T75" s="49"/>
    </row>
    <row r="76">
      <c r="A76" s="49" t="str">
        <f>IFERROR(__xludf.DUMMYFUNCTION("""COMPUTED_VALUE"""),"How to become first when you’re the last one to start")</f>
        <v>How to become first when you’re the last one to start</v>
      </c>
      <c r="B76" s="49" t="str">
        <f>IFERROR(__xludf.DUMMYFUNCTION("""COMPUTED_VALUE"""),"Growth Summit")</f>
        <v>Growth Summit</v>
      </c>
      <c r="C76" s="49" t="str">
        <f>IFERROR(__xludf.DUMMYFUNCTION("""COMPUTED_VALUE"""),"Viktorija Vanagė")</f>
        <v>Viktorija Vanagė</v>
      </c>
      <c r="D76" s="49" t="str">
        <f>IFERROR(__xludf.DUMMYFUNCTION("""COMPUTED_VALUE"""),"2019/11/06 11:26:00")</f>
        <v>2019/11/06 11:26:00</v>
      </c>
      <c r="E76" s="49" t="str">
        <f>IFERROR(__xludf.DUMMYFUNCTION("""COMPUTED_VALUE"""),"2019/11/06 11:30:00")</f>
        <v>2019/11/06 11:30:00</v>
      </c>
      <c r="F76" s="49" t="str">
        <f>IFERROR(__xludf.DUMMYFUNCTION("""COMPUTED_VALUE"""),"dded405d-13cd-4f17-879e-6163a69045d8")</f>
        <v>dded405d-13cd-4f17-879e-6163a69045d8</v>
      </c>
      <c r="G76" s="52">
        <f>IFERROR(__xludf.DUMMYFUNCTION("""COMPUTED_VALUE"""),43775.0)</f>
        <v>43775</v>
      </c>
      <c r="H76" s="53">
        <f>IFERROR(__xludf.DUMMYFUNCTION("""COMPUTED_VALUE"""),0.47638888888888886)</f>
        <v>0.4763888889</v>
      </c>
      <c r="I76" s="52">
        <f>IFERROR(__xludf.DUMMYFUNCTION("""COMPUTED_VALUE"""),43775.0)</f>
        <v>43775</v>
      </c>
      <c r="J76" s="53">
        <f>IFERROR(__xludf.DUMMYFUNCTION("""COMPUTED_VALUE"""),0.4791666666666667)</f>
        <v>0.4791666667</v>
      </c>
      <c r="K76" s="53">
        <f t="shared" si="1"/>
        <v>0.002777777778</v>
      </c>
      <c r="L76" s="49" t="s">
        <v>583</v>
      </c>
      <c r="M76" s="49"/>
      <c r="N76" s="49"/>
      <c r="O76" s="48"/>
      <c r="P76" s="48"/>
      <c r="Q76" s="63"/>
      <c r="R76" s="49"/>
      <c r="S76" s="49"/>
      <c r="T76" s="49"/>
    </row>
    <row r="77">
      <c r="A77" s="49" t="str">
        <f>IFERROR(__xludf.DUMMYFUNCTION("""COMPUTED_VALUE"""),"It's lonely at the top")</f>
        <v>It's lonely at the top</v>
      </c>
      <c r="B77" s="49" t="str">
        <f>IFERROR(__xludf.DUMMYFUNCTION("""COMPUTED_VALUE"""),"Growth Summit")</f>
        <v>Growth Summit</v>
      </c>
      <c r="C77" s="49" t="str">
        <f>IFERROR(__xludf.DUMMYFUNCTION("""COMPUTED_VALUE"""),"Arie Kravtchin")</f>
        <v>Arie Kravtchin</v>
      </c>
      <c r="D77" s="49" t="str">
        <f>IFERROR(__xludf.DUMMYFUNCTION("""COMPUTED_VALUE"""),"2019/11/06 11:30:00")</f>
        <v>2019/11/06 11:30:00</v>
      </c>
      <c r="E77" s="49" t="str">
        <f>IFERROR(__xludf.DUMMYFUNCTION("""COMPUTED_VALUE"""),"2019/11/06 11:34:00")</f>
        <v>2019/11/06 11:34:00</v>
      </c>
      <c r="F77" s="49" t="str">
        <f>IFERROR(__xludf.DUMMYFUNCTION("""COMPUTED_VALUE"""),"b3a49c84-add4-4210-8e47-bf6e20618a30")</f>
        <v>b3a49c84-add4-4210-8e47-bf6e20618a30</v>
      </c>
      <c r="G77" s="52">
        <f>IFERROR(__xludf.DUMMYFUNCTION("""COMPUTED_VALUE"""),43775.0)</f>
        <v>43775</v>
      </c>
      <c r="H77" s="53">
        <f>IFERROR(__xludf.DUMMYFUNCTION("""COMPUTED_VALUE"""),0.4791666666666667)</f>
        <v>0.4791666667</v>
      </c>
      <c r="I77" s="52">
        <f>IFERROR(__xludf.DUMMYFUNCTION("""COMPUTED_VALUE"""),43775.0)</f>
        <v>43775</v>
      </c>
      <c r="J77" s="53">
        <f>IFERROR(__xludf.DUMMYFUNCTION("""COMPUTED_VALUE"""),0.48194444444444445)</f>
        <v>0.4819444444</v>
      </c>
      <c r="K77" s="53">
        <f t="shared" si="1"/>
        <v>0.002777777778</v>
      </c>
      <c r="L77" s="49" t="s">
        <v>583</v>
      </c>
      <c r="M77" s="49"/>
      <c r="N77" s="49"/>
      <c r="O77" s="48"/>
      <c r="P77" s="48"/>
      <c r="Q77" s="63"/>
      <c r="R77" s="49"/>
      <c r="S77" s="49"/>
      <c r="T77" s="49"/>
    </row>
    <row r="78">
      <c r="A78" s="49" t="str">
        <f>IFERROR(__xludf.DUMMYFUNCTION("""COMPUTED_VALUE"""),"Forget retail. Digitising the usage of fashion")</f>
        <v>Forget retail. Digitising the usage of fashion</v>
      </c>
      <c r="B78" s="49" t="str">
        <f>IFERROR(__xludf.DUMMYFUNCTION("""COMPUTED_VALUE"""),"Growth Summit")</f>
        <v>Growth Summit</v>
      </c>
      <c r="C78" s="49" t="str">
        <f>IFERROR(__xludf.DUMMYFUNCTION("""COMPUTED_VALUE"""),"Philipp Seybold")</f>
        <v>Philipp Seybold</v>
      </c>
      <c r="D78" s="49" t="str">
        <f>IFERROR(__xludf.DUMMYFUNCTION("""COMPUTED_VALUE"""),"2019/11/06 11:34:00")</f>
        <v>2019/11/06 11:34:00</v>
      </c>
      <c r="E78" s="49" t="str">
        <f>IFERROR(__xludf.DUMMYFUNCTION("""COMPUTED_VALUE"""),"2019/11/06 11:38:00")</f>
        <v>2019/11/06 11:38:00</v>
      </c>
      <c r="F78" s="49" t="str">
        <f>IFERROR(__xludf.DUMMYFUNCTION("""COMPUTED_VALUE"""),"6e57eb74-efd4-44cd-9f57-82186cc4b890")</f>
        <v>6e57eb74-efd4-44cd-9f57-82186cc4b890</v>
      </c>
      <c r="G78" s="52">
        <f>IFERROR(__xludf.DUMMYFUNCTION("""COMPUTED_VALUE"""),43775.0)</f>
        <v>43775</v>
      </c>
      <c r="H78" s="53">
        <f>IFERROR(__xludf.DUMMYFUNCTION("""COMPUTED_VALUE"""),0.48194444444444445)</f>
        <v>0.4819444444</v>
      </c>
      <c r="I78" s="52">
        <f>IFERROR(__xludf.DUMMYFUNCTION("""COMPUTED_VALUE"""),43775.0)</f>
        <v>43775</v>
      </c>
      <c r="J78" s="53">
        <f>IFERROR(__xludf.DUMMYFUNCTION("""COMPUTED_VALUE"""),0.4847222222222222)</f>
        <v>0.4847222222</v>
      </c>
      <c r="K78" s="53">
        <f t="shared" si="1"/>
        <v>0.002777777778</v>
      </c>
      <c r="L78" s="49" t="s">
        <v>583</v>
      </c>
      <c r="M78" s="49"/>
      <c r="N78" s="49"/>
      <c r="O78" s="48"/>
      <c r="P78" s="48"/>
      <c r="Q78" s="63"/>
      <c r="R78" s="49"/>
      <c r="S78" s="49"/>
      <c r="T78" s="49"/>
    </row>
    <row r="79">
      <c r="A79" s="49" t="str">
        <f>IFERROR(__xludf.DUMMYFUNCTION("""COMPUTED_VALUE"""),"The challenges of growing a B2B AI-based healthtech startup")</f>
        <v>The challenges of growing a B2B AI-based healthtech startup</v>
      </c>
      <c r="B79" s="49" t="str">
        <f>IFERROR(__xludf.DUMMYFUNCTION("""COMPUTED_VALUE"""),"Growth Summit")</f>
        <v>Growth Summit</v>
      </c>
      <c r="C79" s="49" t="str">
        <f>IFERROR(__xludf.DUMMYFUNCTION("""COMPUTED_VALUE"""),"Landon McKenna")</f>
        <v>Landon McKenna</v>
      </c>
      <c r="D79" s="49" t="str">
        <f>IFERROR(__xludf.DUMMYFUNCTION("""COMPUTED_VALUE"""),"2019/11/06 11:38:00")</f>
        <v>2019/11/06 11:38:00</v>
      </c>
      <c r="E79" s="49" t="str">
        <f>IFERROR(__xludf.DUMMYFUNCTION("""COMPUTED_VALUE"""),"2019/11/06 11:42:00")</f>
        <v>2019/11/06 11:42:00</v>
      </c>
      <c r="F79" s="49" t="str">
        <f>IFERROR(__xludf.DUMMYFUNCTION("""COMPUTED_VALUE"""),"9496b3fa-3e90-44e1-87d8-98237be9ace4")</f>
        <v>9496b3fa-3e90-44e1-87d8-98237be9ace4</v>
      </c>
      <c r="G79" s="52">
        <f>IFERROR(__xludf.DUMMYFUNCTION("""COMPUTED_VALUE"""),43775.0)</f>
        <v>43775</v>
      </c>
      <c r="H79" s="53">
        <f>IFERROR(__xludf.DUMMYFUNCTION("""COMPUTED_VALUE"""),0.4847222222222222)</f>
        <v>0.4847222222</v>
      </c>
      <c r="I79" s="52">
        <f>IFERROR(__xludf.DUMMYFUNCTION("""COMPUTED_VALUE"""),43775.0)</f>
        <v>43775</v>
      </c>
      <c r="J79" s="53">
        <f>IFERROR(__xludf.DUMMYFUNCTION("""COMPUTED_VALUE"""),0.4875)</f>
        <v>0.4875</v>
      </c>
      <c r="K79" s="53">
        <f t="shared" si="1"/>
        <v>0.002777777778</v>
      </c>
      <c r="L79" s="49" t="s">
        <v>583</v>
      </c>
      <c r="M79" s="49"/>
      <c r="N79" s="49"/>
      <c r="O79" s="48"/>
      <c r="P79" s="48"/>
      <c r="Q79" s="63"/>
      <c r="R79" s="49"/>
      <c r="S79" s="49"/>
      <c r="T79" s="49"/>
    </row>
    <row r="80">
      <c r="A80" s="49" t="str">
        <f>IFERROR(__xludf.DUMMYFUNCTION("""COMPUTED_VALUE"""),"Inbound sales and data protection")</f>
        <v>Inbound sales and data protection</v>
      </c>
      <c r="B80" s="49" t="str">
        <f>IFERROR(__xludf.DUMMYFUNCTION("""COMPUTED_VALUE"""),"Growth Summit")</f>
        <v>Growth Summit</v>
      </c>
      <c r="C80" s="49" t="str">
        <f>IFERROR(__xludf.DUMMYFUNCTION("""COMPUTED_VALUE"""),"Sylvain Tillon")</f>
        <v>Sylvain Tillon</v>
      </c>
      <c r="D80" s="49" t="str">
        <f>IFERROR(__xludf.DUMMYFUNCTION("""COMPUTED_VALUE"""),"2019/11/06 11:42:00")</f>
        <v>2019/11/06 11:42:00</v>
      </c>
      <c r="E80" s="49" t="str">
        <f>IFERROR(__xludf.DUMMYFUNCTION("""COMPUTED_VALUE"""),"2019/11/06 11:46:00")</f>
        <v>2019/11/06 11:46:00</v>
      </c>
      <c r="F80" s="49" t="str">
        <f>IFERROR(__xludf.DUMMYFUNCTION("""COMPUTED_VALUE"""),"05a729be-6401-4b5c-9b09-d263e20f5f60")</f>
        <v>05a729be-6401-4b5c-9b09-d263e20f5f60</v>
      </c>
      <c r="G80" s="52">
        <f>IFERROR(__xludf.DUMMYFUNCTION("""COMPUTED_VALUE"""),43775.0)</f>
        <v>43775</v>
      </c>
      <c r="H80" s="53">
        <f>IFERROR(__xludf.DUMMYFUNCTION("""COMPUTED_VALUE"""),0.4875)</f>
        <v>0.4875</v>
      </c>
      <c r="I80" s="52">
        <f>IFERROR(__xludf.DUMMYFUNCTION("""COMPUTED_VALUE"""),43775.0)</f>
        <v>43775</v>
      </c>
      <c r="J80" s="53">
        <f>IFERROR(__xludf.DUMMYFUNCTION("""COMPUTED_VALUE"""),0.49027777777777776)</f>
        <v>0.4902777778</v>
      </c>
      <c r="K80" s="53">
        <f t="shared" si="1"/>
        <v>0.002777777778</v>
      </c>
      <c r="L80" s="49" t="s">
        <v>583</v>
      </c>
      <c r="M80" s="49"/>
      <c r="N80" s="49"/>
      <c r="O80" s="48"/>
      <c r="P80" s="48"/>
      <c r="Q80" s="63"/>
      <c r="R80" s="49"/>
      <c r="S80" s="49"/>
      <c r="T80" s="49"/>
    </row>
    <row r="81">
      <c r="A81" s="49" t="str">
        <f>IFERROR(__xludf.DUMMYFUNCTION("""COMPUTED_VALUE"""),"Pivoting your business model to generate growth")</f>
        <v>Pivoting your business model to generate growth</v>
      </c>
      <c r="B81" s="49" t="str">
        <f>IFERROR(__xludf.DUMMYFUNCTION("""COMPUTED_VALUE"""),"Growth Summit")</f>
        <v>Growth Summit</v>
      </c>
      <c r="C81" s="49" t="str">
        <f>IFERROR(__xludf.DUMMYFUNCTION("""COMPUTED_VALUE"""),"Petr Stransky")</f>
        <v>Petr Stransky</v>
      </c>
      <c r="D81" s="49" t="str">
        <f>IFERROR(__xludf.DUMMYFUNCTION("""COMPUTED_VALUE"""),"2019/11/06 11:46:00")</f>
        <v>2019/11/06 11:46:00</v>
      </c>
      <c r="E81" s="49" t="str">
        <f>IFERROR(__xludf.DUMMYFUNCTION("""COMPUTED_VALUE"""),"2019/11/06 11:50:00")</f>
        <v>2019/11/06 11:50:00</v>
      </c>
      <c r="F81" s="49" t="str">
        <f>IFERROR(__xludf.DUMMYFUNCTION("""COMPUTED_VALUE"""),"89533609-89a7-4989-b1af-96b33fd00050")</f>
        <v>89533609-89a7-4989-b1af-96b33fd00050</v>
      </c>
      <c r="G81" s="52">
        <f>IFERROR(__xludf.DUMMYFUNCTION("""COMPUTED_VALUE"""),43775.0)</f>
        <v>43775</v>
      </c>
      <c r="H81" s="53">
        <f>IFERROR(__xludf.DUMMYFUNCTION("""COMPUTED_VALUE"""),0.49027777777777776)</f>
        <v>0.4902777778</v>
      </c>
      <c r="I81" s="52">
        <f>IFERROR(__xludf.DUMMYFUNCTION("""COMPUTED_VALUE"""),43775.0)</f>
        <v>43775</v>
      </c>
      <c r="J81" s="53">
        <f>IFERROR(__xludf.DUMMYFUNCTION("""COMPUTED_VALUE"""),0.4930555555555556)</f>
        <v>0.4930555556</v>
      </c>
      <c r="K81" s="53">
        <f t="shared" si="1"/>
        <v>0.002777777778</v>
      </c>
      <c r="L81" s="49" t="s">
        <v>583</v>
      </c>
      <c r="M81" s="49"/>
      <c r="N81" s="49"/>
      <c r="O81" s="48"/>
      <c r="P81" s="48"/>
      <c r="Q81" s="63"/>
      <c r="R81" s="49"/>
      <c r="S81" s="49"/>
      <c r="T81" s="49"/>
    </row>
    <row r="82">
      <c r="A82" s="49" t="str">
        <f>IFERROR(__xludf.DUMMYFUNCTION("""COMPUTED_VALUE"""),"Lunch break")</f>
        <v>Lunch break</v>
      </c>
      <c r="B82" s="49" t="str">
        <f>IFERROR(__xludf.DUMMYFUNCTION("""COMPUTED_VALUE"""),"Growth Summit")</f>
        <v>Growth Summit</v>
      </c>
      <c r="C82" s="49" t="str">
        <f>IFERROR(__xludf.DUMMYFUNCTION("""COMPUTED_VALUE"""),"")</f>
        <v/>
      </c>
      <c r="D82" s="49" t="str">
        <f>IFERROR(__xludf.DUMMYFUNCTION("""COMPUTED_VALUE"""),"2019/11/06 11:58:00")</f>
        <v>2019/11/06 11:58:00</v>
      </c>
      <c r="E82" s="49" t="str">
        <f>IFERROR(__xludf.DUMMYFUNCTION("""COMPUTED_VALUE"""),"2019/11/06 12:28:00")</f>
        <v>2019/11/06 12:28:00</v>
      </c>
      <c r="F82" s="49" t="str">
        <f>IFERROR(__xludf.DUMMYFUNCTION("""COMPUTED_VALUE"""),"ad321c9f-fcbe-4d6f-95c2-8e0e96d708b3")</f>
        <v>ad321c9f-fcbe-4d6f-95c2-8e0e96d708b3</v>
      </c>
      <c r="G82" s="52">
        <f>IFERROR(__xludf.DUMMYFUNCTION("""COMPUTED_VALUE"""),43775.0)</f>
        <v>43775</v>
      </c>
      <c r="H82" s="53">
        <f>IFERROR(__xludf.DUMMYFUNCTION("""COMPUTED_VALUE"""),0.4986111111111111)</f>
        <v>0.4986111111</v>
      </c>
      <c r="I82" s="52">
        <f>IFERROR(__xludf.DUMMYFUNCTION("""COMPUTED_VALUE"""),43775.0)</f>
        <v>43775</v>
      </c>
      <c r="J82" s="53">
        <f>IFERROR(__xludf.DUMMYFUNCTION("""COMPUTED_VALUE"""),0.5194444444444445)</f>
        <v>0.5194444444</v>
      </c>
      <c r="K82" s="53">
        <f t="shared" si="1"/>
        <v>0.02083333333</v>
      </c>
      <c r="L82" s="49" t="s">
        <v>105</v>
      </c>
      <c r="M82" s="49"/>
      <c r="N82" s="49"/>
      <c r="O82" s="48"/>
      <c r="P82" s="48"/>
      <c r="Q82" s="63"/>
      <c r="R82" s="49"/>
      <c r="S82" s="49"/>
      <c r="T82" s="49"/>
    </row>
    <row r="83">
      <c r="A83" s="49" t="str">
        <f>IFERROR(__xludf.DUMMYFUNCTION("""COMPUTED_VALUE"""),"Opening remarks")</f>
        <v>Opening remarks</v>
      </c>
      <c r="B83" s="49" t="str">
        <f>IFERROR(__xludf.DUMMYFUNCTION("""COMPUTED_VALUE"""),"Growth Summit")</f>
        <v>Growth Summit</v>
      </c>
      <c r="C83" s="49" t="str">
        <f>IFERROR(__xludf.DUMMYFUNCTION("""COMPUTED_VALUE"""),"Brendan Yell")</f>
        <v>Brendan Yell</v>
      </c>
      <c r="D83" s="49" t="str">
        <f>IFERROR(__xludf.DUMMYFUNCTION("""COMPUTED_VALUE"""),"2019/11/06 12:28:00")</f>
        <v>2019/11/06 12:28:00</v>
      </c>
      <c r="E83" s="49" t="str">
        <f>IFERROR(__xludf.DUMMYFUNCTION("""COMPUTED_VALUE"""),"2019/11/06 12:30:00")</f>
        <v>2019/11/06 12:30:00</v>
      </c>
      <c r="F83" s="49" t="str">
        <f>IFERROR(__xludf.DUMMYFUNCTION("""COMPUTED_VALUE"""),"4052c0c2-50ec-4875-ac66-cf28b2014572")</f>
        <v>4052c0c2-50ec-4875-ac66-cf28b2014572</v>
      </c>
      <c r="G83" s="52">
        <f>IFERROR(__xludf.DUMMYFUNCTION("""COMPUTED_VALUE"""),43775.0)</f>
        <v>43775</v>
      </c>
      <c r="H83" s="53">
        <f>IFERROR(__xludf.DUMMYFUNCTION("""COMPUTED_VALUE"""),0.5194444444444445)</f>
        <v>0.5194444444</v>
      </c>
      <c r="I83" s="52">
        <f>IFERROR(__xludf.DUMMYFUNCTION("""COMPUTED_VALUE"""),43775.0)</f>
        <v>43775</v>
      </c>
      <c r="J83" s="53">
        <f>IFERROR(__xludf.DUMMYFUNCTION("""COMPUTED_VALUE"""),0.5208333333333334)</f>
        <v>0.5208333333</v>
      </c>
      <c r="K83" s="53">
        <f t="shared" si="1"/>
        <v>0.001388888889</v>
      </c>
      <c r="L83" s="49" t="s">
        <v>584</v>
      </c>
      <c r="M83" s="49"/>
      <c r="N83" s="49"/>
      <c r="O83" s="48"/>
      <c r="P83" s="48"/>
      <c r="Q83" s="63"/>
      <c r="R83" s="49"/>
      <c r="S83" s="49"/>
      <c r="T83" s="49"/>
    </row>
    <row r="84">
      <c r="A84" s="49" t="str">
        <f>IFERROR(__xludf.DUMMYFUNCTION("""COMPUTED_VALUE"""),"From idea to maturity: Building a startup into a globally trusted partner")</f>
        <v>From idea to maturity: Building a startup into a globally trusted partner</v>
      </c>
      <c r="B84" s="49" t="str">
        <f>IFERROR(__xludf.DUMMYFUNCTION("""COMPUTED_VALUE"""),"Growth Summit")</f>
        <v>Growth Summit</v>
      </c>
      <c r="C84" s="49" t="str">
        <f>IFERROR(__xludf.DUMMYFUNCTION("""COMPUTED_VALUE"""),"Moshe Shlisel")</f>
        <v>Moshe Shlisel</v>
      </c>
      <c r="D84" s="49" t="str">
        <f>IFERROR(__xludf.DUMMYFUNCTION("""COMPUTED_VALUE"""),"2019/11/06 12:30:00")</f>
        <v>2019/11/06 12:30:00</v>
      </c>
      <c r="E84" s="49" t="str">
        <f>IFERROR(__xludf.DUMMYFUNCTION("""COMPUTED_VALUE"""),"2019/11/06 12:41:00")</f>
        <v>2019/11/06 12:41:00</v>
      </c>
      <c r="F84" s="49" t="str">
        <f>IFERROR(__xludf.DUMMYFUNCTION("""COMPUTED_VALUE"""),"69675970-591a-4383-b86d-95c1b39912e8")</f>
        <v>69675970-591a-4383-b86d-95c1b39912e8</v>
      </c>
      <c r="G84" s="52">
        <f>IFERROR(__xludf.DUMMYFUNCTION("""COMPUTED_VALUE"""),43775.0)</f>
        <v>43775</v>
      </c>
      <c r="H84" s="53">
        <f>IFERROR(__xludf.DUMMYFUNCTION("""COMPUTED_VALUE"""),0.5208333333333334)</f>
        <v>0.5208333333</v>
      </c>
      <c r="I84" s="52">
        <f>IFERROR(__xludf.DUMMYFUNCTION("""COMPUTED_VALUE"""),43775.0)</f>
        <v>43775</v>
      </c>
      <c r="J84" s="53">
        <f>IFERROR(__xludf.DUMMYFUNCTION("""COMPUTED_VALUE"""),0.5284722222222222)</f>
        <v>0.5284722222</v>
      </c>
      <c r="K84" s="53">
        <f t="shared" si="1"/>
        <v>0.007638888889</v>
      </c>
      <c r="L84" s="49" t="s">
        <v>585</v>
      </c>
      <c r="M84" s="49"/>
      <c r="N84" s="49"/>
      <c r="O84" s="48"/>
      <c r="P84" s="48"/>
      <c r="Q84" s="63"/>
      <c r="R84" s="49"/>
      <c r="S84" s="49"/>
      <c r="T84" s="49"/>
    </row>
    <row r="85">
      <c r="A85" s="49" t="str">
        <f>IFERROR(__xludf.DUMMYFUNCTION("""COMPUTED_VALUE"""),"Why AI-based decision making will grow your company")</f>
        <v>Why AI-based decision making will grow your company</v>
      </c>
      <c r="B85" s="49" t="str">
        <f>IFERROR(__xludf.DUMMYFUNCTION("""COMPUTED_VALUE"""),"Growth Summit")</f>
        <v>Growth Summit</v>
      </c>
      <c r="C85" s="49" t="str">
        <f>IFERROR(__xludf.DUMMYFUNCTION("""COMPUTED_VALUE"""),"Vishal Chatrath")</f>
        <v>Vishal Chatrath</v>
      </c>
      <c r="D85" s="49" t="str">
        <f>IFERROR(__xludf.DUMMYFUNCTION("""COMPUTED_VALUE"""),"2019/11/06 12:41:00")</f>
        <v>2019/11/06 12:41:00</v>
      </c>
      <c r="E85" s="49" t="str">
        <f>IFERROR(__xludf.DUMMYFUNCTION("""COMPUTED_VALUE"""),"2019/11/06 12:52:00")</f>
        <v>2019/11/06 12:52:00</v>
      </c>
      <c r="F85" s="49" t="str">
        <f>IFERROR(__xludf.DUMMYFUNCTION("""COMPUTED_VALUE"""),"51ae4986-1360-46e7-92eb-2af6e705c8fa")</f>
        <v>51ae4986-1360-46e7-92eb-2af6e705c8fa</v>
      </c>
      <c r="G85" s="52">
        <f>IFERROR(__xludf.DUMMYFUNCTION("""COMPUTED_VALUE"""),43775.0)</f>
        <v>43775</v>
      </c>
      <c r="H85" s="53">
        <f>IFERROR(__xludf.DUMMYFUNCTION("""COMPUTED_VALUE"""),0.5284722222222222)</f>
        <v>0.5284722222</v>
      </c>
      <c r="I85" s="52">
        <f>IFERROR(__xludf.DUMMYFUNCTION("""COMPUTED_VALUE"""),43775.0)</f>
        <v>43775</v>
      </c>
      <c r="J85" s="53">
        <f>IFERROR(__xludf.DUMMYFUNCTION("""COMPUTED_VALUE"""),0.5361111111111111)</f>
        <v>0.5361111111</v>
      </c>
      <c r="K85" s="53">
        <f t="shared" si="1"/>
        <v>0.007638888889</v>
      </c>
      <c r="L85" s="49" t="s">
        <v>585</v>
      </c>
      <c r="M85" s="49"/>
      <c r="N85" s="49"/>
      <c r="O85" s="48"/>
      <c r="P85" s="48"/>
      <c r="Q85" s="63"/>
      <c r="R85" s="49"/>
      <c r="S85" s="49"/>
      <c r="T85" s="49"/>
    </row>
    <row r="86">
      <c r="A86" s="49" t="str">
        <f>IFERROR(__xludf.DUMMYFUNCTION("""COMPUTED_VALUE"""),"It’s all about focus: How to recognise key goals and achieve them")</f>
        <v>It’s all about focus: How to recognise key goals and achieve them</v>
      </c>
      <c r="B86" s="49" t="str">
        <f>IFERROR(__xludf.DUMMYFUNCTION("""COMPUTED_VALUE"""),"Growth Summit")</f>
        <v>Growth Summit</v>
      </c>
      <c r="C86" s="49" t="str">
        <f>IFERROR(__xludf.DUMMYFUNCTION("""COMPUTED_VALUE"""),"Sofie Quidenus Wahlforss")</f>
        <v>Sofie Quidenus Wahlforss</v>
      </c>
      <c r="D86" s="49" t="str">
        <f>IFERROR(__xludf.DUMMYFUNCTION("""COMPUTED_VALUE"""),"2019/11/06 12:52:00")</f>
        <v>2019/11/06 12:52:00</v>
      </c>
      <c r="E86" s="49" t="str">
        <f>IFERROR(__xludf.DUMMYFUNCTION("""COMPUTED_VALUE"""),"2019/11/06 13:03:00")</f>
        <v>2019/11/06 13:03:00</v>
      </c>
      <c r="F86" s="49" t="str">
        <f>IFERROR(__xludf.DUMMYFUNCTION("""COMPUTED_VALUE"""),"b0509794-10e7-44d5-ac2e-a82e86451538")</f>
        <v>b0509794-10e7-44d5-ac2e-a82e86451538</v>
      </c>
      <c r="G86" s="52">
        <f>IFERROR(__xludf.DUMMYFUNCTION("""COMPUTED_VALUE"""),43775.0)</f>
        <v>43775</v>
      </c>
      <c r="H86" s="53">
        <f>IFERROR(__xludf.DUMMYFUNCTION("""COMPUTED_VALUE"""),0.5361111111111111)</f>
        <v>0.5361111111</v>
      </c>
      <c r="I86" s="52">
        <f>IFERROR(__xludf.DUMMYFUNCTION("""COMPUTED_VALUE"""),43775.0)</f>
        <v>43775</v>
      </c>
      <c r="J86" s="53">
        <f>IFERROR(__xludf.DUMMYFUNCTION("""COMPUTED_VALUE"""),0.54375)</f>
        <v>0.54375</v>
      </c>
      <c r="K86" s="53">
        <f t="shared" si="1"/>
        <v>0.007638888889</v>
      </c>
      <c r="L86" s="49" t="s">
        <v>585</v>
      </c>
      <c r="M86" s="49"/>
      <c r="N86" s="49"/>
      <c r="O86" s="48"/>
      <c r="P86" s="48"/>
      <c r="Q86" s="63"/>
      <c r="R86" s="49"/>
      <c r="S86" s="49"/>
      <c r="T86" s="49"/>
    </row>
    <row r="87">
      <c r="A87" s="49" t="str">
        <f>IFERROR(__xludf.DUMMYFUNCTION("""COMPUTED_VALUE"""),"Bridging Africa’s power gap: The disruptive power of clean energy tech")</f>
        <v>Bridging Africa’s power gap: The disruptive power of clean energy tech</v>
      </c>
      <c r="B87" s="49" t="str">
        <f>IFERROR(__xludf.DUMMYFUNCTION("""COMPUTED_VALUE"""),"Growth Summit")</f>
        <v>Growth Summit</v>
      </c>
      <c r="C87" s="49" t="str">
        <f>IFERROR(__xludf.DUMMYFUNCTION("""COMPUTED_VALUE"""),"Olaedo Osoka")</f>
        <v>Olaedo Osoka</v>
      </c>
      <c r="D87" s="49" t="str">
        <f>IFERROR(__xludf.DUMMYFUNCTION("""COMPUTED_VALUE"""),"2019/11/06 13:03:00")</f>
        <v>2019/11/06 13:03:00</v>
      </c>
      <c r="E87" s="49" t="str">
        <f>IFERROR(__xludf.DUMMYFUNCTION("""COMPUTED_VALUE"""),"2019/11/06 13:14:00")</f>
        <v>2019/11/06 13:14:00</v>
      </c>
      <c r="F87" s="49" t="str">
        <f>IFERROR(__xludf.DUMMYFUNCTION("""COMPUTED_VALUE"""),"04eba973-7a52-4779-8ba0-e3a83a9b3198")</f>
        <v>04eba973-7a52-4779-8ba0-e3a83a9b3198</v>
      </c>
      <c r="G87" s="52">
        <f>IFERROR(__xludf.DUMMYFUNCTION("""COMPUTED_VALUE"""),43775.0)</f>
        <v>43775</v>
      </c>
      <c r="H87" s="53">
        <f>IFERROR(__xludf.DUMMYFUNCTION("""COMPUTED_VALUE"""),0.54375)</f>
        <v>0.54375</v>
      </c>
      <c r="I87" s="52">
        <f>IFERROR(__xludf.DUMMYFUNCTION("""COMPUTED_VALUE"""),43775.0)</f>
        <v>43775</v>
      </c>
      <c r="J87" s="53">
        <f>IFERROR(__xludf.DUMMYFUNCTION("""COMPUTED_VALUE"""),0.5513888888888889)</f>
        <v>0.5513888889</v>
      </c>
      <c r="K87" s="53">
        <f t="shared" si="1"/>
        <v>0.007638888889</v>
      </c>
      <c r="L87" s="49" t="s">
        <v>585</v>
      </c>
      <c r="M87" s="49"/>
      <c r="N87" s="49"/>
      <c r="O87" s="48"/>
      <c r="P87" s="48"/>
      <c r="Q87" s="63"/>
      <c r="R87" s="49"/>
      <c r="S87" s="49"/>
      <c r="T87" s="49"/>
    </row>
    <row r="88">
      <c r="A88" s="49" t="str">
        <f>IFERROR(__xludf.DUMMYFUNCTION("""COMPUTED_VALUE"""),"The Appier story: Making business impact with AI")</f>
        <v>The Appier story: Making business impact with AI</v>
      </c>
      <c r="B88" s="49" t="str">
        <f>IFERROR(__xludf.DUMMYFUNCTION("""COMPUTED_VALUE"""),"Growth Summit")</f>
        <v>Growth Summit</v>
      </c>
      <c r="C88" s="49" t="str">
        <f>IFERROR(__xludf.DUMMYFUNCTION("""COMPUTED_VALUE"""),"Winnie Lee")</f>
        <v>Winnie Lee</v>
      </c>
      <c r="D88" s="49" t="str">
        <f>IFERROR(__xludf.DUMMYFUNCTION("""COMPUTED_VALUE"""),"2019/11/06 13:14:00")</f>
        <v>2019/11/06 13:14:00</v>
      </c>
      <c r="E88" s="49" t="str">
        <f>IFERROR(__xludf.DUMMYFUNCTION("""COMPUTED_VALUE"""),"2019/11/06 13:25:00")</f>
        <v>2019/11/06 13:25:00</v>
      </c>
      <c r="F88" s="49" t="str">
        <f>IFERROR(__xludf.DUMMYFUNCTION("""COMPUTED_VALUE"""),"5d494c27-fbd2-4e99-b5e5-c6b46d5aa076")</f>
        <v>5d494c27-fbd2-4e99-b5e5-c6b46d5aa076</v>
      </c>
      <c r="G88" s="52">
        <f>IFERROR(__xludf.DUMMYFUNCTION("""COMPUTED_VALUE"""),43775.0)</f>
        <v>43775</v>
      </c>
      <c r="H88" s="53">
        <f>IFERROR(__xludf.DUMMYFUNCTION("""COMPUTED_VALUE"""),0.5513888888888889)</f>
        <v>0.5513888889</v>
      </c>
      <c r="I88" s="52">
        <f>IFERROR(__xludf.DUMMYFUNCTION("""COMPUTED_VALUE"""),43775.0)</f>
        <v>43775</v>
      </c>
      <c r="J88" s="53">
        <f>IFERROR(__xludf.DUMMYFUNCTION("""COMPUTED_VALUE"""),0.5590277777777778)</f>
        <v>0.5590277778</v>
      </c>
      <c r="K88" s="53">
        <f t="shared" si="1"/>
        <v>0.007638888889</v>
      </c>
      <c r="L88" s="49" t="s">
        <v>585</v>
      </c>
      <c r="M88" s="49"/>
      <c r="N88" s="49"/>
      <c r="O88" s="48"/>
      <c r="P88" s="48"/>
      <c r="Q88" s="63"/>
      <c r="R88" s="49"/>
      <c r="S88" s="49"/>
      <c r="T88" s="49"/>
    </row>
    <row r="89">
      <c r="A89" s="49" t="str">
        <f>IFERROR(__xludf.DUMMYFUNCTION("""COMPUTED_VALUE"""),"The potential of Hardware as a Service in enterprise")</f>
        <v>The potential of Hardware as a Service in enterprise</v>
      </c>
      <c r="B89" s="49" t="str">
        <f>IFERROR(__xludf.DUMMYFUNCTION("""COMPUTED_VALUE"""),"Growth Summit")</f>
        <v>Growth Summit</v>
      </c>
      <c r="C89" s="49" t="str">
        <f>IFERROR(__xludf.DUMMYFUNCTION("""COMPUTED_VALUE"""),"Vince Gaydarzhiev")</f>
        <v>Vince Gaydarzhiev</v>
      </c>
      <c r="D89" s="49" t="str">
        <f>IFERROR(__xludf.DUMMYFUNCTION("""COMPUTED_VALUE"""),"2019/11/06 13:25:00")</f>
        <v>2019/11/06 13:25:00</v>
      </c>
      <c r="E89" s="49" t="str">
        <f>IFERROR(__xludf.DUMMYFUNCTION("""COMPUTED_VALUE"""),"2019/11/06 13:36:00")</f>
        <v>2019/11/06 13:36:00</v>
      </c>
      <c r="F89" s="49" t="str">
        <f>IFERROR(__xludf.DUMMYFUNCTION("""COMPUTED_VALUE"""),"392711dd-98e0-4410-98ac-d8c44eee0a6f")</f>
        <v>392711dd-98e0-4410-98ac-d8c44eee0a6f</v>
      </c>
      <c r="G89" s="52">
        <f>IFERROR(__xludf.DUMMYFUNCTION("""COMPUTED_VALUE"""),43775.0)</f>
        <v>43775</v>
      </c>
      <c r="H89" s="53">
        <f>IFERROR(__xludf.DUMMYFUNCTION("""COMPUTED_VALUE"""),0.5590277777777778)</f>
        <v>0.5590277778</v>
      </c>
      <c r="I89" s="52">
        <f>IFERROR(__xludf.DUMMYFUNCTION("""COMPUTED_VALUE"""),43775.0)</f>
        <v>43775</v>
      </c>
      <c r="J89" s="53">
        <f>IFERROR(__xludf.DUMMYFUNCTION("""COMPUTED_VALUE"""),0.5666666666666667)</f>
        <v>0.5666666667</v>
      </c>
      <c r="K89" s="53">
        <f t="shared" si="1"/>
        <v>0.007638888889</v>
      </c>
      <c r="L89" s="49" t="s">
        <v>585</v>
      </c>
      <c r="M89" s="49"/>
      <c r="N89" s="49"/>
      <c r="O89" s="48"/>
      <c r="P89" s="48"/>
      <c r="Q89" s="63"/>
      <c r="R89" s="49"/>
      <c r="S89" s="49"/>
      <c r="T89" s="49"/>
    </row>
    <row r="90">
      <c r="A90" s="49" t="str">
        <f>IFERROR(__xludf.DUMMYFUNCTION("""COMPUTED_VALUE"""),"Building the future of work with humanness")</f>
        <v>Building the future of work with humanness</v>
      </c>
      <c r="B90" s="49" t="str">
        <f>IFERROR(__xludf.DUMMYFUNCTION("""COMPUTED_VALUE"""),"Growth Summit")</f>
        <v>Growth Summit</v>
      </c>
      <c r="C90" s="49" t="str">
        <f>IFERROR(__xludf.DUMMYFUNCTION("""COMPUTED_VALUE"""),"Parul Gupta")</f>
        <v>Parul Gupta</v>
      </c>
      <c r="D90" s="49" t="str">
        <f>IFERROR(__xludf.DUMMYFUNCTION("""COMPUTED_VALUE"""),"2019/11/06 13:36:00")</f>
        <v>2019/11/06 13:36:00</v>
      </c>
      <c r="E90" s="49" t="str">
        <f>IFERROR(__xludf.DUMMYFUNCTION("""COMPUTED_VALUE"""),"2019/11/06 13:47:00")</f>
        <v>2019/11/06 13:47:00</v>
      </c>
      <c r="F90" s="49" t="str">
        <f>IFERROR(__xludf.DUMMYFUNCTION("""COMPUTED_VALUE"""),"584a298c-7cc3-41f2-a789-553523ed53b3")</f>
        <v>584a298c-7cc3-41f2-a789-553523ed53b3</v>
      </c>
      <c r="G90" s="52">
        <f>IFERROR(__xludf.DUMMYFUNCTION("""COMPUTED_VALUE"""),43775.0)</f>
        <v>43775</v>
      </c>
      <c r="H90" s="53">
        <f>IFERROR(__xludf.DUMMYFUNCTION("""COMPUTED_VALUE"""),0.5666666666666667)</f>
        <v>0.5666666667</v>
      </c>
      <c r="I90" s="52">
        <f>IFERROR(__xludf.DUMMYFUNCTION("""COMPUTED_VALUE"""),43775.0)</f>
        <v>43775</v>
      </c>
      <c r="J90" s="53">
        <f>IFERROR(__xludf.DUMMYFUNCTION("""COMPUTED_VALUE"""),0.5743055555555555)</f>
        <v>0.5743055556</v>
      </c>
      <c r="K90" s="53">
        <f t="shared" si="1"/>
        <v>0.007638888889</v>
      </c>
      <c r="L90" s="49" t="s">
        <v>585</v>
      </c>
      <c r="M90" s="49"/>
      <c r="N90" s="49"/>
      <c r="O90" s="48"/>
      <c r="P90" s="48"/>
      <c r="Q90" s="63"/>
      <c r="R90" s="49"/>
      <c r="S90" s="49"/>
      <c r="T90" s="49"/>
    </row>
    <row r="91">
      <c r="A91" s="49" t="str">
        <f>IFERROR(__xludf.DUMMYFUNCTION("""COMPUTED_VALUE"""),"Freeletics: The importance of continuous change in fitness")</f>
        <v>Freeletics: The importance of continuous change in fitness</v>
      </c>
      <c r="B91" s="49" t="str">
        <f>IFERROR(__xludf.DUMMYFUNCTION("""COMPUTED_VALUE"""),"Growth Summit")</f>
        <v>Growth Summit</v>
      </c>
      <c r="C91" s="49" t="str">
        <f>IFERROR(__xludf.DUMMYFUNCTION("""COMPUTED_VALUE"""),"Daniel Sobhani")</f>
        <v>Daniel Sobhani</v>
      </c>
      <c r="D91" s="49" t="str">
        <f>IFERROR(__xludf.DUMMYFUNCTION("""COMPUTED_VALUE"""),"2019/11/06 13:47:00")</f>
        <v>2019/11/06 13:47:00</v>
      </c>
      <c r="E91" s="49" t="str">
        <f>IFERROR(__xludf.DUMMYFUNCTION("""COMPUTED_VALUE"""),"2019/11/06 13:58:00")</f>
        <v>2019/11/06 13:58:00</v>
      </c>
      <c r="F91" s="49" t="str">
        <f>IFERROR(__xludf.DUMMYFUNCTION("""COMPUTED_VALUE"""),"f2716cba-f93a-4d74-9797-30c1b535c3d6")</f>
        <v>f2716cba-f93a-4d74-9797-30c1b535c3d6</v>
      </c>
      <c r="G91" s="52">
        <f>IFERROR(__xludf.DUMMYFUNCTION("""COMPUTED_VALUE"""),43775.0)</f>
        <v>43775</v>
      </c>
      <c r="H91" s="53">
        <f>IFERROR(__xludf.DUMMYFUNCTION("""COMPUTED_VALUE"""),0.5743055555555555)</f>
        <v>0.5743055556</v>
      </c>
      <c r="I91" s="52">
        <f>IFERROR(__xludf.DUMMYFUNCTION("""COMPUTED_VALUE"""),43775.0)</f>
        <v>43775</v>
      </c>
      <c r="J91" s="53">
        <f>IFERROR(__xludf.DUMMYFUNCTION("""COMPUTED_VALUE"""),0.5819444444444445)</f>
        <v>0.5819444444</v>
      </c>
      <c r="K91" s="53">
        <f t="shared" si="1"/>
        <v>0.007638888889</v>
      </c>
      <c r="L91" s="49" t="s">
        <v>585</v>
      </c>
      <c r="M91" s="49"/>
      <c r="N91" s="49"/>
      <c r="O91" s="48"/>
      <c r="P91" s="48"/>
      <c r="Q91" s="63"/>
      <c r="R91" s="49"/>
      <c r="S91" s="49"/>
      <c r="T91" s="49"/>
    </row>
    <row r="92">
      <c r="A92" s="49" t="str">
        <f>IFERROR(__xludf.DUMMYFUNCTION("""COMPUTED_VALUE"""),"Beyond the Hype: Getting in flow after CryptoKitties")</f>
        <v>Beyond the Hype: Getting in flow after CryptoKitties</v>
      </c>
      <c r="B92" s="49" t="str">
        <f>IFERROR(__xludf.DUMMYFUNCTION("""COMPUTED_VALUE"""),"Growth Summit")</f>
        <v>Growth Summit</v>
      </c>
      <c r="C92" s="49" t="str">
        <f>IFERROR(__xludf.DUMMYFUNCTION("""COMPUTED_VALUE"""),"Roham Gharegozlou")</f>
        <v>Roham Gharegozlou</v>
      </c>
      <c r="D92" s="49" t="str">
        <f>IFERROR(__xludf.DUMMYFUNCTION("""COMPUTED_VALUE"""),"2019/11/06 13:58:00")</f>
        <v>2019/11/06 13:58:00</v>
      </c>
      <c r="E92" s="49" t="str">
        <f>IFERROR(__xludf.DUMMYFUNCTION("""COMPUTED_VALUE"""),"2019/11/06 14:09:00")</f>
        <v>2019/11/06 14:09:00</v>
      </c>
      <c r="F92" s="49" t="str">
        <f>IFERROR(__xludf.DUMMYFUNCTION("""COMPUTED_VALUE"""),"30ca1ec0-026d-4add-9299-721bfb182a97")</f>
        <v>30ca1ec0-026d-4add-9299-721bfb182a97</v>
      </c>
      <c r="G92" s="52">
        <f>IFERROR(__xludf.DUMMYFUNCTION("""COMPUTED_VALUE"""),43775.0)</f>
        <v>43775</v>
      </c>
      <c r="H92" s="53">
        <f>IFERROR(__xludf.DUMMYFUNCTION("""COMPUTED_VALUE"""),0.5819444444444445)</f>
        <v>0.5819444444</v>
      </c>
      <c r="I92" s="52">
        <f>IFERROR(__xludf.DUMMYFUNCTION("""COMPUTED_VALUE"""),43775.0)</f>
        <v>43775</v>
      </c>
      <c r="J92" s="53">
        <f>IFERROR(__xludf.DUMMYFUNCTION("""COMPUTED_VALUE"""),0.5895833333333333)</f>
        <v>0.5895833333</v>
      </c>
      <c r="K92" s="53">
        <f t="shared" si="1"/>
        <v>0.007638888889</v>
      </c>
      <c r="L92" s="49" t="s">
        <v>585</v>
      </c>
      <c r="M92" s="49"/>
      <c r="N92" s="49"/>
      <c r="O92" s="48"/>
      <c r="P92" s="48"/>
      <c r="Q92" s="63"/>
      <c r="R92" s="49"/>
      <c r="S92" s="49"/>
      <c r="T92" s="49"/>
    </row>
    <row r="93">
      <c r="A93" s="49" t="str">
        <f>IFERROR(__xludf.DUMMYFUNCTION("""COMPUTED_VALUE"""),"How decentralised technology will change people's lives in the next 10 years")</f>
        <v>How decentralised technology will change people's lives in the next 10 years</v>
      </c>
      <c r="B93" s="49" t="str">
        <f>IFERROR(__xludf.DUMMYFUNCTION("""COMPUTED_VALUE"""),"Growth Summit")</f>
        <v>Growth Summit</v>
      </c>
      <c r="C93" s="49" t="str">
        <f>IFERROR(__xludf.DUMMYFUNCTION("""COMPUTED_VALUE"""),"Muneeb Ali")</f>
        <v>Muneeb Ali</v>
      </c>
      <c r="D93" s="49" t="str">
        <f>IFERROR(__xludf.DUMMYFUNCTION("""COMPUTED_VALUE"""),"2019/11/06 14:09:00")</f>
        <v>2019/11/06 14:09:00</v>
      </c>
      <c r="E93" s="49" t="str">
        <f>IFERROR(__xludf.DUMMYFUNCTION("""COMPUTED_VALUE"""),"2019/11/06 14:20:00")</f>
        <v>2019/11/06 14:20:00</v>
      </c>
      <c r="F93" s="49" t="str">
        <f>IFERROR(__xludf.DUMMYFUNCTION("""COMPUTED_VALUE"""),"2b9c507f-395e-46f1-a60c-9aeb77cf94ed")</f>
        <v>2b9c507f-395e-46f1-a60c-9aeb77cf94ed</v>
      </c>
      <c r="G93" s="52">
        <f>IFERROR(__xludf.DUMMYFUNCTION("""COMPUTED_VALUE"""),43775.0)</f>
        <v>43775</v>
      </c>
      <c r="H93" s="53">
        <f>IFERROR(__xludf.DUMMYFUNCTION("""COMPUTED_VALUE"""),0.5895833333333333)</f>
        <v>0.5895833333</v>
      </c>
      <c r="I93" s="52">
        <f>IFERROR(__xludf.DUMMYFUNCTION("""COMPUTED_VALUE"""),43775.0)</f>
        <v>43775</v>
      </c>
      <c r="J93" s="53">
        <f>IFERROR(__xludf.DUMMYFUNCTION("""COMPUTED_VALUE"""),0.5972222222222222)</f>
        <v>0.5972222222</v>
      </c>
      <c r="K93" s="53">
        <f t="shared" si="1"/>
        <v>0.007638888889</v>
      </c>
      <c r="L93" s="49" t="s">
        <v>585</v>
      </c>
      <c r="M93" s="49"/>
      <c r="N93" s="49"/>
      <c r="O93" s="48"/>
      <c r="P93" s="48"/>
      <c r="Q93" s="63"/>
      <c r="R93" s="49"/>
      <c r="S93" s="49"/>
      <c r="T93" s="49"/>
    </row>
    <row r="94">
      <c r="A94" s="49" t="str">
        <f>IFERROR(__xludf.DUMMYFUNCTION("""COMPUTED_VALUE"""),"Using technology to push boundaries")</f>
        <v>Using technology to push boundaries</v>
      </c>
      <c r="B94" s="49" t="str">
        <f>IFERROR(__xludf.DUMMYFUNCTION("""COMPUTED_VALUE"""),"Growth Summit")</f>
        <v>Growth Summit</v>
      </c>
      <c r="C94" s="49" t="str">
        <f>IFERROR(__xludf.DUMMYFUNCTION("""COMPUTED_VALUE"""),"Aba Schubert")</f>
        <v>Aba Schubert</v>
      </c>
      <c r="D94" s="49" t="str">
        <f>IFERROR(__xludf.DUMMYFUNCTION("""COMPUTED_VALUE"""),"2019/11/06 14:20:00")</f>
        <v>2019/11/06 14:20:00</v>
      </c>
      <c r="E94" s="49" t="str">
        <f>IFERROR(__xludf.DUMMYFUNCTION("""COMPUTED_VALUE"""),"2019/11/06 14:31:00")</f>
        <v>2019/11/06 14:31:00</v>
      </c>
      <c r="F94" s="49" t="str">
        <f>IFERROR(__xludf.DUMMYFUNCTION("""COMPUTED_VALUE"""),"89c451fb-c4ed-4680-9547-f61fad20ca6d")</f>
        <v>89c451fb-c4ed-4680-9547-f61fad20ca6d</v>
      </c>
      <c r="G94" s="52">
        <f>IFERROR(__xludf.DUMMYFUNCTION("""COMPUTED_VALUE"""),43775.0)</f>
        <v>43775</v>
      </c>
      <c r="H94" s="53">
        <f>IFERROR(__xludf.DUMMYFUNCTION("""COMPUTED_VALUE"""),0.5972222222222222)</f>
        <v>0.5972222222</v>
      </c>
      <c r="I94" s="52">
        <f>IFERROR(__xludf.DUMMYFUNCTION("""COMPUTED_VALUE"""),43775.0)</f>
        <v>43775</v>
      </c>
      <c r="J94" s="53">
        <f>IFERROR(__xludf.DUMMYFUNCTION("""COMPUTED_VALUE"""),0.6048611111111111)</f>
        <v>0.6048611111</v>
      </c>
      <c r="K94" s="53">
        <f t="shared" si="1"/>
        <v>0.007638888889</v>
      </c>
      <c r="L94" s="49" t="s">
        <v>585</v>
      </c>
      <c r="M94" s="49"/>
      <c r="N94" s="49"/>
      <c r="O94" s="48"/>
      <c r="P94" s="48"/>
      <c r="Q94" s="63"/>
      <c r="R94" s="49"/>
      <c r="S94" s="49"/>
      <c r="T94" s="49"/>
    </row>
    <row r="95">
      <c r="A95" s="49" t="str">
        <f>IFERROR(__xludf.DUMMYFUNCTION("""COMPUTED_VALUE"""),"Timing a revolution in computing at Ayar Labs ")</f>
        <v>Timing a revolution in computing at Ayar Labs </v>
      </c>
      <c r="B95" s="49" t="str">
        <f>IFERROR(__xludf.DUMMYFUNCTION("""COMPUTED_VALUE"""),"Growth Summit")</f>
        <v>Growth Summit</v>
      </c>
      <c r="C95" s="49" t="str">
        <f>IFERROR(__xludf.DUMMYFUNCTION("""COMPUTED_VALUE"""),"Alex Wright-Gladstein")</f>
        <v>Alex Wright-Gladstein</v>
      </c>
      <c r="D95" s="49" t="str">
        <f>IFERROR(__xludf.DUMMYFUNCTION("""COMPUTED_VALUE"""),"2019/11/06 14:31:00")</f>
        <v>2019/11/06 14:31:00</v>
      </c>
      <c r="E95" s="49" t="str">
        <f>IFERROR(__xludf.DUMMYFUNCTION("""COMPUTED_VALUE"""),"2019/11/06 14:42:00")</f>
        <v>2019/11/06 14:42:00</v>
      </c>
      <c r="F95" s="49" t="str">
        <f>IFERROR(__xludf.DUMMYFUNCTION("""COMPUTED_VALUE"""),"21e57548-dbd6-4dc2-ad55-1979ab61a4a8")</f>
        <v>21e57548-dbd6-4dc2-ad55-1979ab61a4a8</v>
      </c>
      <c r="G95" s="52">
        <f>IFERROR(__xludf.DUMMYFUNCTION("""COMPUTED_VALUE"""),43775.0)</f>
        <v>43775</v>
      </c>
      <c r="H95" s="53">
        <f>IFERROR(__xludf.DUMMYFUNCTION("""COMPUTED_VALUE"""),0.6048611111111111)</f>
        <v>0.6048611111</v>
      </c>
      <c r="I95" s="52">
        <f>IFERROR(__xludf.DUMMYFUNCTION("""COMPUTED_VALUE"""),43775.0)</f>
        <v>43775</v>
      </c>
      <c r="J95" s="53">
        <f>IFERROR(__xludf.DUMMYFUNCTION("""COMPUTED_VALUE"""),0.6125)</f>
        <v>0.6125</v>
      </c>
      <c r="K95" s="53">
        <f t="shared" si="1"/>
        <v>0.007638888889</v>
      </c>
      <c r="L95" s="49" t="s">
        <v>585</v>
      </c>
      <c r="M95" s="49"/>
      <c r="N95" s="49"/>
      <c r="O95" s="48"/>
      <c r="P95" s="48"/>
      <c r="Q95" s="63"/>
      <c r="R95" s="49"/>
      <c r="S95" s="49"/>
      <c r="T95" s="49"/>
    </row>
    <row r="96">
      <c r="A96" s="49" t="str">
        <f>IFERROR(__xludf.DUMMYFUNCTION("""COMPUTED_VALUE"""),"Feeling the pain: How rage &amp; pain are the key to growth")</f>
        <v>Feeling the pain: How rage &amp; pain are the key to growth</v>
      </c>
      <c r="B96" s="49" t="str">
        <f>IFERROR(__xludf.DUMMYFUNCTION("""COMPUTED_VALUE"""),"Growth Summit")</f>
        <v>Growth Summit</v>
      </c>
      <c r="C96" s="49" t="str">
        <f>IFERROR(__xludf.DUMMYFUNCTION("""COMPUTED_VALUE"""),"Simcha Neumark")</f>
        <v>Simcha Neumark</v>
      </c>
      <c r="D96" s="49" t="str">
        <f>IFERROR(__xludf.DUMMYFUNCTION("""COMPUTED_VALUE"""),"2019/11/06 14:42:00")</f>
        <v>2019/11/06 14:42:00</v>
      </c>
      <c r="E96" s="49" t="str">
        <f>IFERROR(__xludf.DUMMYFUNCTION("""COMPUTED_VALUE"""),"2019/11/06 14:53:00")</f>
        <v>2019/11/06 14:53:00</v>
      </c>
      <c r="F96" s="49" t="str">
        <f>IFERROR(__xludf.DUMMYFUNCTION("""COMPUTED_VALUE"""),"7c0af6de-78d5-4f6b-b2d9-1d3b94cf0974")</f>
        <v>7c0af6de-78d5-4f6b-b2d9-1d3b94cf0974</v>
      </c>
      <c r="G96" s="52">
        <f>IFERROR(__xludf.DUMMYFUNCTION("""COMPUTED_VALUE"""),43775.0)</f>
        <v>43775</v>
      </c>
      <c r="H96" s="53">
        <f>IFERROR(__xludf.DUMMYFUNCTION("""COMPUTED_VALUE"""),0.6125)</f>
        <v>0.6125</v>
      </c>
      <c r="I96" s="52">
        <f>IFERROR(__xludf.DUMMYFUNCTION("""COMPUTED_VALUE"""),43775.0)</f>
        <v>43775</v>
      </c>
      <c r="J96" s="53">
        <f>IFERROR(__xludf.DUMMYFUNCTION("""COMPUTED_VALUE"""),0.6201388888888889)</f>
        <v>0.6201388889</v>
      </c>
      <c r="K96" s="53">
        <f t="shared" si="1"/>
        <v>0.007638888889</v>
      </c>
      <c r="L96" s="49" t="s">
        <v>585</v>
      </c>
      <c r="M96" s="49"/>
      <c r="N96" s="49"/>
      <c r="O96" s="48"/>
      <c r="P96" s="48"/>
      <c r="Q96" s="63"/>
      <c r="R96" s="49"/>
      <c r="S96" s="49"/>
      <c r="T96" s="49"/>
    </row>
    <row r="97">
      <c r="A97" s="49" t="str">
        <f>IFERROR(__xludf.DUMMYFUNCTION("""COMPUTED_VALUE"""),"Navigating the ever-evolving landscape of security and privacy")</f>
        <v>Navigating the ever-evolving landscape of security and privacy</v>
      </c>
      <c r="B97" s="49" t="str">
        <f>IFERROR(__xludf.DUMMYFUNCTION("""COMPUTED_VALUE"""),"Growth Summit")</f>
        <v>Growth Summit</v>
      </c>
      <c r="C97" s="49" t="str">
        <f>IFERROR(__xludf.DUMMYFUNCTION("""COMPUTED_VALUE"""),"Christine Spang")</f>
        <v>Christine Spang</v>
      </c>
      <c r="D97" s="49" t="str">
        <f>IFERROR(__xludf.DUMMYFUNCTION("""COMPUTED_VALUE"""),"2019/11/06 14:53:00")</f>
        <v>2019/11/06 14:53:00</v>
      </c>
      <c r="E97" s="49" t="str">
        <f>IFERROR(__xludf.DUMMYFUNCTION("""COMPUTED_VALUE"""),"2019/11/06 15:04:00")</f>
        <v>2019/11/06 15:04:00</v>
      </c>
      <c r="F97" s="49" t="str">
        <f>IFERROR(__xludf.DUMMYFUNCTION("""COMPUTED_VALUE"""),"76c7561f-3f3f-4df9-9b84-463305abcb4f")</f>
        <v>76c7561f-3f3f-4df9-9b84-463305abcb4f</v>
      </c>
      <c r="G97" s="52">
        <f>IFERROR(__xludf.DUMMYFUNCTION("""COMPUTED_VALUE"""),43775.0)</f>
        <v>43775</v>
      </c>
      <c r="H97" s="53">
        <f>IFERROR(__xludf.DUMMYFUNCTION("""COMPUTED_VALUE"""),0.6201388888888889)</f>
        <v>0.6201388889</v>
      </c>
      <c r="I97" s="52">
        <f>IFERROR(__xludf.DUMMYFUNCTION("""COMPUTED_VALUE"""),43775.0)</f>
        <v>43775</v>
      </c>
      <c r="J97" s="53">
        <f>IFERROR(__xludf.DUMMYFUNCTION("""COMPUTED_VALUE"""),0.6277777777777778)</f>
        <v>0.6277777778</v>
      </c>
      <c r="K97" s="53">
        <f t="shared" si="1"/>
        <v>0.007638888889</v>
      </c>
      <c r="L97" s="49" t="s">
        <v>585</v>
      </c>
      <c r="M97" s="49"/>
      <c r="N97" s="49"/>
      <c r="O97" s="48"/>
      <c r="P97" s="48"/>
      <c r="Q97" s="63"/>
      <c r="R97" s="49"/>
      <c r="S97" s="49"/>
      <c r="T97" s="49"/>
    </row>
    <row r="98">
      <c r="A98" s="49" t="str">
        <f>IFERROR(__xludf.DUMMYFUNCTION("""COMPUTED_VALUE"""),"Hiring that powers high growth businesses")</f>
        <v>Hiring that powers high growth businesses</v>
      </c>
      <c r="B98" s="49" t="str">
        <f>IFERROR(__xludf.DUMMYFUNCTION("""COMPUTED_VALUE"""),"Growth Summit")</f>
        <v>Growth Summit</v>
      </c>
      <c r="C98" s="49" t="str">
        <f>IFERROR(__xludf.DUMMYFUNCTION("""COMPUTED_VALUE"""),"Sarah Nahm")</f>
        <v>Sarah Nahm</v>
      </c>
      <c r="D98" s="49" t="str">
        <f>IFERROR(__xludf.DUMMYFUNCTION("""COMPUTED_VALUE"""),"2019/11/06 15:04:00")</f>
        <v>2019/11/06 15:04:00</v>
      </c>
      <c r="E98" s="49" t="str">
        <f>IFERROR(__xludf.DUMMYFUNCTION("""COMPUTED_VALUE"""),"2019/11/06 15:15:00")</f>
        <v>2019/11/06 15:15:00</v>
      </c>
      <c r="F98" s="49" t="str">
        <f>IFERROR(__xludf.DUMMYFUNCTION("""COMPUTED_VALUE"""),"c3f67edb-937a-44f9-af6d-d6661319d591")</f>
        <v>c3f67edb-937a-44f9-af6d-d6661319d591</v>
      </c>
      <c r="G98" s="52">
        <f>IFERROR(__xludf.DUMMYFUNCTION("""COMPUTED_VALUE"""),43775.0)</f>
        <v>43775</v>
      </c>
      <c r="H98" s="53">
        <f>IFERROR(__xludf.DUMMYFUNCTION("""COMPUTED_VALUE"""),0.6277777777777778)</f>
        <v>0.6277777778</v>
      </c>
      <c r="I98" s="52">
        <f>IFERROR(__xludf.DUMMYFUNCTION("""COMPUTED_VALUE"""),43775.0)</f>
        <v>43775</v>
      </c>
      <c r="J98" s="53">
        <f>IFERROR(__xludf.DUMMYFUNCTION("""COMPUTED_VALUE"""),0.6354166666666666)</f>
        <v>0.6354166667</v>
      </c>
      <c r="K98" s="53">
        <f t="shared" si="1"/>
        <v>0.007638888889</v>
      </c>
      <c r="L98" s="49" t="s">
        <v>585</v>
      </c>
      <c r="M98" s="49"/>
      <c r="N98" s="49"/>
      <c r="O98" s="48"/>
      <c r="P98" s="48"/>
      <c r="Q98" s="63"/>
      <c r="R98" s="49"/>
      <c r="S98" s="49"/>
      <c r="T98" s="49"/>
    </row>
    <row r="99">
      <c r="A99" s="49" t="str">
        <f>IFERROR(__xludf.DUMMYFUNCTION("""COMPUTED_VALUE"""),"Scaling globally while retaining brand integrity")</f>
        <v>Scaling globally while retaining brand integrity</v>
      </c>
      <c r="B99" s="49" t="str">
        <f>IFERROR(__xludf.DUMMYFUNCTION("""COMPUTED_VALUE"""),"Growth Summit")</f>
        <v>Growth Summit</v>
      </c>
      <c r="C99" s="49" t="str">
        <f>IFERROR(__xludf.DUMMYFUNCTION("""COMPUTED_VALUE"""),"Ray Reddy")</f>
        <v>Ray Reddy</v>
      </c>
      <c r="D99" s="49" t="str">
        <f>IFERROR(__xludf.DUMMYFUNCTION("""COMPUTED_VALUE"""),"2019/11/06 15:15:00")</f>
        <v>2019/11/06 15:15:00</v>
      </c>
      <c r="E99" s="49" t="str">
        <f>IFERROR(__xludf.DUMMYFUNCTION("""COMPUTED_VALUE"""),"2019/11/06 15:26:00")</f>
        <v>2019/11/06 15:26:00</v>
      </c>
      <c r="F99" s="49" t="str">
        <f>IFERROR(__xludf.DUMMYFUNCTION("""COMPUTED_VALUE"""),"92fddecb-1225-487b-8a71-f53d852334c6")</f>
        <v>92fddecb-1225-487b-8a71-f53d852334c6</v>
      </c>
      <c r="G99" s="52">
        <f>IFERROR(__xludf.DUMMYFUNCTION("""COMPUTED_VALUE"""),43775.0)</f>
        <v>43775</v>
      </c>
      <c r="H99" s="53">
        <f>IFERROR(__xludf.DUMMYFUNCTION("""COMPUTED_VALUE"""),0.6354166666666666)</f>
        <v>0.6354166667</v>
      </c>
      <c r="I99" s="52">
        <f>IFERROR(__xludf.DUMMYFUNCTION("""COMPUTED_VALUE"""),43775.0)</f>
        <v>43775</v>
      </c>
      <c r="J99" s="53">
        <f>IFERROR(__xludf.DUMMYFUNCTION("""COMPUTED_VALUE"""),0.6430555555555556)</f>
        <v>0.6430555556</v>
      </c>
      <c r="K99" s="53">
        <f t="shared" si="1"/>
        <v>0.007638888889</v>
      </c>
      <c r="L99" s="49" t="s">
        <v>585</v>
      </c>
      <c r="M99" s="49"/>
      <c r="N99" s="49"/>
      <c r="O99" s="48"/>
      <c r="P99" s="48"/>
      <c r="Q99" s="63"/>
      <c r="R99" s="49"/>
      <c r="S99" s="49"/>
      <c r="T99" s="49"/>
    </row>
    <row r="100">
      <c r="A100" s="49" t="str">
        <f>IFERROR(__xludf.DUMMYFUNCTION("""COMPUTED_VALUE"""),"How to build an impossible unicorn")</f>
        <v>How to build an impossible unicorn</v>
      </c>
      <c r="B100" s="49" t="str">
        <f>IFERROR(__xludf.DUMMYFUNCTION("""COMPUTED_VALUE"""),"Growth Summit")</f>
        <v>Growth Summit</v>
      </c>
      <c r="C100" s="49" t="str">
        <f>IFERROR(__xludf.DUMMYFUNCTION("""COMPUTED_VALUE"""),"Jean-Stéphane Arcis")</f>
        <v>Jean-Stéphane Arcis</v>
      </c>
      <c r="D100" s="49" t="str">
        <f>IFERROR(__xludf.DUMMYFUNCTION("""COMPUTED_VALUE"""),"2019/11/06 15:26:00")</f>
        <v>2019/11/06 15:26:00</v>
      </c>
      <c r="E100" s="49" t="str">
        <f>IFERROR(__xludf.DUMMYFUNCTION("""COMPUTED_VALUE"""),"2019/11/06 15:37:00")</f>
        <v>2019/11/06 15:37:00</v>
      </c>
      <c r="F100" s="49" t="str">
        <f>IFERROR(__xludf.DUMMYFUNCTION("""COMPUTED_VALUE"""),"c10e2b75-eaa6-4191-9b04-66834451c9ff")</f>
        <v>c10e2b75-eaa6-4191-9b04-66834451c9ff</v>
      </c>
      <c r="G100" s="52">
        <f>IFERROR(__xludf.DUMMYFUNCTION("""COMPUTED_VALUE"""),43775.0)</f>
        <v>43775</v>
      </c>
      <c r="H100" s="53">
        <f>IFERROR(__xludf.DUMMYFUNCTION("""COMPUTED_VALUE"""),0.6430555555555556)</f>
        <v>0.6430555556</v>
      </c>
      <c r="I100" s="52">
        <f>IFERROR(__xludf.DUMMYFUNCTION("""COMPUTED_VALUE"""),43775.0)</f>
        <v>43775</v>
      </c>
      <c r="J100" s="53">
        <f>IFERROR(__xludf.DUMMYFUNCTION("""COMPUTED_VALUE"""),0.6506944444444445)</f>
        <v>0.6506944444</v>
      </c>
      <c r="K100" s="53">
        <f t="shared" si="1"/>
        <v>0.007638888889</v>
      </c>
      <c r="L100" s="49" t="s">
        <v>585</v>
      </c>
      <c r="M100" s="49"/>
      <c r="N100" s="49"/>
      <c r="O100" s="48"/>
      <c r="P100" s="48"/>
      <c r="Q100" s="63"/>
      <c r="R100" s="49"/>
      <c r="S100" s="49"/>
      <c r="T100" s="49"/>
    </row>
    <row r="101">
      <c r="A101" s="49" t="str">
        <f>IFERROR(__xludf.DUMMYFUNCTION("""COMPUTED_VALUE"""),"Go global or die trying: The changing reality of fintech startups")</f>
        <v>Go global or die trying: The changing reality of fintech startups</v>
      </c>
      <c r="B101" s="49" t="str">
        <f>IFERROR(__xludf.DUMMYFUNCTION("""COMPUTED_VALUE"""),"Growth Summit")</f>
        <v>Growth Summit</v>
      </c>
      <c r="C101" s="49" t="str">
        <f>IFERROR(__xludf.DUMMYFUNCTION("""COMPUTED_VALUE"""),"Austin Kimm")</f>
        <v>Austin Kimm</v>
      </c>
      <c r="D101" s="49" t="str">
        <f>IFERROR(__xludf.DUMMYFUNCTION("""COMPUTED_VALUE"""),"2019/11/06 15:37:00")</f>
        <v>2019/11/06 15:37:00</v>
      </c>
      <c r="E101" s="49" t="str">
        <f>IFERROR(__xludf.DUMMYFUNCTION("""COMPUTED_VALUE"""),"2019/11/06 15:48:00")</f>
        <v>2019/11/06 15:48:00</v>
      </c>
      <c r="F101" s="49" t="str">
        <f>IFERROR(__xludf.DUMMYFUNCTION("""COMPUTED_VALUE"""),"bb7146b2-21a5-4834-9e0f-0eab92c628c9")</f>
        <v>bb7146b2-21a5-4834-9e0f-0eab92c628c9</v>
      </c>
      <c r="G101" s="52">
        <f>IFERROR(__xludf.DUMMYFUNCTION("""COMPUTED_VALUE"""),43775.0)</f>
        <v>43775</v>
      </c>
      <c r="H101" s="53">
        <f>IFERROR(__xludf.DUMMYFUNCTION("""COMPUTED_VALUE"""),0.6506944444444445)</f>
        <v>0.6506944444</v>
      </c>
      <c r="I101" s="52">
        <f>IFERROR(__xludf.DUMMYFUNCTION("""COMPUTED_VALUE"""),43775.0)</f>
        <v>43775</v>
      </c>
      <c r="J101" s="53">
        <f>IFERROR(__xludf.DUMMYFUNCTION("""COMPUTED_VALUE"""),0.6583333333333333)</f>
        <v>0.6583333333</v>
      </c>
      <c r="K101" s="53">
        <f t="shared" si="1"/>
        <v>0.007638888889</v>
      </c>
      <c r="L101" s="49" t="s">
        <v>585</v>
      </c>
      <c r="M101" s="49"/>
      <c r="N101" s="49"/>
      <c r="O101" s="48"/>
      <c r="P101" s="48"/>
      <c r="Q101" s="63"/>
      <c r="R101" s="49"/>
      <c r="S101" s="49"/>
      <c r="T101" s="49"/>
    </row>
    <row r="102">
      <c r="A102" s="49" t="str">
        <f>IFERROR(__xludf.DUMMYFUNCTION("""COMPUTED_VALUE"""),"Leading the way with tech and culture")</f>
        <v>Leading the way with tech and culture</v>
      </c>
      <c r="B102" s="49" t="str">
        <f>IFERROR(__xludf.DUMMYFUNCTION("""COMPUTED_VALUE"""),"Growth Summit")</f>
        <v>Growth Summit</v>
      </c>
      <c r="C102" s="49" t="str">
        <f>IFERROR(__xludf.DUMMYFUNCTION("""COMPUTED_VALUE"""),"Linn Tagesson")</f>
        <v>Linn Tagesson</v>
      </c>
      <c r="D102" s="49" t="str">
        <f>IFERROR(__xludf.DUMMYFUNCTION("""COMPUTED_VALUE"""),"2019/11/06 15:48:00")</f>
        <v>2019/11/06 15:48:00</v>
      </c>
      <c r="E102" s="49" t="str">
        <f>IFERROR(__xludf.DUMMYFUNCTION("""COMPUTED_VALUE"""),"2019/11/06 15:59:00")</f>
        <v>2019/11/06 15:59:00</v>
      </c>
      <c r="F102" s="49" t="str">
        <f>IFERROR(__xludf.DUMMYFUNCTION("""COMPUTED_VALUE"""),"a2c6bf02-513b-4797-8765-37ba76028819")</f>
        <v>a2c6bf02-513b-4797-8765-37ba76028819</v>
      </c>
      <c r="G102" s="52">
        <f>IFERROR(__xludf.DUMMYFUNCTION("""COMPUTED_VALUE"""),43775.0)</f>
        <v>43775</v>
      </c>
      <c r="H102" s="53">
        <f>IFERROR(__xludf.DUMMYFUNCTION("""COMPUTED_VALUE"""),0.6583333333333333)</f>
        <v>0.6583333333</v>
      </c>
      <c r="I102" s="52">
        <f>IFERROR(__xludf.DUMMYFUNCTION("""COMPUTED_VALUE"""),43775.0)</f>
        <v>43775</v>
      </c>
      <c r="J102" s="53">
        <f>IFERROR(__xludf.DUMMYFUNCTION("""COMPUTED_VALUE"""),0.6659722222222222)</f>
        <v>0.6659722222</v>
      </c>
      <c r="K102" s="53">
        <f t="shared" si="1"/>
        <v>0.007638888889</v>
      </c>
      <c r="L102" s="49" t="s">
        <v>585</v>
      </c>
      <c r="M102" s="49"/>
      <c r="N102" s="49"/>
      <c r="O102" s="48"/>
      <c r="P102" s="48"/>
      <c r="Q102" s="63"/>
      <c r="R102" s="49"/>
      <c r="S102" s="49"/>
      <c r="T102" s="49"/>
    </row>
    <row r="103">
      <c r="A103" s="49" t="str">
        <f>IFERROR(__xludf.DUMMYFUNCTION("""COMPUTED_VALUE"""),"How to build the ideal financial service")</f>
        <v>How to build the ideal financial service</v>
      </c>
      <c r="B103" s="49" t="str">
        <f>IFERROR(__xludf.DUMMYFUNCTION("""COMPUTED_VALUE"""),"Growth Summit")</f>
        <v>Growth Summit</v>
      </c>
      <c r="C103" s="49" t="str">
        <f>IFERROR(__xludf.DUMMYFUNCTION("""COMPUTED_VALUE"""),"Lupina Iturriaga")</f>
        <v>Lupina Iturriaga</v>
      </c>
      <c r="D103" s="49" t="str">
        <f>IFERROR(__xludf.DUMMYFUNCTION("""COMPUTED_VALUE"""),"2019/11/06 15:59:00")</f>
        <v>2019/11/06 15:59:00</v>
      </c>
      <c r="E103" s="49" t="str">
        <f>IFERROR(__xludf.DUMMYFUNCTION("""COMPUTED_VALUE"""),"2019/11/06 16:10:00")</f>
        <v>2019/11/06 16:10:00</v>
      </c>
      <c r="F103" s="49" t="str">
        <f>IFERROR(__xludf.DUMMYFUNCTION("""COMPUTED_VALUE"""),"d1d9d030-69c0-49a2-b352-bbfaee7547ca")</f>
        <v>d1d9d030-69c0-49a2-b352-bbfaee7547ca</v>
      </c>
      <c r="G103" s="52">
        <f>IFERROR(__xludf.DUMMYFUNCTION("""COMPUTED_VALUE"""),43775.0)</f>
        <v>43775</v>
      </c>
      <c r="H103" s="53">
        <f>IFERROR(__xludf.DUMMYFUNCTION("""COMPUTED_VALUE"""),0.6659722222222222)</f>
        <v>0.6659722222</v>
      </c>
      <c r="I103" s="52">
        <f>IFERROR(__xludf.DUMMYFUNCTION("""COMPUTED_VALUE"""),43775.0)</f>
        <v>43775</v>
      </c>
      <c r="J103" s="53">
        <f>IFERROR(__xludf.DUMMYFUNCTION("""COMPUTED_VALUE"""),0.6736111111111112)</f>
        <v>0.6736111111</v>
      </c>
      <c r="K103" s="53">
        <f t="shared" si="1"/>
        <v>0.007638888889</v>
      </c>
      <c r="L103" s="49" t="s">
        <v>585</v>
      </c>
      <c r="M103" s="49"/>
      <c r="N103" s="49"/>
      <c r="O103" s="48"/>
      <c r="P103" s="48"/>
      <c r="Q103" s="63"/>
      <c r="R103" s="49"/>
      <c r="S103" s="49"/>
      <c r="T103" s="49"/>
    </row>
    <row r="104">
      <c r="A104" s="49" t="str">
        <f>IFERROR(__xludf.DUMMYFUNCTION("""COMPUTED_VALUE"""),"The future of healthcare")</f>
        <v>The future of healthcare</v>
      </c>
      <c r="B104" s="49" t="str">
        <f>IFERROR(__xludf.DUMMYFUNCTION("""COMPUTED_VALUE"""),"Growth Summit")</f>
        <v>Growth Summit</v>
      </c>
      <c r="C104" s="49" t="str">
        <f>IFERROR(__xludf.DUMMYFUNCTION("""COMPUTED_VALUE"""),"Lisa Alderson")</f>
        <v>Lisa Alderson</v>
      </c>
      <c r="D104" s="49" t="str">
        <f>IFERROR(__xludf.DUMMYFUNCTION("""COMPUTED_VALUE"""),"2019/11/06 16:10:00")</f>
        <v>2019/11/06 16:10:00</v>
      </c>
      <c r="E104" s="49" t="str">
        <f>IFERROR(__xludf.DUMMYFUNCTION("""COMPUTED_VALUE"""),"2019/11/06 16:21:00")</f>
        <v>2019/11/06 16:21:00</v>
      </c>
      <c r="F104" s="49" t="str">
        <f>IFERROR(__xludf.DUMMYFUNCTION("""COMPUTED_VALUE"""),"1bdfa8ad-26d5-4ecc-816f-535f05a18a9f")</f>
        <v>1bdfa8ad-26d5-4ecc-816f-535f05a18a9f</v>
      </c>
      <c r="G104" s="52">
        <f>IFERROR(__xludf.DUMMYFUNCTION("""COMPUTED_VALUE"""),43775.0)</f>
        <v>43775</v>
      </c>
      <c r="H104" s="53">
        <f>IFERROR(__xludf.DUMMYFUNCTION("""COMPUTED_VALUE"""),0.6736111111111112)</f>
        <v>0.6736111111</v>
      </c>
      <c r="I104" s="52">
        <f>IFERROR(__xludf.DUMMYFUNCTION("""COMPUTED_VALUE"""),43775.0)</f>
        <v>43775</v>
      </c>
      <c r="J104" s="53">
        <f>IFERROR(__xludf.DUMMYFUNCTION("""COMPUTED_VALUE"""),0.68125)</f>
        <v>0.68125</v>
      </c>
      <c r="K104" s="53">
        <f t="shared" si="1"/>
        <v>0.007638888889</v>
      </c>
      <c r="L104" s="49" t="s">
        <v>585</v>
      </c>
      <c r="M104" s="49"/>
      <c r="N104" s="49"/>
      <c r="O104" s="48"/>
      <c r="P104" s="48"/>
      <c r="Q104" s="63"/>
      <c r="R104" s="49"/>
      <c r="S104" s="49"/>
      <c r="T104" s="49"/>
    </row>
    <row r="105">
      <c r="A105" s="49" t="str">
        <f>IFERROR(__xludf.DUMMYFUNCTION("""COMPUTED_VALUE"""),"The power of word of mouth is the power of your brand")</f>
        <v>The power of word of mouth is the power of your brand</v>
      </c>
      <c r="B105" s="49" t="str">
        <f>IFERROR(__xludf.DUMMYFUNCTION("""COMPUTED_VALUE"""),"Growth Summit")</f>
        <v>Growth Summit</v>
      </c>
      <c r="C105" s="49" t="str">
        <f>IFERROR(__xludf.DUMMYFUNCTION("""COMPUTED_VALUE"""),"John Wolanin")</f>
        <v>John Wolanin</v>
      </c>
      <c r="D105" s="49" t="str">
        <f>IFERROR(__xludf.DUMMYFUNCTION("""COMPUTED_VALUE"""),"2019/11/06 16:21:00")</f>
        <v>2019/11/06 16:21:00</v>
      </c>
      <c r="E105" s="49" t="str">
        <f>IFERROR(__xludf.DUMMYFUNCTION("""COMPUTED_VALUE"""),"2019/11/06 16:32:00")</f>
        <v>2019/11/06 16:32:00</v>
      </c>
      <c r="F105" s="49" t="str">
        <f>IFERROR(__xludf.DUMMYFUNCTION("""COMPUTED_VALUE"""),"70834900-2bad-4a70-ae6c-a864ab6339f1")</f>
        <v>70834900-2bad-4a70-ae6c-a864ab6339f1</v>
      </c>
      <c r="G105" s="52">
        <f>IFERROR(__xludf.DUMMYFUNCTION("""COMPUTED_VALUE"""),43775.0)</f>
        <v>43775</v>
      </c>
      <c r="H105" s="53">
        <f>IFERROR(__xludf.DUMMYFUNCTION("""COMPUTED_VALUE"""),0.68125)</f>
        <v>0.68125</v>
      </c>
      <c r="I105" s="52">
        <f>IFERROR(__xludf.DUMMYFUNCTION("""COMPUTED_VALUE"""),43775.0)</f>
        <v>43775</v>
      </c>
      <c r="J105" s="53">
        <f>IFERROR(__xludf.DUMMYFUNCTION("""COMPUTED_VALUE"""),0.6888888888888889)</f>
        <v>0.6888888889</v>
      </c>
      <c r="K105" s="53">
        <f t="shared" si="1"/>
        <v>0.007638888889</v>
      </c>
      <c r="L105" s="49" t="s">
        <v>585</v>
      </c>
      <c r="M105" s="49"/>
      <c r="N105" s="49"/>
      <c r="O105" s="48"/>
      <c r="P105" s="48"/>
      <c r="Q105" s="63"/>
      <c r="R105" s="49"/>
      <c r="S105" s="49"/>
      <c r="T105" s="49"/>
    </row>
    <row r="106">
      <c r="A106" s="49" t="str">
        <f>IFERROR(__xludf.DUMMYFUNCTION("""COMPUTED_VALUE"""),"Enabling a cultural movement to power your growth")</f>
        <v>Enabling a cultural movement to power your growth</v>
      </c>
      <c r="B106" s="49" t="str">
        <f>IFERROR(__xludf.DUMMYFUNCTION("""COMPUTED_VALUE"""),"Growth Summit")</f>
        <v>Growth Summit</v>
      </c>
      <c r="C106" s="49" t="str">
        <f>IFERROR(__xludf.DUMMYFUNCTION("""COMPUTED_VALUE"""),"Alexandra Zatarain")</f>
        <v>Alexandra Zatarain</v>
      </c>
      <c r="D106" s="49" t="str">
        <f>IFERROR(__xludf.DUMMYFUNCTION("""COMPUTED_VALUE"""),"2019/11/06 16:32:00")</f>
        <v>2019/11/06 16:32:00</v>
      </c>
      <c r="E106" s="49" t="str">
        <f>IFERROR(__xludf.DUMMYFUNCTION("""COMPUTED_VALUE"""),"2019/11/06 16:43:00")</f>
        <v>2019/11/06 16:43:00</v>
      </c>
      <c r="F106" s="49" t="str">
        <f>IFERROR(__xludf.DUMMYFUNCTION("""COMPUTED_VALUE"""),"d69b7afc-e3db-47cf-8c85-de0f7500cc4a")</f>
        <v>d69b7afc-e3db-47cf-8c85-de0f7500cc4a</v>
      </c>
      <c r="G106" s="52">
        <f>IFERROR(__xludf.DUMMYFUNCTION("""COMPUTED_VALUE"""),43775.0)</f>
        <v>43775</v>
      </c>
      <c r="H106" s="53">
        <f>IFERROR(__xludf.DUMMYFUNCTION("""COMPUTED_VALUE"""),0.6888888888888889)</f>
        <v>0.6888888889</v>
      </c>
      <c r="I106" s="52">
        <f>IFERROR(__xludf.DUMMYFUNCTION("""COMPUTED_VALUE"""),43775.0)</f>
        <v>43775</v>
      </c>
      <c r="J106" s="53">
        <f>IFERROR(__xludf.DUMMYFUNCTION("""COMPUTED_VALUE"""),0.6965277777777777)</f>
        <v>0.6965277778</v>
      </c>
      <c r="K106" s="53">
        <f t="shared" si="1"/>
        <v>0.007638888889</v>
      </c>
      <c r="L106" s="49" t="s">
        <v>585</v>
      </c>
      <c r="M106" s="49"/>
      <c r="N106" s="49"/>
      <c r="O106" s="48"/>
      <c r="P106" s="48"/>
      <c r="Q106" s="63"/>
      <c r="R106" s="49"/>
      <c r="S106" s="49"/>
      <c r="T106" s="49"/>
    </row>
    <row r="107">
      <c r="A107" s="49" t="str">
        <f>IFERROR(__xludf.DUMMYFUNCTION("""COMPUTED_VALUE"""),"Why neglecting culture may kill your business")</f>
        <v>Why neglecting culture may kill your business</v>
      </c>
      <c r="B107" s="49" t="str">
        <f>IFERROR(__xludf.DUMMYFUNCTION("""COMPUTED_VALUE"""),"Growth Summit")</f>
        <v>Growth Summit</v>
      </c>
      <c r="C107" s="49" t="str">
        <f>IFERROR(__xludf.DUMMYFUNCTION("""COMPUTED_VALUE"""),"Mathis Buechi")</f>
        <v>Mathis Buechi</v>
      </c>
      <c r="D107" s="49" t="str">
        <f>IFERROR(__xludf.DUMMYFUNCTION("""COMPUTED_VALUE"""),"2019/11/06 16:43:00")</f>
        <v>2019/11/06 16:43:00</v>
      </c>
      <c r="E107" s="49" t="str">
        <f>IFERROR(__xludf.DUMMYFUNCTION("""COMPUTED_VALUE"""),"2019/11/06 16:54:00")</f>
        <v>2019/11/06 16:54:00</v>
      </c>
      <c r="F107" s="49" t="str">
        <f>IFERROR(__xludf.DUMMYFUNCTION("""COMPUTED_VALUE"""),"35593f54-893a-4b38-bc50-0c1ff0a44dbb")</f>
        <v>35593f54-893a-4b38-bc50-0c1ff0a44dbb</v>
      </c>
      <c r="G107" s="52">
        <f>IFERROR(__xludf.DUMMYFUNCTION("""COMPUTED_VALUE"""),43775.0)</f>
        <v>43775</v>
      </c>
      <c r="H107" s="53">
        <f>IFERROR(__xludf.DUMMYFUNCTION("""COMPUTED_VALUE"""),0.6965277777777777)</f>
        <v>0.6965277778</v>
      </c>
      <c r="I107" s="52">
        <f>IFERROR(__xludf.DUMMYFUNCTION("""COMPUTED_VALUE"""),43775.0)</f>
        <v>43775</v>
      </c>
      <c r="J107" s="53">
        <f>IFERROR(__xludf.DUMMYFUNCTION("""COMPUTED_VALUE"""),0.7041666666666667)</f>
        <v>0.7041666667</v>
      </c>
      <c r="K107" s="53">
        <f t="shared" si="1"/>
        <v>0.007638888889</v>
      </c>
      <c r="L107" s="49" t="s">
        <v>585</v>
      </c>
      <c r="M107" s="49"/>
      <c r="N107" s="49"/>
      <c r="O107" s="48"/>
      <c r="P107" s="48"/>
      <c r="Q107" s="63"/>
      <c r="R107" s="49"/>
      <c r="S107" s="49"/>
      <c r="T107" s="49"/>
    </row>
    <row r="108">
      <c r="A108" s="49" t="str">
        <f>IFERROR(__xludf.DUMMYFUNCTION("""COMPUTED_VALUE"""),"Disrupting the disruptors with cloud management software")</f>
        <v>Disrupting the disruptors with cloud management software</v>
      </c>
      <c r="B108" s="49" t="str">
        <f>IFERROR(__xludf.DUMMYFUNCTION("""COMPUTED_VALUE"""),"Growth Summit")</f>
        <v>Growth Summit</v>
      </c>
      <c r="C108" s="49" t="str">
        <f>IFERROR(__xludf.DUMMYFUNCTION("""COMPUTED_VALUE"""),"Marcelo Lombardo")</f>
        <v>Marcelo Lombardo</v>
      </c>
      <c r="D108" s="49" t="str">
        <f>IFERROR(__xludf.DUMMYFUNCTION("""COMPUTED_VALUE"""),"2019/11/06 16:54:00")</f>
        <v>2019/11/06 16:54:00</v>
      </c>
      <c r="E108" s="49" t="str">
        <f>IFERROR(__xludf.DUMMYFUNCTION("""COMPUTED_VALUE"""),"2019/11/06 17:05:00")</f>
        <v>2019/11/06 17:05:00</v>
      </c>
      <c r="F108" s="49" t="str">
        <f>IFERROR(__xludf.DUMMYFUNCTION("""COMPUTED_VALUE"""),"9464265c-a6fa-45ac-b8f1-19a0d8722d0e")</f>
        <v>9464265c-a6fa-45ac-b8f1-19a0d8722d0e</v>
      </c>
      <c r="G108" s="52">
        <f>IFERROR(__xludf.DUMMYFUNCTION("""COMPUTED_VALUE"""),43775.0)</f>
        <v>43775</v>
      </c>
      <c r="H108" s="53">
        <f>IFERROR(__xludf.DUMMYFUNCTION("""COMPUTED_VALUE"""),0.7041666666666667)</f>
        <v>0.7041666667</v>
      </c>
      <c r="I108" s="52">
        <f>IFERROR(__xludf.DUMMYFUNCTION("""COMPUTED_VALUE"""),43775.0)</f>
        <v>43775</v>
      </c>
      <c r="J108" s="53">
        <f>IFERROR(__xludf.DUMMYFUNCTION("""COMPUTED_VALUE"""),0.7118055555555556)</f>
        <v>0.7118055556</v>
      </c>
      <c r="K108" s="53">
        <f t="shared" si="1"/>
        <v>0.007638888889</v>
      </c>
      <c r="L108" s="49" t="s">
        <v>585</v>
      </c>
      <c r="M108" s="49"/>
      <c r="N108" s="49"/>
      <c r="O108" s="48"/>
      <c r="P108" s="48"/>
      <c r="Q108" s="63"/>
      <c r="R108" s="49"/>
      <c r="S108" s="49"/>
      <c r="T108" s="49"/>
    </row>
    <row r="109">
      <c r="A109" s="49" t="str">
        <f>IFERROR(__xludf.DUMMYFUNCTION("""COMPUTED_VALUE"""),"Uncomfortable growth: be bold &amp; open to failure")</f>
        <v>Uncomfortable growth: be bold &amp; open to failure</v>
      </c>
      <c r="B109" s="49" t="str">
        <f>IFERROR(__xludf.DUMMYFUNCTION("""COMPUTED_VALUE"""),"Growth Summit")</f>
        <v>Growth Summit</v>
      </c>
      <c r="C109" s="49" t="str">
        <f>IFERROR(__xludf.DUMMYFUNCTION("""COMPUTED_VALUE"""),"Rodolphe Ardant")</f>
        <v>Rodolphe Ardant</v>
      </c>
      <c r="D109" s="49" t="str">
        <f>IFERROR(__xludf.DUMMYFUNCTION("""COMPUTED_VALUE"""),"2019/11/06 17:05:00")</f>
        <v>2019/11/06 17:05:00</v>
      </c>
      <c r="E109" s="49" t="str">
        <f>IFERROR(__xludf.DUMMYFUNCTION("""COMPUTED_VALUE"""),"2019/11/06 17:16:00")</f>
        <v>2019/11/06 17:16:00</v>
      </c>
      <c r="F109" s="49" t="str">
        <f>IFERROR(__xludf.DUMMYFUNCTION("""COMPUTED_VALUE"""),"d1c23f05-a6f5-4968-afa3-9c06be68267b")</f>
        <v>d1c23f05-a6f5-4968-afa3-9c06be68267b</v>
      </c>
      <c r="G109" s="52">
        <f>IFERROR(__xludf.DUMMYFUNCTION("""COMPUTED_VALUE"""),43775.0)</f>
        <v>43775</v>
      </c>
      <c r="H109" s="53">
        <f>IFERROR(__xludf.DUMMYFUNCTION("""COMPUTED_VALUE"""),0.7118055555555556)</f>
        <v>0.7118055556</v>
      </c>
      <c r="I109" s="52">
        <f>IFERROR(__xludf.DUMMYFUNCTION("""COMPUTED_VALUE"""),43775.0)</f>
        <v>43775</v>
      </c>
      <c r="J109" s="53">
        <f>IFERROR(__xludf.DUMMYFUNCTION("""COMPUTED_VALUE"""),0.7194444444444444)</f>
        <v>0.7194444444</v>
      </c>
      <c r="K109" s="53">
        <f t="shared" si="1"/>
        <v>0.007638888889</v>
      </c>
      <c r="L109" s="49" t="s">
        <v>585</v>
      </c>
      <c r="M109" s="49"/>
      <c r="N109" s="49"/>
      <c r="O109" s="48"/>
      <c r="P109" s="48"/>
      <c r="Q109" s="63"/>
      <c r="R109" s="49"/>
      <c r="S109" s="49"/>
      <c r="T109" s="49"/>
    </row>
    <row r="110">
      <c r="A110" s="49" t="str">
        <f>IFERROR(__xludf.DUMMYFUNCTION("""COMPUTED_VALUE"""),"Opening remarks")</f>
        <v>Opening remarks</v>
      </c>
      <c r="B110" s="49" t="str">
        <f>IFERROR(__xludf.DUMMYFUNCTION("""COMPUTED_VALUE"""),"Growth Summit")</f>
        <v>Growth Summit</v>
      </c>
      <c r="C110" s="49" t="str">
        <f>IFERROR(__xludf.DUMMYFUNCTION("""COMPUTED_VALUE"""),"Dimple Mukherjee")</f>
        <v>Dimple Mukherjee</v>
      </c>
      <c r="D110" s="49" t="str">
        <f>IFERROR(__xludf.DUMMYFUNCTION("""COMPUTED_VALUE"""),"2019/11/07 10:00:00")</f>
        <v>2019/11/07 10:00:00</v>
      </c>
      <c r="E110" s="49" t="str">
        <f>IFERROR(__xludf.DUMMYFUNCTION("""COMPUTED_VALUE"""),"2019/11/07 10:02:00")</f>
        <v>2019/11/07 10:02:00</v>
      </c>
      <c r="F110" s="49" t="str">
        <f>IFERROR(__xludf.DUMMYFUNCTION("""COMPUTED_VALUE"""),"151d8ffb-af8d-4311-899d-10933c20dc6b")</f>
        <v>151d8ffb-af8d-4311-899d-10933c20dc6b</v>
      </c>
      <c r="G110" s="52">
        <f>IFERROR(__xludf.DUMMYFUNCTION("""COMPUTED_VALUE"""),43776.0)</f>
        <v>43776</v>
      </c>
      <c r="H110" s="53">
        <f>IFERROR(__xludf.DUMMYFUNCTION("""COMPUTED_VALUE"""),0.4166666666666667)</f>
        <v>0.4166666667</v>
      </c>
      <c r="I110" s="52">
        <f>IFERROR(__xludf.DUMMYFUNCTION("""COMPUTED_VALUE"""),43776.0)</f>
        <v>43776</v>
      </c>
      <c r="J110" s="53">
        <f>IFERROR(__xludf.DUMMYFUNCTION("""COMPUTED_VALUE"""),0.41805555555555557)</f>
        <v>0.4180555556</v>
      </c>
      <c r="K110" s="53">
        <f t="shared" si="1"/>
        <v>0.001388888889</v>
      </c>
      <c r="L110" s="49" t="s">
        <v>584</v>
      </c>
      <c r="M110" s="49"/>
      <c r="N110" s="49"/>
      <c r="O110" s="48"/>
      <c r="P110" s="48"/>
      <c r="Q110" s="63"/>
      <c r="R110" s="49"/>
      <c r="S110" s="49"/>
      <c r="T110" s="49"/>
    </row>
    <row r="111">
      <c r="A111" s="49" t="str">
        <f>IFERROR(__xludf.DUMMYFUNCTION("""COMPUTED_VALUE"""),"Influencer marketing: Lessons learned")</f>
        <v>Influencer marketing: Lessons learned</v>
      </c>
      <c r="B111" s="49" t="str">
        <f>IFERROR(__xludf.DUMMYFUNCTION("""COMPUTED_VALUE"""),"Growth Summit")</f>
        <v>Growth Summit</v>
      </c>
      <c r="C111" s="49" t="str">
        <f>IFERROR(__xludf.DUMMYFUNCTION("""COMPUTED_VALUE"""),"Juan Luis Rico")</f>
        <v>Juan Luis Rico</v>
      </c>
      <c r="D111" s="49" t="str">
        <f>IFERROR(__xludf.DUMMYFUNCTION("""COMPUTED_VALUE"""),"2019/11/07 10:02:00")</f>
        <v>2019/11/07 10:02:00</v>
      </c>
      <c r="E111" s="49" t="str">
        <f>IFERROR(__xludf.DUMMYFUNCTION("""COMPUTED_VALUE"""),"2019/11/07 10:06:00")</f>
        <v>2019/11/07 10:06:00</v>
      </c>
      <c r="F111" s="49" t="str">
        <f>IFERROR(__xludf.DUMMYFUNCTION("""COMPUTED_VALUE"""),"3cdb2945-e926-46ce-b334-6ec3f75ccd87")</f>
        <v>3cdb2945-e926-46ce-b334-6ec3f75ccd87</v>
      </c>
      <c r="G111" s="52">
        <f>IFERROR(__xludf.DUMMYFUNCTION("""COMPUTED_VALUE"""),43776.0)</f>
        <v>43776</v>
      </c>
      <c r="H111" s="53">
        <f>IFERROR(__xludf.DUMMYFUNCTION("""COMPUTED_VALUE"""),0.41805555555555557)</f>
        <v>0.4180555556</v>
      </c>
      <c r="I111" s="52">
        <f>IFERROR(__xludf.DUMMYFUNCTION("""COMPUTED_VALUE"""),43776.0)</f>
        <v>43776</v>
      </c>
      <c r="J111" s="53">
        <f>IFERROR(__xludf.DUMMYFUNCTION("""COMPUTED_VALUE"""),0.42083333333333334)</f>
        <v>0.4208333333</v>
      </c>
      <c r="K111" s="53">
        <f t="shared" si="1"/>
        <v>0.002777777778</v>
      </c>
      <c r="L111" s="49" t="s">
        <v>583</v>
      </c>
      <c r="M111" s="49"/>
      <c r="N111" s="49"/>
      <c r="O111" s="48"/>
      <c r="P111" s="48"/>
      <c r="Q111" s="63"/>
      <c r="R111" s="49"/>
      <c r="S111" s="49"/>
      <c r="T111" s="49"/>
    </row>
    <row r="112">
      <c r="A112" s="49" t="str">
        <f>IFERROR(__xludf.DUMMYFUNCTION("""COMPUTED_VALUE"""),"What if your startup was a body?")</f>
        <v>What if your startup was a body?</v>
      </c>
      <c r="B112" s="49" t="str">
        <f>IFERROR(__xludf.DUMMYFUNCTION("""COMPUTED_VALUE"""),"Growth Summit")</f>
        <v>Growth Summit</v>
      </c>
      <c r="C112" s="49" t="str">
        <f>IFERROR(__xludf.DUMMYFUNCTION("""COMPUTED_VALUE"""),"Federico Mattia Dolci")</f>
        <v>Federico Mattia Dolci</v>
      </c>
      <c r="D112" s="49" t="str">
        <f>IFERROR(__xludf.DUMMYFUNCTION("""COMPUTED_VALUE"""),"2019/11/07 10:06:00")</f>
        <v>2019/11/07 10:06:00</v>
      </c>
      <c r="E112" s="49" t="str">
        <f>IFERROR(__xludf.DUMMYFUNCTION("""COMPUTED_VALUE"""),"2019/11/07 10:10:00")</f>
        <v>2019/11/07 10:10:00</v>
      </c>
      <c r="F112" s="49" t="str">
        <f>IFERROR(__xludf.DUMMYFUNCTION("""COMPUTED_VALUE"""),"eda7e768-0a8a-48b1-b7a8-86121c08f575")</f>
        <v>eda7e768-0a8a-48b1-b7a8-86121c08f575</v>
      </c>
      <c r="G112" s="52">
        <f>IFERROR(__xludf.DUMMYFUNCTION("""COMPUTED_VALUE"""),43776.0)</f>
        <v>43776</v>
      </c>
      <c r="H112" s="53">
        <f>IFERROR(__xludf.DUMMYFUNCTION("""COMPUTED_VALUE"""),0.42083333333333334)</f>
        <v>0.4208333333</v>
      </c>
      <c r="I112" s="52">
        <f>IFERROR(__xludf.DUMMYFUNCTION("""COMPUTED_VALUE"""),43776.0)</f>
        <v>43776</v>
      </c>
      <c r="J112" s="53">
        <f>IFERROR(__xludf.DUMMYFUNCTION("""COMPUTED_VALUE"""),0.4236111111111111)</f>
        <v>0.4236111111</v>
      </c>
      <c r="K112" s="53">
        <f t="shared" si="1"/>
        <v>0.002777777778</v>
      </c>
      <c r="L112" s="49" t="s">
        <v>583</v>
      </c>
      <c r="M112" s="49"/>
      <c r="N112" s="49"/>
      <c r="O112" s="48"/>
      <c r="P112" s="48"/>
      <c r="Q112" s="63"/>
      <c r="R112" s="49"/>
      <c r="S112" s="49"/>
      <c r="T112" s="49"/>
    </row>
    <row r="113">
      <c r="A113" s="49" t="str">
        <f>IFERROR(__xludf.DUMMYFUNCTION("""COMPUTED_VALUE"""),"Adjusting communication to grow an online business")</f>
        <v>Adjusting communication to grow an online business</v>
      </c>
      <c r="B113" s="49" t="str">
        <f>IFERROR(__xludf.DUMMYFUNCTION("""COMPUTED_VALUE"""),"Growth Summit")</f>
        <v>Growth Summit</v>
      </c>
      <c r="C113" s="49" t="str">
        <f>IFERROR(__xludf.DUMMYFUNCTION("""COMPUTED_VALUE"""),"Mike Korba")</f>
        <v>Mike Korba</v>
      </c>
      <c r="D113" s="49" t="str">
        <f>IFERROR(__xludf.DUMMYFUNCTION("""COMPUTED_VALUE"""),"2019/11/07 10:10:00")</f>
        <v>2019/11/07 10:10:00</v>
      </c>
      <c r="E113" s="49" t="str">
        <f>IFERROR(__xludf.DUMMYFUNCTION("""COMPUTED_VALUE"""),"2019/11/07 10:14:00")</f>
        <v>2019/11/07 10:14:00</v>
      </c>
      <c r="F113" s="49" t="str">
        <f>IFERROR(__xludf.DUMMYFUNCTION("""COMPUTED_VALUE"""),"52c21009-658c-4a74-89a4-f78368887196")</f>
        <v>52c21009-658c-4a74-89a4-f78368887196</v>
      </c>
      <c r="G113" s="52">
        <f>IFERROR(__xludf.DUMMYFUNCTION("""COMPUTED_VALUE"""),43776.0)</f>
        <v>43776</v>
      </c>
      <c r="H113" s="53">
        <f>IFERROR(__xludf.DUMMYFUNCTION("""COMPUTED_VALUE"""),0.4236111111111111)</f>
        <v>0.4236111111</v>
      </c>
      <c r="I113" s="52">
        <f>IFERROR(__xludf.DUMMYFUNCTION("""COMPUTED_VALUE"""),43776.0)</f>
        <v>43776</v>
      </c>
      <c r="J113" s="53">
        <f>IFERROR(__xludf.DUMMYFUNCTION("""COMPUTED_VALUE"""),0.4263888888888889)</f>
        <v>0.4263888889</v>
      </c>
      <c r="K113" s="53">
        <f t="shared" si="1"/>
        <v>0.002777777778</v>
      </c>
      <c r="L113" s="49" t="s">
        <v>583</v>
      </c>
      <c r="M113" s="49"/>
      <c r="N113" s="49"/>
      <c r="O113" s="48"/>
      <c r="P113" s="48"/>
      <c r="Q113" s="63"/>
      <c r="R113" s="49"/>
      <c r="S113" s="49"/>
      <c r="T113" s="49"/>
    </row>
    <row r="114">
      <c r="A114" s="49" t="str">
        <f>IFERROR(__xludf.DUMMYFUNCTION("""COMPUTED_VALUE"""),"Potential to exponential: The secret to hyper-growth")</f>
        <v>Potential to exponential: The secret to hyper-growth</v>
      </c>
      <c r="B114" s="49" t="str">
        <f>IFERROR(__xludf.DUMMYFUNCTION("""COMPUTED_VALUE"""),"Growth Summit")</f>
        <v>Growth Summit</v>
      </c>
      <c r="C114" s="49" t="str">
        <f>IFERROR(__xludf.DUMMYFUNCTION("""COMPUTED_VALUE"""),"Luis Roque")</f>
        <v>Luis Roque</v>
      </c>
      <c r="D114" s="49" t="str">
        <f>IFERROR(__xludf.DUMMYFUNCTION("""COMPUTED_VALUE"""),"2019/11/07 10:14:00")</f>
        <v>2019/11/07 10:14:00</v>
      </c>
      <c r="E114" s="49" t="str">
        <f>IFERROR(__xludf.DUMMYFUNCTION("""COMPUTED_VALUE"""),"2019/11/07 10:18:00")</f>
        <v>2019/11/07 10:18:00</v>
      </c>
      <c r="F114" s="49" t="str">
        <f>IFERROR(__xludf.DUMMYFUNCTION("""COMPUTED_VALUE"""),"cbf63279-db91-4e5e-8090-8d29237582e1")</f>
        <v>cbf63279-db91-4e5e-8090-8d29237582e1</v>
      </c>
      <c r="G114" s="52">
        <f>IFERROR(__xludf.DUMMYFUNCTION("""COMPUTED_VALUE"""),43776.0)</f>
        <v>43776</v>
      </c>
      <c r="H114" s="53">
        <f>IFERROR(__xludf.DUMMYFUNCTION("""COMPUTED_VALUE"""),0.4263888888888889)</f>
        <v>0.4263888889</v>
      </c>
      <c r="I114" s="52">
        <f>IFERROR(__xludf.DUMMYFUNCTION("""COMPUTED_VALUE"""),43776.0)</f>
        <v>43776</v>
      </c>
      <c r="J114" s="53">
        <f>IFERROR(__xludf.DUMMYFUNCTION("""COMPUTED_VALUE"""),0.42916666666666664)</f>
        <v>0.4291666667</v>
      </c>
      <c r="K114" s="53">
        <f t="shared" si="1"/>
        <v>0.002777777778</v>
      </c>
      <c r="L114" s="49" t="s">
        <v>583</v>
      </c>
      <c r="M114" s="49"/>
      <c r="N114" s="49"/>
      <c r="O114" s="48"/>
      <c r="P114" s="48"/>
      <c r="Q114" s="63"/>
      <c r="R114" s="49"/>
      <c r="S114" s="49"/>
      <c r="T114" s="49"/>
    </row>
    <row r="115">
      <c r="A115" s="49" t="str">
        <f>IFERROR(__xludf.DUMMYFUNCTION("""COMPUTED_VALUE"""),"Boost growth and innovate your business model")</f>
        <v>Boost growth and innovate your business model</v>
      </c>
      <c r="B115" s="49" t="str">
        <f>IFERROR(__xludf.DUMMYFUNCTION("""COMPUTED_VALUE"""),"Growth Summit")</f>
        <v>Growth Summit</v>
      </c>
      <c r="C115" s="49" t="str">
        <f>IFERROR(__xludf.DUMMYFUNCTION("""COMPUTED_VALUE"""),"Benny Willen")</f>
        <v>Benny Willen</v>
      </c>
      <c r="D115" s="49" t="str">
        <f>IFERROR(__xludf.DUMMYFUNCTION("""COMPUTED_VALUE"""),"2019/11/07 10:22:00")</f>
        <v>2019/11/07 10:22:00</v>
      </c>
      <c r="E115" s="49" t="str">
        <f>IFERROR(__xludf.DUMMYFUNCTION("""COMPUTED_VALUE"""),"2019/11/07 10:26:00")</f>
        <v>2019/11/07 10:26:00</v>
      </c>
      <c r="F115" s="49" t="str">
        <f>IFERROR(__xludf.DUMMYFUNCTION("""COMPUTED_VALUE"""),"50311110-4e76-4b9a-a17a-6b0f6f4e9b40")</f>
        <v>50311110-4e76-4b9a-a17a-6b0f6f4e9b40</v>
      </c>
      <c r="G115" s="52">
        <f>IFERROR(__xludf.DUMMYFUNCTION("""COMPUTED_VALUE"""),43776.0)</f>
        <v>43776</v>
      </c>
      <c r="H115" s="53">
        <f>IFERROR(__xludf.DUMMYFUNCTION("""COMPUTED_VALUE"""),0.43194444444444446)</f>
        <v>0.4319444444</v>
      </c>
      <c r="I115" s="52">
        <f>IFERROR(__xludf.DUMMYFUNCTION("""COMPUTED_VALUE"""),43776.0)</f>
        <v>43776</v>
      </c>
      <c r="J115" s="53">
        <f>IFERROR(__xludf.DUMMYFUNCTION("""COMPUTED_VALUE"""),0.43472222222222223)</f>
        <v>0.4347222222</v>
      </c>
      <c r="K115" s="53">
        <f t="shared" si="1"/>
        <v>0.002777777778</v>
      </c>
      <c r="L115" s="49" t="s">
        <v>583</v>
      </c>
      <c r="M115" s="49"/>
      <c r="N115" s="49"/>
      <c r="O115" s="48"/>
      <c r="P115" s="48"/>
      <c r="Q115" s="63"/>
      <c r="R115" s="49"/>
      <c r="S115" s="49"/>
      <c r="T115" s="49"/>
    </row>
    <row r="116">
      <c r="A116" s="49" t="str">
        <f>IFERROR(__xludf.DUMMYFUNCTION("""COMPUTED_VALUE"""),"The future of team collaboration apps")</f>
        <v>The future of team collaboration apps</v>
      </c>
      <c r="B116" s="49" t="str">
        <f>IFERROR(__xludf.DUMMYFUNCTION("""COMPUTED_VALUE"""),"Growth Summit")</f>
        <v>Growth Summit</v>
      </c>
      <c r="C116" s="49" t="str">
        <f>IFERROR(__xludf.DUMMYFUNCTION("""COMPUTED_VALUE"""),"Josh Lee")</f>
        <v>Josh Lee</v>
      </c>
      <c r="D116" s="49" t="str">
        <f>IFERROR(__xludf.DUMMYFUNCTION("""COMPUTED_VALUE"""),"2019/11/07 10:26:00")</f>
        <v>2019/11/07 10:26:00</v>
      </c>
      <c r="E116" s="49" t="str">
        <f>IFERROR(__xludf.DUMMYFUNCTION("""COMPUTED_VALUE"""),"2019/11/07 10:30:00")</f>
        <v>2019/11/07 10:30:00</v>
      </c>
      <c r="F116" s="49" t="str">
        <f>IFERROR(__xludf.DUMMYFUNCTION("""COMPUTED_VALUE"""),"3c24aa5b-3736-4f49-a095-a87f3fcd7426")</f>
        <v>3c24aa5b-3736-4f49-a095-a87f3fcd7426</v>
      </c>
      <c r="G116" s="52">
        <f>IFERROR(__xludf.DUMMYFUNCTION("""COMPUTED_VALUE"""),43776.0)</f>
        <v>43776</v>
      </c>
      <c r="H116" s="53">
        <f>IFERROR(__xludf.DUMMYFUNCTION("""COMPUTED_VALUE"""),0.43472222222222223)</f>
        <v>0.4347222222</v>
      </c>
      <c r="I116" s="52">
        <f>IFERROR(__xludf.DUMMYFUNCTION("""COMPUTED_VALUE"""),43776.0)</f>
        <v>43776</v>
      </c>
      <c r="J116" s="53">
        <f>IFERROR(__xludf.DUMMYFUNCTION("""COMPUTED_VALUE"""),0.4375)</f>
        <v>0.4375</v>
      </c>
      <c r="K116" s="53">
        <f t="shared" si="1"/>
        <v>0.002777777778</v>
      </c>
      <c r="L116" s="49" t="s">
        <v>583</v>
      </c>
      <c r="M116" s="49"/>
      <c r="N116" s="49"/>
      <c r="O116" s="48"/>
      <c r="P116" s="48"/>
      <c r="Q116" s="63"/>
      <c r="R116" s="49"/>
      <c r="S116" s="49"/>
      <c r="T116" s="49"/>
    </row>
    <row r="117">
      <c r="A117" s="49" t="str">
        <f>IFERROR(__xludf.DUMMYFUNCTION("""COMPUTED_VALUE"""),"From quitting my job to raising a Series A")</f>
        <v>From quitting my job to raising a Series A</v>
      </c>
      <c r="B117" s="49" t="str">
        <f>IFERROR(__xludf.DUMMYFUNCTION("""COMPUTED_VALUE"""),"Growth Summit")</f>
        <v>Growth Summit</v>
      </c>
      <c r="C117" s="49" t="str">
        <f>IFERROR(__xludf.DUMMYFUNCTION("""COMPUTED_VALUE"""),"Franz Dörr")</f>
        <v>Franz Dörr</v>
      </c>
      <c r="D117" s="49" t="str">
        <f>IFERROR(__xludf.DUMMYFUNCTION("""COMPUTED_VALUE"""),"2019/11/07 10:30:00")</f>
        <v>2019/11/07 10:30:00</v>
      </c>
      <c r="E117" s="49" t="str">
        <f>IFERROR(__xludf.DUMMYFUNCTION("""COMPUTED_VALUE"""),"2019/11/07 10:34:00")</f>
        <v>2019/11/07 10:34:00</v>
      </c>
      <c r="F117" s="49" t="str">
        <f>IFERROR(__xludf.DUMMYFUNCTION("""COMPUTED_VALUE"""),"19946a2a-d83b-4e81-8649-f59d10791e8b")</f>
        <v>19946a2a-d83b-4e81-8649-f59d10791e8b</v>
      </c>
      <c r="G117" s="52">
        <f>IFERROR(__xludf.DUMMYFUNCTION("""COMPUTED_VALUE"""),43776.0)</f>
        <v>43776</v>
      </c>
      <c r="H117" s="53">
        <f>IFERROR(__xludf.DUMMYFUNCTION("""COMPUTED_VALUE"""),0.4375)</f>
        <v>0.4375</v>
      </c>
      <c r="I117" s="52">
        <f>IFERROR(__xludf.DUMMYFUNCTION("""COMPUTED_VALUE"""),43776.0)</f>
        <v>43776</v>
      </c>
      <c r="J117" s="53">
        <f>IFERROR(__xludf.DUMMYFUNCTION("""COMPUTED_VALUE"""),0.44027777777777777)</f>
        <v>0.4402777778</v>
      </c>
      <c r="K117" s="53">
        <f t="shared" si="1"/>
        <v>0.002777777778</v>
      </c>
      <c r="L117" s="49" t="s">
        <v>583</v>
      </c>
      <c r="M117" s="49"/>
      <c r="N117" s="49"/>
      <c r="O117" s="48"/>
      <c r="P117" s="48"/>
      <c r="Q117" s="63"/>
      <c r="R117" s="49"/>
      <c r="S117" s="49"/>
      <c r="T117" s="49"/>
    </row>
    <row r="118">
      <c r="A118" s="49" t="str">
        <f>IFERROR(__xludf.DUMMYFUNCTION("""COMPUTED_VALUE"""),"Going global")</f>
        <v>Going global</v>
      </c>
      <c r="B118" s="49" t="str">
        <f>IFERROR(__xludf.DUMMYFUNCTION("""COMPUTED_VALUE"""),"Growth Summit")</f>
        <v>Growth Summit</v>
      </c>
      <c r="C118" s="49" t="str">
        <f>IFERROR(__xludf.DUMMYFUNCTION("""COMPUTED_VALUE"""),"Paul Coggins")</f>
        <v>Paul Coggins</v>
      </c>
      <c r="D118" s="49" t="str">
        <f>IFERROR(__xludf.DUMMYFUNCTION("""COMPUTED_VALUE"""),"2019/11/07 10:34:00")</f>
        <v>2019/11/07 10:34:00</v>
      </c>
      <c r="E118" s="49" t="str">
        <f>IFERROR(__xludf.DUMMYFUNCTION("""COMPUTED_VALUE"""),"2019/11/07 10:38:00")</f>
        <v>2019/11/07 10:38:00</v>
      </c>
      <c r="F118" s="49" t="str">
        <f>IFERROR(__xludf.DUMMYFUNCTION("""COMPUTED_VALUE"""),"96b9f7e2-775d-408a-a509-3b78d464126f")</f>
        <v>96b9f7e2-775d-408a-a509-3b78d464126f</v>
      </c>
      <c r="G118" s="52">
        <f>IFERROR(__xludf.DUMMYFUNCTION("""COMPUTED_VALUE"""),43776.0)</f>
        <v>43776</v>
      </c>
      <c r="H118" s="53">
        <f>IFERROR(__xludf.DUMMYFUNCTION("""COMPUTED_VALUE"""),0.44027777777777777)</f>
        <v>0.4402777778</v>
      </c>
      <c r="I118" s="52">
        <f>IFERROR(__xludf.DUMMYFUNCTION("""COMPUTED_VALUE"""),43776.0)</f>
        <v>43776</v>
      </c>
      <c r="J118" s="53">
        <f>IFERROR(__xludf.DUMMYFUNCTION("""COMPUTED_VALUE"""),0.44305555555555554)</f>
        <v>0.4430555556</v>
      </c>
      <c r="K118" s="53">
        <f t="shared" si="1"/>
        <v>0.002777777778</v>
      </c>
      <c r="L118" s="49" t="s">
        <v>583</v>
      </c>
      <c r="M118" s="49"/>
      <c r="N118" s="49"/>
      <c r="O118" s="48"/>
      <c r="P118" s="48"/>
      <c r="Q118" s="63"/>
      <c r="R118" s="49"/>
      <c r="S118" s="49"/>
      <c r="T118" s="49"/>
    </row>
    <row r="119">
      <c r="A119" s="49" t="str">
        <f>IFERROR(__xludf.DUMMYFUNCTION("""COMPUTED_VALUE"""),"The combined impact of blockchain and AI")</f>
        <v>The combined impact of blockchain and AI</v>
      </c>
      <c r="B119" s="49" t="str">
        <f>IFERROR(__xludf.DUMMYFUNCTION("""COMPUTED_VALUE"""),"Growth Summit")</f>
        <v>Growth Summit</v>
      </c>
      <c r="C119" s="49" t="str">
        <f>IFERROR(__xludf.DUMMYFUNCTION("""COMPUTED_VALUE"""),"Mark Arthur")</f>
        <v>Mark Arthur</v>
      </c>
      <c r="D119" s="49" t="str">
        <f>IFERROR(__xludf.DUMMYFUNCTION("""COMPUTED_VALUE"""),"2019/11/07 10:38:00")</f>
        <v>2019/11/07 10:38:00</v>
      </c>
      <c r="E119" s="49" t="str">
        <f>IFERROR(__xludf.DUMMYFUNCTION("""COMPUTED_VALUE"""),"2019/11/07 10:42:00")</f>
        <v>2019/11/07 10:42:00</v>
      </c>
      <c r="F119" s="49" t="str">
        <f>IFERROR(__xludf.DUMMYFUNCTION("""COMPUTED_VALUE"""),"06bcbbe0-4efd-4675-8228-9969940fffa1")</f>
        <v>06bcbbe0-4efd-4675-8228-9969940fffa1</v>
      </c>
      <c r="G119" s="52">
        <f>IFERROR(__xludf.DUMMYFUNCTION("""COMPUTED_VALUE"""),43776.0)</f>
        <v>43776</v>
      </c>
      <c r="H119" s="53">
        <f>IFERROR(__xludf.DUMMYFUNCTION("""COMPUTED_VALUE"""),0.44305555555555554)</f>
        <v>0.4430555556</v>
      </c>
      <c r="I119" s="52">
        <f>IFERROR(__xludf.DUMMYFUNCTION("""COMPUTED_VALUE"""),43776.0)</f>
        <v>43776</v>
      </c>
      <c r="J119" s="53">
        <f>IFERROR(__xludf.DUMMYFUNCTION("""COMPUTED_VALUE"""),0.44583333333333336)</f>
        <v>0.4458333333</v>
      </c>
      <c r="K119" s="53">
        <f t="shared" si="1"/>
        <v>0.002777777778</v>
      </c>
      <c r="L119" s="49" t="s">
        <v>583</v>
      </c>
      <c r="M119" s="49"/>
      <c r="N119" s="49"/>
      <c r="O119" s="48"/>
      <c r="P119" s="48"/>
      <c r="Q119" s="63"/>
      <c r="R119" s="49"/>
      <c r="S119" s="49"/>
      <c r="T119" s="49"/>
    </row>
    <row r="120">
      <c r="A120" s="49" t="str">
        <f>IFERROR(__xludf.DUMMYFUNCTION("""COMPUTED_VALUE"""),"It's rarely sunny in CEO land")</f>
        <v>It's rarely sunny in CEO land</v>
      </c>
      <c r="B120" s="49" t="str">
        <f>IFERROR(__xludf.DUMMYFUNCTION("""COMPUTED_VALUE"""),"Growth Summit")</f>
        <v>Growth Summit</v>
      </c>
      <c r="C120" s="49" t="str">
        <f>IFERROR(__xludf.DUMMYFUNCTION("""COMPUTED_VALUE"""),"Amit Rai")</f>
        <v>Amit Rai</v>
      </c>
      <c r="D120" s="49" t="str">
        <f>IFERROR(__xludf.DUMMYFUNCTION("""COMPUTED_VALUE"""),"2019/11/07 10:42:00")</f>
        <v>2019/11/07 10:42:00</v>
      </c>
      <c r="E120" s="49" t="str">
        <f>IFERROR(__xludf.DUMMYFUNCTION("""COMPUTED_VALUE"""),"2019/11/07 10:46:00")</f>
        <v>2019/11/07 10:46:00</v>
      </c>
      <c r="F120" s="49" t="str">
        <f>IFERROR(__xludf.DUMMYFUNCTION("""COMPUTED_VALUE"""),"c875d00e-4728-4829-ab8d-5b8028022bbd")</f>
        <v>c875d00e-4728-4829-ab8d-5b8028022bbd</v>
      </c>
      <c r="G120" s="52">
        <f>IFERROR(__xludf.DUMMYFUNCTION("""COMPUTED_VALUE"""),43776.0)</f>
        <v>43776</v>
      </c>
      <c r="H120" s="53">
        <f>IFERROR(__xludf.DUMMYFUNCTION("""COMPUTED_VALUE"""),0.44583333333333336)</f>
        <v>0.4458333333</v>
      </c>
      <c r="I120" s="52">
        <f>IFERROR(__xludf.DUMMYFUNCTION("""COMPUTED_VALUE"""),43776.0)</f>
        <v>43776</v>
      </c>
      <c r="J120" s="53">
        <f>IFERROR(__xludf.DUMMYFUNCTION("""COMPUTED_VALUE"""),0.4486111111111111)</f>
        <v>0.4486111111</v>
      </c>
      <c r="K120" s="53">
        <f t="shared" si="1"/>
        <v>0.002777777778</v>
      </c>
      <c r="L120" s="49" t="s">
        <v>583</v>
      </c>
      <c r="M120" s="49"/>
      <c r="N120" s="49"/>
      <c r="O120" s="48"/>
      <c r="P120" s="48"/>
      <c r="Q120" s="63"/>
      <c r="R120" s="49"/>
      <c r="S120" s="49"/>
      <c r="T120" s="49"/>
    </row>
    <row r="121">
      <c r="A121" s="49" t="str">
        <f>IFERROR(__xludf.DUMMYFUNCTION("""COMPUTED_VALUE"""),"Running a people-oriented business remotely")</f>
        <v>Running a people-oriented business remotely</v>
      </c>
      <c r="B121" s="49" t="str">
        <f>IFERROR(__xludf.DUMMYFUNCTION("""COMPUTED_VALUE"""),"Growth Summit")</f>
        <v>Growth Summit</v>
      </c>
      <c r="C121" s="49" t="str">
        <f>IFERROR(__xludf.DUMMYFUNCTION("""COMPUTED_VALUE"""),"Mikhail Marchenko")</f>
        <v>Mikhail Marchenko</v>
      </c>
      <c r="D121" s="49" t="str">
        <f>IFERROR(__xludf.DUMMYFUNCTION("""COMPUTED_VALUE"""),"2019/11/07 10:46:00")</f>
        <v>2019/11/07 10:46:00</v>
      </c>
      <c r="E121" s="49" t="str">
        <f>IFERROR(__xludf.DUMMYFUNCTION("""COMPUTED_VALUE"""),"2019/11/07 10:50:00")</f>
        <v>2019/11/07 10:50:00</v>
      </c>
      <c r="F121" s="49" t="str">
        <f>IFERROR(__xludf.DUMMYFUNCTION("""COMPUTED_VALUE"""),"a6892abc-301c-4767-8da3-470b3a5543cc")</f>
        <v>a6892abc-301c-4767-8da3-470b3a5543cc</v>
      </c>
      <c r="G121" s="52">
        <f>IFERROR(__xludf.DUMMYFUNCTION("""COMPUTED_VALUE"""),43776.0)</f>
        <v>43776</v>
      </c>
      <c r="H121" s="53">
        <f>IFERROR(__xludf.DUMMYFUNCTION("""COMPUTED_VALUE"""),0.4486111111111111)</f>
        <v>0.4486111111</v>
      </c>
      <c r="I121" s="52">
        <f>IFERROR(__xludf.DUMMYFUNCTION("""COMPUTED_VALUE"""),43776.0)</f>
        <v>43776</v>
      </c>
      <c r="J121" s="53">
        <f>IFERROR(__xludf.DUMMYFUNCTION("""COMPUTED_VALUE"""),0.4513888888888889)</f>
        <v>0.4513888889</v>
      </c>
      <c r="K121" s="53">
        <f t="shared" si="1"/>
        <v>0.002777777778</v>
      </c>
      <c r="L121" s="49" t="s">
        <v>583</v>
      </c>
      <c r="M121" s="49"/>
      <c r="N121" s="49"/>
      <c r="O121" s="48"/>
      <c r="P121" s="48"/>
      <c r="Q121" s="63"/>
      <c r="R121" s="49"/>
      <c r="S121" s="49"/>
      <c r="T121" s="49"/>
    </row>
    <row r="122">
      <c r="A122" s="49" t="str">
        <f>IFERROR(__xludf.DUMMYFUNCTION("""COMPUTED_VALUE"""),"How we got corporate treasurers to trust us more than their banks")</f>
        <v>How we got corporate treasurers to trust us more than their banks</v>
      </c>
      <c r="B122" s="49" t="str">
        <f>IFERROR(__xludf.DUMMYFUNCTION("""COMPUTED_VALUE"""),"Growth Summit")</f>
        <v>Growth Summit</v>
      </c>
      <c r="C122" s="49" t="str">
        <f>IFERROR(__xludf.DUMMYFUNCTION("""COMPUTED_VALUE"""),"Anders Nicolai Bakke")</f>
        <v>Anders Nicolai Bakke</v>
      </c>
      <c r="D122" s="49" t="str">
        <f>IFERROR(__xludf.DUMMYFUNCTION("""COMPUTED_VALUE"""),"2019/11/07 10:50:00")</f>
        <v>2019/11/07 10:50:00</v>
      </c>
      <c r="E122" s="49" t="str">
        <f>IFERROR(__xludf.DUMMYFUNCTION("""COMPUTED_VALUE"""),"2019/11/07 10:54:00")</f>
        <v>2019/11/07 10:54:00</v>
      </c>
      <c r="F122" s="49" t="str">
        <f>IFERROR(__xludf.DUMMYFUNCTION("""COMPUTED_VALUE"""),"28dfd30c-11ce-43b7-a067-a820ed35146d")</f>
        <v>28dfd30c-11ce-43b7-a067-a820ed35146d</v>
      </c>
      <c r="G122" s="52">
        <f>IFERROR(__xludf.DUMMYFUNCTION("""COMPUTED_VALUE"""),43776.0)</f>
        <v>43776</v>
      </c>
      <c r="H122" s="53">
        <f>IFERROR(__xludf.DUMMYFUNCTION("""COMPUTED_VALUE"""),0.4513888888888889)</f>
        <v>0.4513888889</v>
      </c>
      <c r="I122" s="52">
        <f>IFERROR(__xludf.DUMMYFUNCTION("""COMPUTED_VALUE"""),43776.0)</f>
        <v>43776</v>
      </c>
      <c r="J122" s="53">
        <f>IFERROR(__xludf.DUMMYFUNCTION("""COMPUTED_VALUE"""),0.45416666666666666)</f>
        <v>0.4541666667</v>
      </c>
      <c r="K122" s="53">
        <f t="shared" si="1"/>
        <v>0.002777777778</v>
      </c>
      <c r="L122" s="49" t="s">
        <v>583</v>
      </c>
      <c r="M122" s="49"/>
      <c r="N122" s="49"/>
      <c r="O122" s="48"/>
      <c r="P122" s="48"/>
      <c r="Q122" s="63"/>
      <c r="R122" s="49"/>
      <c r="S122" s="49"/>
      <c r="T122" s="49"/>
    </row>
    <row r="123">
      <c r="A123" s="49" t="str">
        <f>IFERROR(__xludf.DUMMYFUNCTION("""COMPUTED_VALUE"""),"Data secure passive biometrics")</f>
        <v>Data secure passive biometrics</v>
      </c>
      <c r="B123" s="49" t="str">
        <f>IFERROR(__xludf.DUMMYFUNCTION("""COMPUTED_VALUE"""),"Growth Summit")</f>
        <v>Growth Summit</v>
      </c>
      <c r="C123" s="49" t="str">
        <f>IFERROR(__xludf.DUMMYFUNCTION("""COMPUTED_VALUE"""),"Aleksander Kijek")</f>
        <v>Aleksander Kijek</v>
      </c>
      <c r="D123" s="49" t="str">
        <f>IFERROR(__xludf.DUMMYFUNCTION("""COMPUTED_VALUE"""),"2019/11/07 10:54:00")</f>
        <v>2019/11/07 10:54:00</v>
      </c>
      <c r="E123" s="49" t="str">
        <f>IFERROR(__xludf.DUMMYFUNCTION("""COMPUTED_VALUE"""),"2019/11/07 10:56:00")</f>
        <v>2019/11/07 10:56:00</v>
      </c>
      <c r="F123" s="49" t="str">
        <f>IFERROR(__xludf.DUMMYFUNCTION("""COMPUTED_VALUE"""),"3bc1f9b7-22a8-4953-bf70-84359246d05a")</f>
        <v>3bc1f9b7-22a8-4953-bf70-84359246d05a</v>
      </c>
      <c r="G123" s="52">
        <f>IFERROR(__xludf.DUMMYFUNCTION("""COMPUTED_VALUE"""),43776.0)</f>
        <v>43776</v>
      </c>
      <c r="H123" s="53">
        <f>IFERROR(__xludf.DUMMYFUNCTION("""COMPUTED_VALUE"""),0.45416666666666666)</f>
        <v>0.4541666667</v>
      </c>
      <c r="I123" s="52">
        <f>IFERROR(__xludf.DUMMYFUNCTION("""COMPUTED_VALUE"""),43776.0)</f>
        <v>43776</v>
      </c>
      <c r="J123" s="53">
        <f>IFERROR(__xludf.DUMMYFUNCTION("""COMPUTED_VALUE"""),0.45555555555555555)</f>
        <v>0.4555555556</v>
      </c>
      <c r="K123" s="53">
        <f t="shared" si="1"/>
        <v>0.001388888889</v>
      </c>
      <c r="L123" s="49" t="s">
        <v>584</v>
      </c>
      <c r="M123" s="49"/>
      <c r="N123" s="49"/>
      <c r="O123" s="48"/>
      <c r="P123" s="48"/>
      <c r="Q123" s="63"/>
      <c r="R123" s="49"/>
      <c r="S123" s="49"/>
      <c r="T123" s="49"/>
    </row>
    <row r="124">
      <c r="A124" s="49" t="str">
        <f>IFERROR(__xludf.DUMMYFUNCTION("""COMPUTED_VALUE"""),"Building products at the frontier: Bridging the gap with high and low tech solutions")</f>
        <v>Building products at the frontier: Bridging the gap with high and low tech solutions</v>
      </c>
      <c r="B124" s="49" t="str">
        <f>IFERROR(__xludf.DUMMYFUNCTION("""COMPUTED_VALUE"""),"Growth Summit")</f>
        <v>Growth Summit</v>
      </c>
      <c r="C124" s="49" t="str">
        <f>IFERROR(__xludf.DUMMYFUNCTION("""COMPUTED_VALUE"""),"Jean-Claude Homawoo")</f>
        <v>Jean-Claude Homawoo</v>
      </c>
      <c r="D124" s="49" t="str">
        <f>IFERROR(__xludf.DUMMYFUNCTION("""COMPUTED_VALUE"""),"2019/11/07 10:58:00")</f>
        <v>2019/11/07 10:58:00</v>
      </c>
      <c r="E124" s="49" t="str">
        <f>IFERROR(__xludf.DUMMYFUNCTION("""COMPUTED_VALUE"""),"2019/11/07 11:02:00")</f>
        <v>2019/11/07 11:02:00</v>
      </c>
      <c r="F124" s="49" t="str">
        <f>IFERROR(__xludf.DUMMYFUNCTION("""COMPUTED_VALUE"""),"e34be1ef-3b5c-4ade-93dd-02159e577b66")</f>
        <v>e34be1ef-3b5c-4ade-93dd-02159e577b66</v>
      </c>
      <c r="G124" s="52">
        <f>IFERROR(__xludf.DUMMYFUNCTION("""COMPUTED_VALUE"""),43776.0)</f>
        <v>43776</v>
      </c>
      <c r="H124" s="53">
        <f>IFERROR(__xludf.DUMMYFUNCTION("""COMPUTED_VALUE"""),0.45694444444444443)</f>
        <v>0.4569444444</v>
      </c>
      <c r="I124" s="52">
        <f>IFERROR(__xludf.DUMMYFUNCTION("""COMPUTED_VALUE"""),43776.0)</f>
        <v>43776</v>
      </c>
      <c r="J124" s="53">
        <f>IFERROR(__xludf.DUMMYFUNCTION("""COMPUTED_VALUE"""),0.4597222222222222)</f>
        <v>0.4597222222</v>
      </c>
      <c r="K124" s="53">
        <f t="shared" si="1"/>
        <v>0.002777777778</v>
      </c>
      <c r="L124" s="49" t="s">
        <v>583</v>
      </c>
      <c r="M124" s="49"/>
      <c r="N124" s="49"/>
      <c r="O124" s="48"/>
      <c r="P124" s="48"/>
      <c r="Q124" s="63"/>
      <c r="R124" s="49"/>
      <c r="S124" s="49"/>
      <c r="T124" s="49"/>
    </row>
    <row r="125">
      <c r="A125" s="49" t="str">
        <f>IFERROR(__xludf.DUMMYFUNCTION("""COMPUTED_VALUE"""),"How to grow your presence on mobile from 10,000 to 10m users")</f>
        <v>How to grow your presence on mobile from 10,000 to 10m users</v>
      </c>
      <c r="B125" s="49" t="str">
        <f>IFERROR(__xludf.DUMMYFUNCTION("""COMPUTED_VALUE"""),"Growth Summit")</f>
        <v>Growth Summit</v>
      </c>
      <c r="C125" s="49" t="str">
        <f>IFERROR(__xludf.DUMMYFUNCTION("""COMPUTED_VALUE"""),"Micha Benoliel")</f>
        <v>Micha Benoliel</v>
      </c>
      <c r="D125" s="49" t="str">
        <f>IFERROR(__xludf.DUMMYFUNCTION("""COMPUTED_VALUE"""),"2019/11/07 11:02:00")</f>
        <v>2019/11/07 11:02:00</v>
      </c>
      <c r="E125" s="49" t="str">
        <f>IFERROR(__xludf.DUMMYFUNCTION("""COMPUTED_VALUE"""),"2019/11/07 11:06:00")</f>
        <v>2019/11/07 11:06:00</v>
      </c>
      <c r="F125" s="49" t="str">
        <f>IFERROR(__xludf.DUMMYFUNCTION("""COMPUTED_VALUE"""),"243dfa18-bc62-4eb1-928f-6bdea7b9277b")</f>
        <v>243dfa18-bc62-4eb1-928f-6bdea7b9277b</v>
      </c>
      <c r="G125" s="52">
        <f>IFERROR(__xludf.DUMMYFUNCTION("""COMPUTED_VALUE"""),43776.0)</f>
        <v>43776</v>
      </c>
      <c r="H125" s="53">
        <f>IFERROR(__xludf.DUMMYFUNCTION("""COMPUTED_VALUE"""),0.4597222222222222)</f>
        <v>0.4597222222</v>
      </c>
      <c r="I125" s="52">
        <f>IFERROR(__xludf.DUMMYFUNCTION("""COMPUTED_VALUE"""),43776.0)</f>
        <v>43776</v>
      </c>
      <c r="J125" s="53">
        <f>IFERROR(__xludf.DUMMYFUNCTION("""COMPUTED_VALUE"""),0.4625)</f>
        <v>0.4625</v>
      </c>
      <c r="K125" s="53">
        <f t="shared" si="1"/>
        <v>0.002777777778</v>
      </c>
      <c r="L125" s="49" t="s">
        <v>583</v>
      </c>
      <c r="M125" s="49"/>
      <c r="N125" s="49"/>
      <c r="O125" s="48"/>
      <c r="P125" s="48"/>
      <c r="Q125" s="63"/>
      <c r="R125" s="49"/>
      <c r="S125" s="49"/>
      <c r="T125" s="49"/>
    </row>
    <row r="126">
      <c r="A126" s="49" t="str">
        <f>IFERROR(__xludf.DUMMYFUNCTION("""COMPUTED_VALUE"""),"Partnering for growth")</f>
        <v>Partnering for growth</v>
      </c>
      <c r="B126" s="49" t="str">
        <f>IFERROR(__xludf.DUMMYFUNCTION("""COMPUTED_VALUE"""),"Growth Summit")</f>
        <v>Growth Summit</v>
      </c>
      <c r="C126" s="49" t="str">
        <f>IFERROR(__xludf.DUMMYFUNCTION("""COMPUTED_VALUE"""),"Jay Goldman")</f>
        <v>Jay Goldman</v>
      </c>
      <c r="D126" s="49" t="str">
        <f>IFERROR(__xludf.DUMMYFUNCTION("""COMPUTED_VALUE"""),"2019/11/07 11:06:00")</f>
        <v>2019/11/07 11:06:00</v>
      </c>
      <c r="E126" s="49" t="str">
        <f>IFERROR(__xludf.DUMMYFUNCTION("""COMPUTED_VALUE"""),"2019/11/07 11:10:00")</f>
        <v>2019/11/07 11:10:00</v>
      </c>
      <c r="F126" s="49" t="str">
        <f>IFERROR(__xludf.DUMMYFUNCTION("""COMPUTED_VALUE"""),"38d5c869-1f67-4bf5-be39-57bcac20f6dc")</f>
        <v>38d5c869-1f67-4bf5-be39-57bcac20f6dc</v>
      </c>
      <c r="G126" s="52">
        <f>IFERROR(__xludf.DUMMYFUNCTION("""COMPUTED_VALUE"""),43776.0)</f>
        <v>43776</v>
      </c>
      <c r="H126" s="53">
        <f>IFERROR(__xludf.DUMMYFUNCTION("""COMPUTED_VALUE"""),0.4625)</f>
        <v>0.4625</v>
      </c>
      <c r="I126" s="52">
        <f>IFERROR(__xludf.DUMMYFUNCTION("""COMPUTED_VALUE"""),43776.0)</f>
        <v>43776</v>
      </c>
      <c r="J126" s="53">
        <f>IFERROR(__xludf.DUMMYFUNCTION("""COMPUTED_VALUE"""),0.4652777777777778)</f>
        <v>0.4652777778</v>
      </c>
      <c r="K126" s="53">
        <f t="shared" si="1"/>
        <v>0.002777777778</v>
      </c>
      <c r="L126" s="49" t="s">
        <v>583</v>
      </c>
      <c r="M126" s="49"/>
      <c r="N126" s="49"/>
      <c r="O126" s="48"/>
      <c r="P126" s="48"/>
      <c r="Q126" s="63"/>
      <c r="R126" s="49"/>
      <c r="S126" s="49"/>
      <c r="T126" s="49"/>
    </row>
    <row r="127">
      <c r="A127" s="49" t="str">
        <f>IFERROR(__xludf.DUMMYFUNCTION("""COMPUTED_VALUE"""),"Who will buy insurance in the future, and how?")</f>
        <v>Who will buy insurance in the future, and how?</v>
      </c>
      <c r="B127" s="49" t="str">
        <f>IFERROR(__xludf.DUMMYFUNCTION("""COMPUTED_VALUE"""),"Growth Summit")</f>
        <v>Growth Summit</v>
      </c>
      <c r="C127" s="49" t="str">
        <f>IFERROR(__xludf.DUMMYFUNCTION("""COMPUTED_VALUE"""),"Tim Hardcastle")</f>
        <v>Tim Hardcastle</v>
      </c>
      <c r="D127" s="49" t="str">
        <f>IFERROR(__xludf.DUMMYFUNCTION("""COMPUTED_VALUE"""),"2019/11/07 11:10:00")</f>
        <v>2019/11/07 11:10:00</v>
      </c>
      <c r="E127" s="49" t="str">
        <f>IFERROR(__xludf.DUMMYFUNCTION("""COMPUTED_VALUE"""),"2019/11/07 11:14:00")</f>
        <v>2019/11/07 11:14:00</v>
      </c>
      <c r="F127" s="49" t="str">
        <f>IFERROR(__xludf.DUMMYFUNCTION("""COMPUTED_VALUE"""),"bebe1502-c8f9-4e2d-b676-c4aa86b87ce1")</f>
        <v>bebe1502-c8f9-4e2d-b676-c4aa86b87ce1</v>
      </c>
      <c r="G127" s="52">
        <f>IFERROR(__xludf.DUMMYFUNCTION("""COMPUTED_VALUE"""),43776.0)</f>
        <v>43776</v>
      </c>
      <c r="H127" s="53">
        <f>IFERROR(__xludf.DUMMYFUNCTION("""COMPUTED_VALUE"""),0.4652777777777778)</f>
        <v>0.4652777778</v>
      </c>
      <c r="I127" s="52">
        <f>IFERROR(__xludf.DUMMYFUNCTION("""COMPUTED_VALUE"""),43776.0)</f>
        <v>43776</v>
      </c>
      <c r="J127" s="53">
        <f>IFERROR(__xludf.DUMMYFUNCTION("""COMPUTED_VALUE"""),0.46805555555555556)</f>
        <v>0.4680555556</v>
      </c>
      <c r="K127" s="53">
        <f t="shared" si="1"/>
        <v>0.002777777778</v>
      </c>
      <c r="L127" s="49" t="s">
        <v>583</v>
      </c>
      <c r="M127" s="49"/>
      <c r="N127" s="49"/>
      <c r="O127" s="48"/>
      <c r="P127" s="48"/>
      <c r="Q127" s="63"/>
      <c r="R127" s="49"/>
      <c r="S127" s="49"/>
      <c r="T127" s="49"/>
    </row>
    <row r="128">
      <c r="A128" s="49" t="str">
        <f>IFERROR(__xludf.DUMMYFUNCTION("""COMPUTED_VALUE"""),"Neither blue nor red: Pink ocean")</f>
        <v>Neither blue nor red: Pink ocean</v>
      </c>
      <c r="B128" s="49" t="str">
        <f>IFERROR(__xludf.DUMMYFUNCTION("""COMPUTED_VALUE"""),"Growth Summit")</f>
        <v>Growth Summit</v>
      </c>
      <c r="C128" s="49" t="str">
        <f>IFERROR(__xludf.DUMMYFUNCTION("""COMPUTED_VALUE"""),"Guillermo Vicandi")</f>
        <v>Guillermo Vicandi</v>
      </c>
      <c r="D128" s="49" t="str">
        <f>IFERROR(__xludf.DUMMYFUNCTION("""COMPUTED_VALUE"""),"2019/11/07 11:14:00")</f>
        <v>2019/11/07 11:14:00</v>
      </c>
      <c r="E128" s="49" t="str">
        <f>IFERROR(__xludf.DUMMYFUNCTION("""COMPUTED_VALUE"""),"2019/11/07 11:18:00")</f>
        <v>2019/11/07 11:18:00</v>
      </c>
      <c r="F128" s="49" t="str">
        <f>IFERROR(__xludf.DUMMYFUNCTION("""COMPUTED_VALUE"""),"f67cd1c6-5d17-469f-91f0-6f11195e690b")</f>
        <v>f67cd1c6-5d17-469f-91f0-6f11195e690b</v>
      </c>
      <c r="G128" s="52">
        <f>IFERROR(__xludf.DUMMYFUNCTION("""COMPUTED_VALUE"""),43776.0)</f>
        <v>43776</v>
      </c>
      <c r="H128" s="53">
        <f>IFERROR(__xludf.DUMMYFUNCTION("""COMPUTED_VALUE"""),0.46805555555555556)</f>
        <v>0.4680555556</v>
      </c>
      <c r="I128" s="52">
        <f>IFERROR(__xludf.DUMMYFUNCTION("""COMPUTED_VALUE"""),43776.0)</f>
        <v>43776</v>
      </c>
      <c r="J128" s="53">
        <f>IFERROR(__xludf.DUMMYFUNCTION("""COMPUTED_VALUE"""),0.4708333333333333)</f>
        <v>0.4708333333</v>
      </c>
      <c r="K128" s="53">
        <f t="shared" si="1"/>
        <v>0.002777777778</v>
      </c>
      <c r="L128" s="49" t="s">
        <v>583</v>
      </c>
      <c r="M128" s="49"/>
      <c r="N128" s="49"/>
      <c r="O128" s="48"/>
      <c r="P128" s="48"/>
      <c r="Q128" s="63"/>
      <c r="R128" s="49"/>
      <c r="S128" s="49"/>
      <c r="T128" s="49"/>
    </row>
    <row r="129">
      <c r="A129" s="49" t="str">
        <f>IFERROR(__xludf.DUMMYFUNCTION("""COMPUTED_VALUE"""),"Go-to-market fit")</f>
        <v>Go-to-market fit</v>
      </c>
      <c r="B129" s="49" t="str">
        <f>IFERROR(__xludf.DUMMYFUNCTION("""COMPUTED_VALUE"""),"Growth Summit")</f>
        <v>Growth Summit</v>
      </c>
      <c r="C129" s="49" t="str">
        <f>IFERROR(__xludf.DUMMYFUNCTION("""COMPUTED_VALUE"""),"David Kelso")</f>
        <v>David Kelso</v>
      </c>
      <c r="D129" s="49" t="str">
        <f>IFERROR(__xludf.DUMMYFUNCTION("""COMPUTED_VALUE"""),"2019/11/07 11:18:00")</f>
        <v>2019/11/07 11:18:00</v>
      </c>
      <c r="E129" s="49" t="str">
        <f>IFERROR(__xludf.DUMMYFUNCTION("""COMPUTED_VALUE"""),"2019/11/07 11:22:00")</f>
        <v>2019/11/07 11:22:00</v>
      </c>
      <c r="F129" s="49" t="str">
        <f>IFERROR(__xludf.DUMMYFUNCTION("""COMPUTED_VALUE"""),"2a8b0561-959e-4c2a-b391-aed2af7df1ef")</f>
        <v>2a8b0561-959e-4c2a-b391-aed2af7df1ef</v>
      </c>
      <c r="G129" s="52">
        <f>IFERROR(__xludf.DUMMYFUNCTION("""COMPUTED_VALUE"""),43776.0)</f>
        <v>43776</v>
      </c>
      <c r="H129" s="53">
        <f>IFERROR(__xludf.DUMMYFUNCTION("""COMPUTED_VALUE"""),0.4708333333333333)</f>
        <v>0.4708333333</v>
      </c>
      <c r="I129" s="52">
        <f>IFERROR(__xludf.DUMMYFUNCTION("""COMPUTED_VALUE"""),43776.0)</f>
        <v>43776</v>
      </c>
      <c r="J129" s="53">
        <f>IFERROR(__xludf.DUMMYFUNCTION("""COMPUTED_VALUE"""),0.4736111111111111)</f>
        <v>0.4736111111</v>
      </c>
      <c r="K129" s="53">
        <f t="shared" si="1"/>
        <v>0.002777777778</v>
      </c>
      <c r="L129" s="49" t="s">
        <v>583</v>
      </c>
      <c r="M129" s="49"/>
      <c r="N129" s="49"/>
      <c r="O129" s="48"/>
      <c r="P129" s="48"/>
      <c r="Q129" s="63"/>
      <c r="R129" s="49"/>
      <c r="S129" s="49"/>
      <c r="T129" s="49"/>
    </row>
    <row r="130">
      <c r="A130" s="49" t="str">
        <f>IFERROR(__xludf.DUMMYFUNCTION("""COMPUTED_VALUE"""),"Customer care in a complex connected world")</f>
        <v>Customer care in a complex connected world</v>
      </c>
      <c r="B130" s="49" t="str">
        <f>IFERROR(__xludf.DUMMYFUNCTION("""COMPUTED_VALUE"""),"Growth Summit")</f>
        <v>Growth Summit</v>
      </c>
      <c r="C130" s="49" t="str">
        <f>IFERROR(__xludf.DUMMYFUNCTION("""COMPUTED_VALUE"""),"Alan Coleman")</f>
        <v>Alan Coleman</v>
      </c>
      <c r="D130" s="49" t="str">
        <f>IFERROR(__xludf.DUMMYFUNCTION("""COMPUTED_VALUE"""),"2019/11/07 11:22:00")</f>
        <v>2019/11/07 11:22:00</v>
      </c>
      <c r="E130" s="49" t="str">
        <f>IFERROR(__xludf.DUMMYFUNCTION("""COMPUTED_VALUE"""),"2019/11/07 11:26:00")</f>
        <v>2019/11/07 11:26:00</v>
      </c>
      <c r="F130" s="49" t="str">
        <f>IFERROR(__xludf.DUMMYFUNCTION("""COMPUTED_VALUE"""),"3be139d2-b35d-4b30-ad62-a7672c881a90")</f>
        <v>3be139d2-b35d-4b30-ad62-a7672c881a90</v>
      </c>
      <c r="G130" s="52">
        <f>IFERROR(__xludf.DUMMYFUNCTION("""COMPUTED_VALUE"""),43776.0)</f>
        <v>43776</v>
      </c>
      <c r="H130" s="53">
        <f>IFERROR(__xludf.DUMMYFUNCTION("""COMPUTED_VALUE"""),0.4736111111111111)</f>
        <v>0.4736111111</v>
      </c>
      <c r="I130" s="52">
        <f>IFERROR(__xludf.DUMMYFUNCTION("""COMPUTED_VALUE"""),43776.0)</f>
        <v>43776</v>
      </c>
      <c r="J130" s="53">
        <f>IFERROR(__xludf.DUMMYFUNCTION("""COMPUTED_VALUE"""),0.47638888888888886)</f>
        <v>0.4763888889</v>
      </c>
      <c r="K130" s="53">
        <f t="shared" si="1"/>
        <v>0.002777777778</v>
      </c>
      <c r="L130" s="49" t="s">
        <v>583</v>
      </c>
      <c r="M130" s="49"/>
      <c r="N130" s="49"/>
      <c r="O130" s="48"/>
      <c r="P130" s="48"/>
      <c r="Q130" s="63"/>
      <c r="R130" s="49"/>
      <c r="S130" s="49"/>
      <c r="T130" s="49"/>
    </row>
    <row r="131">
      <c r="A131" s="49" t="str">
        <f>IFERROR(__xludf.DUMMYFUNCTION("""COMPUTED_VALUE"""),"The egg and the chicken: Product-market fit &amp; product-investor fit")</f>
        <v>The egg and the chicken: Product-market fit &amp; product-investor fit</v>
      </c>
      <c r="B131" s="49" t="str">
        <f>IFERROR(__xludf.DUMMYFUNCTION("""COMPUTED_VALUE"""),"Growth Summit")</f>
        <v>Growth Summit</v>
      </c>
      <c r="C131" s="49" t="str">
        <f>IFERROR(__xludf.DUMMYFUNCTION("""COMPUTED_VALUE"""),"Khaled Sehly")</f>
        <v>Khaled Sehly</v>
      </c>
      <c r="D131" s="49" t="str">
        <f>IFERROR(__xludf.DUMMYFUNCTION("""COMPUTED_VALUE"""),"2019/11/07 11:26:00")</f>
        <v>2019/11/07 11:26:00</v>
      </c>
      <c r="E131" s="49" t="str">
        <f>IFERROR(__xludf.DUMMYFUNCTION("""COMPUTED_VALUE"""),"2019/11/07 11:30:00")</f>
        <v>2019/11/07 11:30:00</v>
      </c>
      <c r="F131" s="49" t="str">
        <f>IFERROR(__xludf.DUMMYFUNCTION("""COMPUTED_VALUE"""),"63f9b21c-dcf4-4d78-aff7-6eb09765cf6d")</f>
        <v>63f9b21c-dcf4-4d78-aff7-6eb09765cf6d</v>
      </c>
      <c r="G131" s="52">
        <f>IFERROR(__xludf.DUMMYFUNCTION("""COMPUTED_VALUE"""),43776.0)</f>
        <v>43776</v>
      </c>
      <c r="H131" s="53">
        <f>IFERROR(__xludf.DUMMYFUNCTION("""COMPUTED_VALUE"""),0.47638888888888886)</f>
        <v>0.4763888889</v>
      </c>
      <c r="I131" s="52">
        <f>IFERROR(__xludf.DUMMYFUNCTION("""COMPUTED_VALUE"""),43776.0)</f>
        <v>43776</v>
      </c>
      <c r="J131" s="53">
        <f>IFERROR(__xludf.DUMMYFUNCTION("""COMPUTED_VALUE"""),0.4791666666666667)</f>
        <v>0.4791666667</v>
      </c>
      <c r="K131" s="53">
        <f t="shared" si="1"/>
        <v>0.002777777778</v>
      </c>
      <c r="L131" s="49" t="s">
        <v>583</v>
      </c>
      <c r="M131" s="49"/>
      <c r="N131" s="49"/>
      <c r="O131" s="48"/>
      <c r="P131" s="48"/>
      <c r="Q131" s="63"/>
      <c r="R131" s="49"/>
      <c r="S131" s="49"/>
      <c r="T131" s="49"/>
    </row>
    <row r="132">
      <c r="A132" s="49" t="str">
        <f>IFERROR(__xludf.DUMMYFUNCTION("""COMPUTED_VALUE"""),"Kard: An old school growth story")</f>
        <v>Kard: An old school growth story</v>
      </c>
      <c r="B132" s="49" t="str">
        <f>IFERROR(__xludf.DUMMYFUNCTION("""COMPUTED_VALUE"""),"Growth Summit")</f>
        <v>Growth Summit</v>
      </c>
      <c r="C132" s="49" t="str">
        <f>IFERROR(__xludf.DUMMYFUNCTION("""COMPUTED_VALUE"""),"Scott Gordon")</f>
        <v>Scott Gordon</v>
      </c>
      <c r="D132" s="49" t="str">
        <f>IFERROR(__xludf.DUMMYFUNCTION("""COMPUTED_VALUE"""),"2019/11/07 11:30:00")</f>
        <v>2019/11/07 11:30:00</v>
      </c>
      <c r="E132" s="49" t="str">
        <f>IFERROR(__xludf.DUMMYFUNCTION("""COMPUTED_VALUE"""),"2019/11/07 11:34:00")</f>
        <v>2019/11/07 11:34:00</v>
      </c>
      <c r="F132" s="49" t="str">
        <f>IFERROR(__xludf.DUMMYFUNCTION("""COMPUTED_VALUE"""),"3a31d37f-408b-4df5-a086-b1512a7fda89")</f>
        <v>3a31d37f-408b-4df5-a086-b1512a7fda89</v>
      </c>
      <c r="G132" s="52">
        <f>IFERROR(__xludf.DUMMYFUNCTION("""COMPUTED_VALUE"""),43776.0)</f>
        <v>43776</v>
      </c>
      <c r="H132" s="53">
        <f>IFERROR(__xludf.DUMMYFUNCTION("""COMPUTED_VALUE"""),0.4791666666666667)</f>
        <v>0.4791666667</v>
      </c>
      <c r="I132" s="52">
        <f>IFERROR(__xludf.DUMMYFUNCTION("""COMPUTED_VALUE"""),43776.0)</f>
        <v>43776</v>
      </c>
      <c r="J132" s="53">
        <f>IFERROR(__xludf.DUMMYFUNCTION("""COMPUTED_VALUE"""),0.48194444444444445)</f>
        <v>0.4819444444</v>
      </c>
      <c r="K132" s="53">
        <f t="shared" si="1"/>
        <v>0.002777777778</v>
      </c>
      <c r="L132" s="49" t="s">
        <v>583</v>
      </c>
      <c r="M132" s="49"/>
      <c r="N132" s="49"/>
      <c r="O132" s="48"/>
      <c r="P132" s="48"/>
      <c r="Q132" s="63"/>
      <c r="R132" s="49"/>
      <c r="S132" s="49"/>
      <c r="T132" s="49"/>
    </row>
    <row r="133">
      <c r="A133" s="49" t="str">
        <f>IFERROR(__xludf.DUMMYFUNCTION("""COMPUTED_VALUE"""),"Lunch break")</f>
        <v>Lunch break</v>
      </c>
      <c r="B133" s="49" t="str">
        <f>IFERROR(__xludf.DUMMYFUNCTION("""COMPUTED_VALUE"""),"Growth Summit")</f>
        <v>Growth Summit</v>
      </c>
      <c r="C133" s="49" t="str">
        <f>IFERROR(__xludf.DUMMYFUNCTION("""COMPUTED_VALUE"""),"")</f>
        <v/>
      </c>
      <c r="D133" s="49" t="str">
        <f>IFERROR(__xludf.DUMMYFUNCTION("""COMPUTED_VALUE"""),"2019/11/07 11:58:00")</f>
        <v>2019/11/07 11:58:00</v>
      </c>
      <c r="E133" s="49" t="str">
        <f>IFERROR(__xludf.DUMMYFUNCTION("""COMPUTED_VALUE"""),"2019/11/07 12:28:00")</f>
        <v>2019/11/07 12:28:00</v>
      </c>
      <c r="F133" s="49" t="str">
        <f>IFERROR(__xludf.DUMMYFUNCTION("""COMPUTED_VALUE"""),"514c6bf7-ec02-4796-b76d-c951723f457c")</f>
        <v>514c6bf7-ec02-4796-b76d-c951723f457c</v>
      </c>
      <c r="G133" s="52">
        <f>IFERROR(__xludf.DUMMYFUNCTION("""COMPUTED_VALUE"""),43776.0)</f>
        <v>43776</v>
      </c>
      <c r="H133" s="53">
        <f>IFERROR(__xludf.DUMMYFUNCTION("""COMPUTED_VALUE"""),0.4986111111111111)</f>
        <v>0.4986111111</v>
      </c>
      <c r="I133" s="52">
        <f>IFERROR(__xludf.DUMMYFUNCTION("""COMPUTED_VALUE"""),43776.0)</f>
        <v>43776</v>
      </c>
      <c r="J133" s="53">
        <f>IFERROR(__xludf.DUMMYFUNCTION("""COMPUTED_VALUE"""),0.5194444444444445)</f>
        <v>0.5194444444</v>
      </c>
      <c r="K133" s="53">
        <f t="shared" si="1"/>
        <v>0.02083333333</v>
      </c>
      <c r="L133" s="49" t="s">
        <v>105</v>
      </c>
      <c r="M133" s="49"/>
      <c r="N133" s="49"/>
      <c r="O133" s="48"/>
      <c r="P133" s="48"/>
      <c r="Q133" s="63"/>
      <c r="R133" s="49"/>
      <c r="S133" s="49"/>
      <c r="T133" s="49"/>
    </row>
    <row r="134">
      <c r="A134" s="49" t="str">
        <f>IFERROR(__xludf.DUMMYFUNCTION("""COMPUTED_VALUE"""),"Opening remarks")</f>
        <v>Opening remarks</v>
      </c>
      <c r="B134" s="49" t="str">
        <f>IFERROR(__xludf.DUMMYFUNCTION("""COMPUTED_VALUE"""),"Growth Summit")</f>
        <v>Growth Summit</v>
      </c>
      <c r="C134" s="49" t="str">
        <f>IFERROR(__xludf.DUMMYFUNCTION("""COMPUTED_VALUE"""),"Francisco Alves da Silva")</f>
        <v>Francisco Alves da Silva</v>
      </c>
      <c r="D134" s="49" t="str">
        <f>IFERROR(__xludf.DUMMYFUNCTION("""COMPUTED_VALUE"""),"2019/11/07 12:28:00")</f>
        <v>2019/11/07 12:28:00</v>
      </c>
      <c r="E134" s="49" t="str">
        <f>IFERROR(__xludf.DUMMYFUNCTION("""COMPUTED_VALUE"""),"2019/11/07 12:30:00")</f>
        <v>2019/11/07 12:30:00</v>
      </c>
      <c r="F134" s="49" t="str">
        <f>IFERROR(__xludf.DUMMYFUNCTION("""COMPUTED_VALUE"""),"0e597982-da41-4399-b130-a7ce488655ba")</f>
        <v>0e597982-da41-4399-b130-a7ce488655ba</v>
      </c>
      <c r="G134" s="52">
        <f>IFERROR(__xludf.DUMMYFUNCTION("""COMPUTED_VALUE"""),43776.0)</f>
        <v>43776</v>
      </c>
      <c r="H134" s="53">
        <f>IFERROR(__xludf.DUMMYFUNCTION("""COMPUTED_VALUE"""),0.5194444444444445)</f>
        <v>0.5194444444</v>
      </c>
      <c r="I134" s="52">
        <f>IFERROR(__xludf.DUMMYFUNCTION("""COMPUTED_VALUE"""),43776.0)</f>
        <v>43776</v>
      </c>
      <c r="J134" s="53">
        <f>IFERROR(__xludf.DUMMYFUNCTION("""COMPUTED_VALUE"""),0.5208333333333334)</f>
        <v>0.5208333333</v>
      </c>
      <c r="K134" s="53">
        <f t="shared" si="1"/>
        <v>0.001388888889</v>
      </c>
      <c r="L134" s="49" t="s">
        <v>584</v>
      </c>
      <c r="M134" s="49"/>
      <c r="N134" s="49"/>
      <c r="O134" s="48"/>
      <c r="P134" s="48"/>
      <c r="Q134" s="63"/>
      <c r="R134" s="49"/>
      <c r="S134" s="49"/>
      <c r="T134" s="49"/>
    </row>
    <row r="135">
      <c r="A135" s="49" t="str">
        <f>IFERROR(__xludf.DUMMYFUNCTION("""COMPUTED_VALUE"""),"The bumpy journey to customer love")</f>
        <v>The bumpy journey to customer love</v>
      </c>
      <c r="B135" s="49" t="str">
        <f>IFERROR(__xludf.DUMMYFUNCTION("""COMPUTED_VALUE"""),"Growth Summit")</f>
        <v>Growth Summit</v>
      </c>
      <c r="C135" s="49" t="str">
        <f>IFERROR(__xludf.DUMMYFUNCTION("""COMPUTED_VALUE"""),"")</f>
        <v/>
      </c>
      <c r="D135" s="49" t="str">
        <f>IFERROR(__xludf.DUMMYFUNCTION("""COMPUTED_VALUE"""),"2019/11/07 12:30:00")</f>
        <v>2019/11/07 12:30:00</v>
      </c>
      <c r="E135" s="49" t="str">
        <f>IFERROR(__xludf.DUMMYFUNCTION("""COMPUTED_VALUE"""),"2019/11/07 12:41:00")</f>
        <v>2019/11/07 12:41:00</v>
      </c>
      <c r="F135" s="49" t="str">
        <f>IFERROR(__xludf.DUMMYFUNCTION("""COMPUTED_VALUE"""),"920af7c1-bb34-41bd-bd38-162683af9fd0")</f>
        <v>920af7c1-bb34-41bd-bd38-162683af9fd0</v>
      </c>
      <c r="G135" s="52">
        <f>IFERROR(__xludf.DUMMYFUNCTION("""COMPUTED_VALUE"""),43776.0)</f>
        <v>43776</v>
      </c>
      <c r="H135" s="53">
        <f>IFERROR(__xludf.DUMMYFUNCTION("""COMPUTED_VALUE"""),0.5208333333333334)</f>
        <v>0.5208333333</v>
      </c>
      <c r="I135" s="52">
        <f>IFERROR(__xludf.DUMMYFUNCTION("""COMPUTED_VALUE"""),43776.0)</f>
        <v>43776</v>
      </c>
      <c r="J135" s="53">
        <f>IFERROR(__xludf.DUMMYFUNCTION("""COMPUTED_VALUE"""),0.5284722222222222)</f>
        <v>0.5284722222</v>
      </c>
      <c r="K135" s="53">
        <f t="shared" si="1"/>
        <v>0.007638888889</v>
      </c>
      <c r="L135" s="49" t="s">
        <v>585</v>
      </c>
      <c r="M135" s="49"/>
      <c r="N135" s="49"/>
      <c r="O135" s="48"/>
      <c r="P135" s="48"/>
      <c r="Q135" s="63"/>
      <c r="R135" s="49"/>
      <c r="S135" s="49"/>
      <c r="T135" s="49"/>
    </row>
    <row r="136">
      <c r="A136" s="49" t="str">
        <f>IFERROR(__xludf.DUMMYFUNCTION("""COMPUTED_VALUE"""),"Balancing product and go-to-market: Going from $0 to $100m ARR in 4 Years")</f>
        <v>Balancing product and go-to-market: Going from $0 to $100m ARR in 4 Years</v>
      </c>
      <c r="B136" s="49" t="str">
        <f>IFERROR(__xludf.DUMMYFUNCTION("""COMPUTED_VALUE"""),"Growth Summit")</f>
        <v>Growth Summit</v>
      </c>
      <c r="C136" s="49" t="str">
        <f>IFERROR(__xludf.DUMMYFUNCTION("""COMPUTED_VALUE"""),"Dennis Steele")</f>
        <v>Dennis Steele</v>
      </c>
      <c r="D136" s="49" t="str">
        <f>IFERROR(__xludf.DUMMYFUNCTION("""COMPUTED_VALUE"""),"2019/11/07 12:30:00")</f>
        <v>2019/11/07 12:30:00</v>
      </c>
      <c r="E136" s="49" t="str">
        <f>IFERROR(__xludf.DUMMYFUNCTION("""COMPUTED_VALUE"""),"2019/11/07 12:41:00")</f>
        <v>2019/11/07 12:41:00</v>
      </c>
      <c r="F136" s="49" t="str">
        <f>IFERROR(__xludf.DUMMYFUNCTION("""COMPUTED_VALUE"""),"833691c4-5059-463a-8069-d0fbfc726325")</f>
        <v>833691c4-5059-463a-8069-d0fbfc726325</v>
      </c>
      <c r="G136" s="52">
        <f>IFERROR(__xludf.DUMMYFUNCTION("""COMPUTED_VALUE"""),43776.0)</f>
        <v>43776</v>
      </c>
      <c r="H136" s="53">
        <f>IFERROR(__xludf.DUMMYFUNCTION("""COMPUTED_VALUE"""),0.5208333333333334)</f>
        <v>0.5208333333</v>
      </c>
      <c r="I136" s="52">
        <f>IFERROR(__xludf.DUMMYFUNCTION("""COMPUTED_VALUE"""),43776.0)</f>
        <v>43776</v>
      </c>
      <c r="J136" s="53">
        <f>IFERROR(__xludf.DUMMYFUNCTION("""COMPUTED_VALUE"""),0.5284722222222222)</f>
        <v>0.5284722222</v>
      </c>
      <c r="K136" s="53">
        <f t="shared" si="1"/>
        <v>0.007638888889</v>
      </c>
      <c r="L136" s="49" t="s">
        <v>585</v>
      </c>
      <c r="M136" s="49"/>
      <c r="N136" s="49"/>
      <c r="O136" s="48"/>
      <c r="P136" s="48"/>
      <c r="Q136" s="63"/>
      <c r="R136" s="49"/>
      <c r="S136" s="49"/>
      <c r="T136" s="49"/>
    </row>
    <row r="137">
      <c r="A137" s="49" t="str">
        <f>IFERROR(__xludf.DUMMYFUNCTION("""COMPUTED_VALUE"""),"The secrets behind the largest funding in conversational AI")</f>
        <v>The secrets behind the largest funding in conversational AI</v>
      </c>
      <c r="B137" s="49" t="str">
        <f>IFERROR(__xludf.DUMMYFUNCTION("""COMPUTED_VALUE"""),"Growth Summit")</f>
        <v>Growth Summit</v>
      </c>
      <c r="C137" s="49" t="str">
        <f>IFERROR(__xludf.DUMMYFUNCTION("""COMPUTED_VALUE"""),"Lingjia Tang")</f>
        <v>Lingjia Tang</v>
      </c>
      <c r="D137" s="49" t="str">
        <f>IFERROR(__xludf.DUMMYFUNCTION("""COMPUTED_VALUE"""),"2019/11/07 12:41:00")</f>
        <v>2019/11/07 12:41:00</v>
      </c>
      <c r="E137" s="49" t="str">
        <f>IFERROR(__xludf.DUMMYFUNCTION("""COMPUTED_VALUE"""),"2019/11/07 12:52:00")</f>
        <v>2019/11/07 12:52:00</v>
      </c>
      <c r="F137" s="49" t="str">
        <f>IFERROR(__xludf.DUMMYFUNCTION("""COMPUTED_VALUE"""),"e8048b16-527a-4d38-83f6-987494350d07")</f>
        <v>e8048b16-527a-4d38-83f6-987494350d07</v>
      </c>
      <c r="G137" s="52">
        <f>IFERROR(__xludf.DUMMYFUNCTION("""COMPUTED_VALUE"""),43776.0)</f>
        <v>43776</v>
      </c>
      <c r="H137" s="53">
        <f>IFERROR(__xludf.DUMMYFUNCTION("""COMPUTED_VALUE"""),0.5284722222222222)</f>
        <v>0.5284722222</v>
      </c>
      <c r="I137" s="52">
        <f>IFERROR(__xludf.DUMMYFUNCTION("""COMPUTED_VALUE"""),43776.0)</f>
        <v>43776</v>
      </c>
      <c r="J137" s="53">
        <f>IFERROR(__xludf.DUMMYFUNCTION("""COMPUTED_VALUE"""),0.5361111111111111)</f>
        <v>0.5361111111</v>
      </c>
      <c r="K137" s="53">
        <f t="shared" si="1"/>
        <v>0.007638888889</v>
      </c>
      <c r="L137" s="49" t="s">
        <v>585</v>
      </c>
      <c r="M137" s="49"/>
      <c r="N137" s="49"/>
      <c r="O137" s="48"/>
      <c r="P137" s="48"/>
      <c r="Q137" s="63"/>
      <c r="R137" s="49"/>
      <c r="S137" s="49"/>
      <c r="T137" s="49"/>
    </row>
    <row r="138">
      <c r="A138" s="49" t="str">
        <f>IFERROR(__xludf.DUMMYFUNCTION("""COMPUTED_VALUE"""),"Grin: The fastest growing company in the fastest growing industry ")</f>
        <v>Grin: The fastest growing company in the fastest growing industry </v>
      </c>
      <c r="B138" s="49" t="str">
        <f>IFERROR(__xludf.DUMMYFUNCTION("""COMPUTED_VALUE"""),"Growth Summit")</f>
        <v>Growth Summit</v>
      </c>
      <c r="C138" s="49" t="str">
        <f>IFERROR(__xludf.DUMMYFUNCTION("""COMPUTED_VALUE"""),"Jonathan Lewy")</f>
        <v>Jonathan Lewy</v>
      </c>
      <c r="D138" s="49" t="str">
        <f>IFERROR(__xludf.DUMMYFUNCTION("""COMPUTED_VALUE"""),"2019/11/07 12:52:00")</f>
        <v>2019/11/07 12:52:00</v>
      </c>
      <c r="E138" s="49" t="str">
        <f>IFERROR(__xludf.DUMMYFUNCTION("""COMPUTED_VALUE"""),"2019/11/07 13:03:00")</f>
        <v>2019/11/07 13:03:00</v>
      </c>
      <c r="F138" s="49" t="str">
        <f>IFERROR(__xludf.DUMMYFUNCTION("""COMPUTED_VALUE"""),"072a9b1f-9290-4549-9dc8-f25e97947463")</f>
        <v>072a9b1f-9290-4549-9dc8-f25e97947463</v>
      </c>
      <c r="G138" s="52">
        <f>IFERROR(__xludf.DUMMYFUNCTION("""COMPUTED_VALUE"""),43776.0)</f>
        <v>43776</v>
      </c>
      <c r="H138" s="53">
        <f>IFERROR(__xludf.DUMMYFUNCTION("""COMPUTED_VALUE"""),0.5361111111111111)</f>
        <v>0.5361111111</v>
      </c>
      <c r="I138" s="52">
        <f>IFERROR(__xludf.DUMMYFUNCTION("""COMPUTED_VALUE"""),43776.0)</f>
        <v>43776</v>
      </c>
      <c r="J138" s="53">
        <f>IFERROR(__xludf.DUMMYFUNCTION("""COMPUTED_VALUE"""),0.54375)</f>
        <v>0.54375</v>
      </c>
      <c r="K138" s="53">
        <f t="shared" si="1"/>
        <v>0.007638888889</v>
      </c>
      <c r="L138" s="49" t="s">
        <v>585</v>
      </c>
      <c r="M138" s="49"/>
      <c r="N138" s="49"/>
      <c r="O138" s="48"/>
      <c r="P138" s="48"/>
      <c r="Q138" s="63"/>
      <c r="R138" s="49"/>
      <c r="S138" s="49"/>
      <c r="T138" s="49"/>
    </row>
    <row r="139">
      <c r="A139" s="49" t="str">
        <f>IFERROR(__xludf.DUMMYFUNCTION("""COMPUTED_VALUE"""),"How to build a successful marketplace: The Fairygodboss story")</f>
        <v>How to build a successful marketplace: The Fairygodboss story</v>
      </c>
      <c r="B139" s="49" t="str">
        <f>IFERROR(__xludf.DUMMYFUNCTION("""COMPUTED_VALUE"""),"Growth Summit")</f>
        <v>Growth Summit</v>
      </c>
      <c r="C139" s="49" t="str">
        <f>IFERROR(__xludf.DUMMYFUNCTION("""COMPUTED_VALUE"""),"Georgene Huang")</f>
        <v>Georgene Huang</v>
      </c>
      <c r="D139" s="49" t="str">
        <f>IFERROR(__xludf.DUMMYFUNCTION("""COMPUTED_VALUE"""),"2019/11/07 13:03:00")</f>
        <v>2019/11/07 13:03:00</v>
      </c>
      <c r="E139" s="49" t="str">
        <f>IFERROR(__xludf.DUMMYFUNCTION("""COMPUTED_VALUE"""),"2019/11/07 13:14:00")</f>
        <v>2019/11/07 13:14:00</v>
      </c>
      <c r="F139" s="49" t="str">
        <f>IFERROR(__xludf.DUMMYFUNCTION("""COMPUTED_VALUE"""),"4bc10051-3927-412f-be5b-8fb50fec22af")</f>
        <v>4bc10051-3927-412f-be5b-8fb50fec22af</v>
      </c>
      <c r="G139" s="52">
        <f>IFERROR(__xludf.DUMMYFUNCTION("""COMPUTED_VALUE"""),43776.0)</f>
        <v>43776</v>
      </c>
      <c r="H139" s="53">
        <f>IFERROR(__xludf.DUMMYFUNCTION("""COMPUTED_VALUE"""),0.54375)</f>
        <v>0.54375</v>
      </c>
      <c r="I139" s="52">
        <f>IFERROR(__xludf.DUMMYFUNCTION("""COMPUTED_VALUE"""),43776.0)</f>
        <v>43776</v>
      </c>
      <c r="J139" s="53">
        <f>IFERROR(__xludf.DUMMYFUNCTION("""COMPUTED_VALUE"""),0.5513888888888889)</f>
        <v>0.5513888889</v>
      </c>
      <c r="K139" s="53">
        <f t="shared" si="1"/>
        <v>0.007638888889</v>
      </c>
      <c r="L139" s="49" t="s">
        <v>585</v>
      </c>
      <c r="M139" s="49"/>
      <c r="N139" s="49"/>
      <c r="O139" s="48"/>
      <c r="P139" s="48"/>
      <c r="Q139" s="63"/>
      <c r="R139" s="49"/>
      <c r="S139" s="49"/>
      <c r="T139" s="49"/>
    </row>
    <row r="140">
      <c r="A140" s="49" t="str">
        <f>IFERROR(__xludf.DUMMYFUNCTION("""COMPUTED_VALUE"""),"Building a global ecosystem")</f>
        <v>Building a global ecosystem</v>
      </c>
      <c r="B140" s="49" t="str">
        <f>IFERROR(__xludf.DUMMYFUNCTION("""COMPUTED_VALUE"""),"Growth Summit")</f>
        <v>Growth Summit</v>
      </c>
      <c r="C140" s="49" t="str">
        <f>IFERROR(__xludf.DUMMYFUNCTION("""COMPUTED_VALUE"""),"Sebastien Codeville")</f>
        <v>Sebastien Codeville</v>
      </c>
      <c r="D140" s="49" t="str">
        <f>IFERROR(__xludf.DUMMYFUNCTION("""COMPUTED_VALUE"""),"2019/11/07 13:14:00")</f>
        <v>2019/11/07 13:14:00</v>
      </c>
      <c r="E140" s="49" t="str">
        <f>IFERROR(__xludf.DUMMYFUNCTION("""COMPUTED_VALUE"""),"2019/11/07 13:25:00")</f>
        <v>2019/11/07 13:25:00</v>
      </c>
      <c r="F140" s="49" t="str">
        <f>IFERROR(__xludf.DUMMYFUNCTION("""COMPUTED_VALUE"""),"bb3601e0-eeae-4d54-a99e-a93b6a3d345d")</f>
        <v>bb3601e0-eeae-4d54-a99e-a93b6a3d345d</v>
      </c>
      <c r="G140" s="52">
        <f>IFERROR(__xludf.DUMMYFUNCTION("""COMPUTED_VALUE"""),43776.0)</f>
        <v>43776</v>
      </c>
      <c r="H140" s="53">
        <f>IFERROR(__xludf.DUMMYFUNCTION("""COMPUTED_VALUE"""),0.5513888888888889)</f>
        <v>0.5513888889</v>
      </c>
      <c r="I140" s="52">
        <f>IFERROR(__xludf.DUMMYFUNCTION("""COMPUTED_VALUE"""),43776.0)</f>
        <v>43776</v>
      </c>
      <c r="J140" s="53">
        <f>IFERROR(__xludf.DUMMYFUNCTION("""COMPUTED_VALUE"""),0.5590277777777778)</f>
        <v>0.5590277778</v>
      </c>
      <c r="K140" s="53">
        <f t="shared" si="1"/>
        <v>0.007638888889</v>
      </c>
      <c r="L140" s="49" t="s">
        <v>585</v>
      </c>
      <c r="M140" s="49"/>
      <c r="N140" s="49"/>
      <c r="O140" s="48"/>
      <c r="P140" s="48"/>
      <c r="Q140" s="63"/>
      <c r="R140" s="49"/>
      <c r="S140" s="49"/>
      <c r="T140" s="49"/>
    </row>
    <row r="141">
      <c r="A141" s="49" t="str">
        <f>IFERROR(__xludf.DUMMYFUNCTION("""COMPUTED_VALUE"""),"Next level car ownership or how to tap a future mass market")</f>
        <v>Next level car ownership or how to tap a future mass market</v>
      </c>
      <c r="B141" s="49" t="str">
        <f>IFERROR(__xludf.DUMMYFUNCTION("""COMPUTED_VALUE"""),"Growth Summit")</f>
        <v>Growth Summit</v>
      </c>
      <c r="C141" s="49" t="str">
        <f>IFERROR(__xludf.DUMMYFUNCTION("""COMPUTED_VALUE"""),"Nico Polleti")</f>
        <v>Nico Polleti</v>
      </c>
      <c r="D141" s="49" t="str">
        <f>IFERROR(__xludf.DUMMYFUNCTION("""COMPUTED_VALUE"""),"2019/11/07 13:25:00")</f>
        <v>2019/11/07 13:25:00</v>
      </c>
      <c r="E141" s="49" t="str">
        <f>IFERROR(__xludf.DUMMYFUNCTION("""COMPUTED_VALUE"""),"2019/11/07 13:36:00")</f>
        <v>2019/11/07 13:36:00</v>
      </c>
      <c r="F141" s="49" t="str">
        <f>IFERROR(__xludf.DUMMYFUNCTION("""COMPUTED_VALUE"""),"86373d52-bc38-4724-9f55-61cb9eb03542")</f>
        <v>86373d52-bc38-4724-9f55-61cb9eb03542</v>
      </c>
      <c r="G141" s="52">
        <f>IFERROR(__xludf.DUMMYFUNCTION("""COMPUTED_VALUE"""),43776.0)</f>
        <v>43776</v>
      </c>
      <c r="H141" s="53">
        <f>IFERROR(__xludf.DUMMYFUNCTION("""COMPUTED_VALUE"""),0.5590277777777778)</f>
        <v>0.5590277778</v>
      </c>
      <c r="I141" s="52">
        <f>IFERROR(__xludf.DUMMYFUNCTION("""COMPUTED_VALUE"""),43776.0)</f>
        <v>43776</v>
      </c>
      <c r="J141" s="53">
        <f>IFERROR(__xludf.DUMMYFUNCTION("""COMPUTED_VALUE"""),0.5666666666666667)</f>
        <v>0.5666666667</v>
      </c>
      <c r="K141" s="53">
        <f t="shared" si="1"/>
        <v>0.007638888889</v>
      </c>
      <c r="L141" s="49" t="s">
        <v>585</v>
      </c>
      <c r="M141" s="49"/>
      <c r="N141" s="49"/>
      <c r="O141" s="48"/>
      <c r="P141" s="48"/>
      <c r="Q141" s="63"/>
      <c r="R141" s="49"/>
      <c r="S141" s="49"/>
      <c r="T141" s="49"/>
    </row>
    <row r="142">
      <c r="A142" s="49" t="str">
        <f>IFERROR(__xludf.DUMMYFUNCTION("""COMPUTED_VALUE"""),"Building the company we want to work for: Peakon and a values driven culture")</f>
        <v>Building the company we want to work for: Peakon and a values driven culture</v>
      </c>
      <c r="B142" s="49" t="str">
        <f>IFERROR(__xludf.DUMMYFUNCTION("""COMPUTED_VALUE"""),"Growth Summit")</f>
        <v>Growth Summit</v>
      </c>
      <c r="C142" s="49" t="str">
        <f>IFERROR(__xludf.DUMMYFUNCTION("""COMPUTED_VALUE"""),"Phil Chambers")</f>
        <v>Phil Chambers</v>
      </c>
      <c r="D142" s="49" t="str">
        <f>IFERROR(__xludf.DUMMYFUNCTION("""COMPUTED_VALUE"""),"2019/11/07 13:36:00")</f>
        <v>2019/11/07 13:36:00</v>
      </c>
      <c r="E142" s="49" t="str">
        <f>IFERROR(__xludf.DUMMYFUNCTION("""COMPUTED_VALUE"""),"2019/11/07 13:47:00")</f>
        <v>2019/11/07 13:47:00</v>
      </c>
      <c r="F142" s="49" t="str">
        <f>IFERROR(__xludf.DUMMYFUNCTION("""COMPUTED_VALUE"""),"2e070efe-0b5b-48de-a7cb-32e17e809d15")</f>
        <v>2e070efe-0b5b-48de-a7cb-32e17e809d15</v>
      </c>
      <c r="G142" s="52">
        <f>IFERROR(__xludf.DUMMYFUNCTION("""COMPUTED_VALUE"""),43776.0)</f>
        <v>43776</v>
      </c>
      <c r="H142" s="53">
        <f>IFERROR(__xludf.DUMMYFUNCTION("""COMPUTED_VALUE"""),0.5666666666666667)</f>
        <v>0.5666666667</v>
      </c>
      <c r="I142" s="52">
        <f>IFERROR(__xludf.DUMMYFUNCTION("""COMPUTED_VALUE"""),43776.0)</f>
        <v>43776</v>
      </c>
      <c r="J142" s="53">
        <f>IFERROR(__xludf.DUMMYFUNCTION("""COMPUTED_VALUE"""),0.5743055555555555)</f>
        <v>0.5743055556</v>
      </c>
      <c r="K142" s="53">
        <f t="shared" si="1"/>
        <v>0.007638888889</v>
      </c>
      <c r="L142" s="49" t="s">
        <v>585</v>
      </c>
      <c r="M142" s="49"/>
      <c r="N142" s="49"/>
      <c r="O142" s="48"/>
      <c r="P142" s="48"/>
      <c r="Q142" s="63"/>
      <c r="R142" s="49"/>
      <c r="S142" s="49"/>
      <c r="T142" s="49"/>
    </row>
    <row r="143">
      <c r="A143" s="49" t="str">
        <f>IFERROR(__xludf.DUMMYFUNCTION("""COMPUTED_VALUE"""),"Mawdoo3.com: How quality content and AI made them the world's most visited Arabic website")</f>
        <v>Mawdoo3.com: How quality content and AI made them the world's most visited Arabic website</v>
      </c>
      <c r="B143" s="49" t="str">
        <f>IFERROR(__xludf.DUMMYFUNCTION("""COMPUTED_VALUE"""),"Growth Summit")</f>
        <v>Growth Summit</v>
      </c>
      <c r="C143" s="49" t="str">
        <f>IFERROR(__xludf.DUMMYFUNCTION("""COMPUTED_VALUE"""),"Rami Al-Qawasmi")</f>
        <v>Rami Al-Qawasmi</v>
      </c>
      <c r="D143" s="49" t="str">
        <f>IFERROR(__xludf.DUMMYFUNCTION("""COMPUTED_VALUE"""),"2019/11/07 13:47:00")</f>
        <v>2019/11/07 13:47:00</v>
      </c>
      <c r="E143" s="49" t="str">
        <f>IFERROR(__xludf.DUMMYFUNCTION("""COMPUTED_VALUE"""),"2019/11/07 13:58:00")</f>
        <v>2019/11/07 13:58:00</v>
      </c>
      <c r="F143" s="49" t="str">
        <f>IFERROR(__xludf.DUMMYFUNCTION("""COMPUTED_VALUE"""),"6882af20-c700-49db-96d4-f7b53cbbac7e")</f>
        <v>6882af20-c700-49db-96d4-f7b53cbbac7e</v>
      </c>
      <c r="G143" s="52">
        <f>IFERROR(__xludf.DUMMYFUNCTION("""COMPUTED_VALUE"""),43776.0)</f>
        <v>43776</v>
      </c>
      <c r="H143" s="53">
        <f>IFERROR(__xludf.DUMMYFUNCTION("""COMPUTED_VALUE"""),0.5743055555555555)</f>
        <v>0.5743055556</v>
      </c>
      <c r="I143" s="52">
        <f>IFERROR(__xludf.DUMMYFUNCTION("""COMPUTED_VALUE"""),43776.0)</f>
        <v>43776</v>
      </c>
      <c r="J143" s="53">
        <f>IFERROR(__xludf.DUMMYFUNCTION("""COMPUTED_VALUE"""),0.5819444444444445)</f>
        <v>0.5819444444</v>
      </c>
      <c r="K143" s="53">
        <f t="shared" si="1"/>
        <v>0.007638888889</v>
      </c>
      <c r="L143" s="49" t="s">
        <v>585</v>
      </c>
      <c r="M143" s="49"/>
      <c r="N143" s="49"/>
      <c r="O143" s="48"/>
      <c r="P143" s="48"/>
      <c r="Q143" s="63"/>
      <c r="R143" s="49"/>
      <c r="S143" s="49"/>
      <c r="T143" s="49"/>
    </row>
    <row r="144">
      <c r="A144" s="49" t="str">
        <f>IFERROR(__xludf.DUMMYFUNCTION("""COMPUTED_VALUE"""),"The next generation of CRISPR")</f>
        <v>The next generation of CRISPR</v>
      </c>
      <c r="B144" s="49" t="str">
        <f>IFERROR(__xludf.DUMMYFUNCTION("""COMPUTED_VALUE"""),"Growth Summit")</f>
        <v>Growth Summit</v>
      </c>
      <c r="C144" s="49" t="str">
        <f>IFERROR(__xludf.DUMMYFUNCTION("""COMPUTED_VALUE"""),"Trevor Martin")</f>
        <v>Trevor Martin</v>
      </c>
      <c r="D144" s="49" t="str">
        <f>IFERROR(__xludf.DUMMYFUNCTION("""COMPUTED_VALUE"""),"2019/11/07 13:58:00")</f>
        <v>2019/11/07 13:58:00</v>
      </c>
      <c r="E144" s="49" t="str">
        <f>IFERROR(__xludf.DUMMYFUNCTION("""COMPUTED_VALUE"""),"2019/11/07 14:09:00")</f>
        <v>2019/11/07 14:09:00</v>
      </c>
      <c r="F144" s="49" t="str">
        <f>IFERROR(__xludf.DUMMYFUNCTION("""COMPUTED_VALUE"""),"0f8b290c-0329-4873-b798-cf319141eafd")</f>
        <v>0f8b290c-0329-4873-b798-cf319141eafd</v>
      </c>
      <c r="G144" s="52">
        <f>IFERROR(__xludf.DUMMYFUNCTION("""COMPUTED_VALUE"""),43776.0)</f>
        <v>43776</v>
      </c>
      <c r="H144" s="53">
        <f>IFERROR(__xludf.DUMMYFUNCTION("""COMPUTED_VALUE"""),0.5819444444444445)</f>
        <v>0.5819444444</v>
      </c>
      <c r="I144" s="52">
        <f>IFERROR(__xludf.DUMMYFUNCTION("""COMPUTED_VALUE"""),43776.0)</f>
        <v>43776</v>
      </c>
      <c r="J144" s="53">
        <f>IFERROR(__xludf.DUMMYFUNCTION("""COMPUTED_VALUE"""),0.5895833333333333)</f>
        <v>0.5895833333</v>
      </c>
      <c r="K144" s="53">
        <f t="shared" si="1"/>
        <v>0.007638888889</v>
      </c>
      <c r="L144" s="49" t="s">
        <v>585</v>
      </c>
      <c r="M144" s="49"/>
      <c r="N144" s="49"/>
      <c r="O144" s="48"/>
      <c r="P144" s="48"/>
      <c r="Q144" s="63"/>
      <c r="R144" s="49"/>
      <c r="S144" s="49"/>
      <c r="T144" s="49"/>
    </row>
    <row r="145">
      <c r="A145" s="49" t="str">
        <f>IFERROR(__xludf.DUMMYFUNCTION("""COMPUTED_VALUE"""),"Space within your reach: How micro-satellites will democratise the way we use space")</f>
        <v>Space within your reach: How micro-satellites will democratise the way we use space</v>
      </c>
      <c r="B145" s="49" t="str">
        <f>IFERROR(__xludf.DUMMYFUNCTION("""COMPUTED_VALUE"""),"Growth Summit")</f>
        <v>Growth Summit</v>
      </c>
      <c r="C145" s="49" t="str">
        <f>IFERROR(__xludf.DUMMYFUNCTION("""COMPUTED_VALUE"""),"Yuya Nakamura")</f>
        <v>Yuya Nakamura</v>
      </c>
      <c r="D145" s="49" t="str">
        <f>IFERROR(__xludf.DUMMYFUNCTION("""COMPUTED_VALUE"""),"2019/11/07 14:09:00")</f>
        <v>2019/11/07 14:09:00</v>
      </c>
      <c r="E145" s="49" t="str">
        <f>IFERROR(__xludf.DUMMYFUNCTION("""COMPUTED_VALUE"""),"2019/11/07 14:20:00")</f>
        <v>2019/11/07 14:20:00</v>
      </c>
      <c r="F145" s="49" t="str">
        <f>IFERROR(__xludf.DUMMYFUNCTION("""COMPUTED_VALUE"""),"a347aa86-5ab9-4875-ac16-e6900d8dd0c0")</f>
        <v>a347aa86-5ab9-4875-ac16-e6900d8dd0c0</v>
      </c>
      <c r="G145" s="52">
        <f>IFERROR(__xludf.DUMMYFUNCTION("""COMPUTED_VALUE"""),43776.0)</f>
        <v>43776</v>
      </c>
      <c r="H145" s="53">
        <f>IFERROR(__xludf.DUMMYFUNCTION("""COMPUTED_VALUE"""),0.5895833333333333)</f>
        <v>0.5895833333</v>
      </c>
      <c r="I145" s="52">
        <f>IFERROR(__xludf.DUMMYFUNCTION("""COMPUTED_VALUE"""),43776.0)</f>
        <v>43776</v>
      </c>
      <c r="J145" s="53">
        <f>IFERROR(__xludf.DUMMYFUNCTION("""COMPUTED_VALUE"""),0.5972222222222222)</f>
        <v>0.5972222222</v>
      </c>
      <c r="K145" s="53">
        <f t="shared" si="1"/>
        <v>0.007638888889</v>
      </c>
      <c r="L145" s="49" t="s">
        <v>585</v>
      </c>
      <c r="M145" s="49"/>
      <c r="N145" s="49"/>
      <c r="O145" s="48"/>
      <c r="P145" s="48"/>
      <c r="Q145" s="63"/>
      <c r="R145" s="49"/>
      <c r="S145" s="49"/>
      <c r="T145" s="49"/>
    </row>
    <row r="146">
      <c r="A146" s="49" t="str">
        <f>IFERROR(__xludf.DUMMYFUNCTION("""COMPUTED_VALUE"""),"Exponential growth in traditional markets ")</f>
        <v>Exponential growth in traditional markets </v>
      </c>
      <c r="B146" s="49" t="str">
        <f>IFERROR(__xludf.DUMMYFUNCTION("""COMPUTED_VALUE"""),"Growth Summit")</f>
        <v>Growth Summit</v>
      </c>
      <c r="C146" s="49" t="str">
        <f>IFERROR(__xludf.DUMMYFUNCTION("""COMPUTED_VALUE"""),"Gal Shaul")</f>
        <v>Gal Shaul</v>
      </c>
      <c r="D146" s="49" t="str">
        <f>IFERROR(__xludf.DUMMYFUNCTION("""COMPUTED_VALUE"""),"2019/11/07 14:20:00")</f>
        <v>2019/11/07 14:20:00</v>
      </c>
      <c r="E146" s="49" t="str">
        <f>IFERROR(__xludf.DUMMYFUNCTION("""COMPUTED_VALUE"""),"2019/11/07 14:31:00")</f>
        <v>2019/11/07 14:31:00</v>
      </c>
      <c r="F146" s="49" t="str">
        <f>IFERROR(__xludf.DUMMYFUNCTION("""COMPUTED_VALUE"""),"1c4c7be2-0143-4568-ad7c-441ae6753d71")</f>
        <v>1c4c7be2-0143-4568-ad7c-441ae6753d71</v>
      </c>
      <c r="G146" s="52">
        <f>IFERROR(__xludf.DUMMYFUNCTION("""COMPUTED_VALUE"""),43776.0)</f>
        <v>43776</v>
      </c>
      <c r="H146" s="53">
        <f>IFERROR(__xludf.DUMMYFUNCTION("""COMPUTED_VALUE"""),0.5972222222222222)</f>
        <v>0.5972222222</v>
      </c>
      <c r="I146" s="52">
        <f>IFERROR(__xludf.DUMMYFUNCTION("""COMPUTED_VALUE"""),43776.0)</f>
        <v>43776</v>
      </c>
      <c r="J146" s="53">
        <f>IFERROR(__xludf.DUMMYFUNCTION("""COMPUTED_VALUE"""),0.6048611111111111)</f>
        <v>0.6048611111</v>
      </c>
      <c r="K146" s="53">
        <f t="shared" si="1"/>
        <v>0.007638888889</v>
      </c>
      <c r="L146" s="49" t="s">
        <v>585</v>
      </c>
      <c r="M146" s="49"/>
      <c r="N146" s="49"/>
      <c r="O146" s="48"/>
      <c r="P146" s="48"/>
      <c r="Q146" s="63"/>
      <c r="R146" s="49"/>
      <c r="S146" s="49"/>
      <c r="T146" s="49"/>
    </row>
    <row r="147">
      <c r="A147" s="49" t="str">
        <f>IFERROR(__xludf.DUMMYFUNCTION("""COMPUTED_VALUE"""),"Hypergrowth and climate change")</f>
        <v>Hypergrowth and climate change</v>
      </c>
      <c r="B147" s="49" t="str">
        <f>IFERROR(__xludf.DUMMYFUNCTION("""COMPUTED_VALUE"""),"Growth Summit")</f>
        <v>Growth Summit</v>
      </c>
      <c r="C147" s="49" t="str">
        <f>IFERROR(__xludf.DUMMYFUNCTION("""COMPUTED_VALUE"""),"Hayden Wood")</f>
        <v>Hayden Wood</v>
      </c>
      <c r="D147" s="49" t="str">
        <f>IFERROR(__xludf.DUMMYFUNCTION("""COMPUTED_VALUE"""),"2019/11/07 14:31:00")</f>
        <v>2019/11/07 14:31:00</v>
      </c>
      <c r="E147" s="49" t="str">
        <f>IFERROR(__xludf.DUMMYFUNCTION("""COMPUTED_VALUE"""),"2019/11/07 14:42:00")</f>
        <v>2019/11/07 14:42:00</v>
      </c>
      <c r="F147" s="49" t="str">
        <f>IFERROR(__xludf.DUMMYFUNCTION("""COMPUTED_VALUE"""),"7628220b-6aa2-47b0-9a4d-ea1f7ff60d5b")</f>
        <v>7628220b-6aa2-47b0-9a4d-ea1f7ff60d5b</v>
      </c>
      <c r="G147" s="52">
        <f>IFERROR(__xludf.DUMMYFUNCTION("""COMPUTED_VALUE"""),43776.0)</f>
        <v>43776</v>
      </c>
      <c r="H147" s="53">
        <f>IFERROR(__xludf.DUMMYFUNCTION("""COMPUTED_VALUE"""),0.6048611111111111)</f>
        <v>0.6048611111</v>
      </c>
      <c r="I147" s="52">
        <f>IFERROR(__xludf.DUMMYFUNCTION("""COMPUTED_VALUE"""),43776.0)</f>
        <v>43776</v>
      </c>
      <c r="J147" s="53">
        <f>IFERROR(__xludf.DUMMYFUNCTION("""COMPUTED_VALUE"""),0.6125)</f>
        <v>0.6125</v>
      </c>
      <c r="K147" s="53">
        <f t="shared" si="1"/>
        <v>0.007638888889</v>
      </c>
      <c r="L147" s="49" t="s">
        <v>585</v>
      </c>
      <c r="M147" s="49"/>
      <c r="N147" s="49"/>
      <c r="O147" s="48"/>
      <c r="P147" s="48"/>
      <c r="Q147" s="63"/>
      <c r="R147" s="49"/>
      <c r="S147" s="49"/>
      <c r="T147" s="49"/>
    </row>
    <row r="148">
      <c r="A148" s="49" t="str">
        <f>IFERROR(__xludf.DUMMYFUNCTION("""COMPUTED_VALUE"""),"Building a Gen Z marketplace")</f>
        <v>Building a Gen Z marketplace</v>
      </c>
      <c r="B148" s="49" t="str">
        <f>IFERROR(__xludf.DUMMYFUNCTION("""COMPUTED_VALUE"""),"Growth Summit")</f>
        <v>Growth Summit</v>
      </c>
      <c r="C148" s="49" t="str">
        <f>IFERROR(__xludf.DUMMYFUNCTION("""COMPUTED_VALUE"""),"Maria Raga")</f>
        <v>Maria Raga</v>
      </c>
      <c r="D148" s="49" t="str">
        <f>IFERROR(__xludf.DUMMYFUNCTION("""COMPUTED_VALUE"""),"2019/11/07 14:42:00")</f>
        <v>2019/11/07 14:42:00</v>
      </c>
      <c r="E148" s="49" t="str">
        <f>IFERROR(__xludf.DUMMYFUNCTION("""COMPUTED_VALUE"""),"2019/11/07 14:53:00")</f>
        <v>2019/11/07 14:53:00</v>
      </c>
      <c r="F148" s="49" t="str">
        <f>IFERROR(__xludf.DUMMYFUNCTION("""COMPUTED_VALUE"""),"7409bcaa-3df1-498a-8d79-885b260aad51")</f>
        <v>7409bcaa-3df1-498a-8d79-885b260aad51</v>
      </c>
      <c r="G148" s="52">
        <f>IFERROR(__xludf.DUMMYFUNCTION("""COMPUTED_VALUE"""),43776.0)</f>
        <v>43776</v>
      </c>
      <c r="H148" s="53">
        <f>IFERROR(__xludf.DUMMYFUNCTION("""COMPUTED_VALUE"""),0.6125)</f>
        <v>0.6125</v>
      </c>
      <c r="I148" s="52">
        <f>IFERROR(__xludf.DUMMYFUNCTION("""COMPUTED_VALUE"""),43776.0)</f>
        <v>43776</v>
      </c>
      <c r="J148" s="53">
        <f>IFERROR(__xludf.DUMMYFUNCTION("""COMPUTED_VALUE"""),0.6201388888888889)</f>
        <v>0.6201388889</v>
      </c>
      <c r="K148" s="53">
        <f t="shared" si="1"/>
        <v>0.007638888889</v>
      </c>
      <c r="L148" s="49" t="s">
        <v>585</v>
      </c>
      <c r="M148" s="49"/>
      <c r="N148" s="49"/>
      <c r="O148" s="48"/>
      <c r="P148" s="48"/>
      <c r="Q148" s="63"/>
      <c r="R148" s="49"/>
      <c r="S148" s="49"/>
      <c r="T148" s="49"/>
    </row>
    <row r="149">
      <c r="A149" s="49" t="str">
        <f>IFERROR(__xludf.DUMMYFUNCTION("""COMPUTED_VALUE"""),"Eliminate the Noise")</f>
        <v>Eliminate the Noise</v>
      </c>
      <c r="B149" s="49" t="str">
        <f>IFERROR(__xludf.DUMMYFUNCTION("""COMPUTED_VALUE"""),"Growth Summit")</f>
        <v>Growth Summit</v>
      </c>
      <c r="C149" s="49" t="str">
        <f>IFERROR(__xludf.DUMMYFUNCTION("""COMPUTED_VALUE"""),"Amir Barsoum")</f>
        <v>Amir Barsoum</v>
      </c>
      <c r="D149" s="49" t="str">
        <f>IFERROR(__xludf.DUMMYFUNCTION("""COMPUTED_VALUE"""),"2019/11/07 14:53:00")</f>
        <v>2019/11/07 14:53:00</v>
      </c>
      <c r="E149" s="49" t="str">
        <f>IFERROR(__xludf.DUMMYFUNCTION("""COMPUTED_VALUE"""),"2019/11/07 15:04:00")</f>
        <v>2019/11/07 15:04:00</v>
      </c>
      <c r="F149" s="49" t="str">
        <f>IFERROR(__xludf.DUMMYFUNCTION("""COMPUTED_VALUE"""),"b216ab08-5bd3-4067-87e3-5756a474a249")</f>
        <v>b216ab08-5bd3-4067-87e3-5756a474a249</v>
      </c>
      <c r="G149" s="52">
        <f>IFERROR(__xludf.DUMMYFUNCTION("""COMPUTED_VALUE"""),43776.0)</f>
        <v>43776</v>
      </c>
      <c r="H149" s="53">
        <f>IFERROR(__xludf.DUMMYFUNCTION("""COMPUTED_VALUE"""),0.6201388888888889)</f>
        <v>0.6201388889</v>
      </c>
      <c r="I149" s="52">
        <f>IFERROR(__xludf.DUMMYFUNCTION("""COMPUTED_VALUE"""),43776.0)</f>
        <v>43776</v>
      </c>
      <c r="J149" s="53">
        <f>IFERROR(__xludf.DUMMYFUNCTION("""COMPUTED_VALUE"""),0.6277777777777778)</f>
        <v>0.6277777778</v>
      </c>
      <c r="K149" s="53">
        <f t="shared" si="1"/>
        <v>0.007638888889</v>
      </c>
      <c r="L149" s="49" t="s">
        <v>585</v>
      </c>
      <c r="M149" s="49"/>
      <c r="N149" s="49"/>
      <c r="O149" s="48"/>
      <c r="P149" s="48"/>
      <c r="Q149" s="63"/>
      <c r="R149" s="49"/>
      <c r="S149" s="49"/>
      <c r="T149" s="49"/>
    </row>
    <row r="150">
      <c r="A150" s="49" t="str">
        <f>IFERROR(__xludf.DUMMYFUNCTION("""COMPUTED_VALUE"""),"Four key components: The modern growth marketing strategy")</f>
        <v>Four key components: The modern growth marketing strategy</v>
      </c>
      <c r="B150" s="49" t="str">
        <f>IFERROR(__xludf.DUMMYFUNCTION("""COMPUTED_VALUE"""),"Growth Summit")</f>
        <v>Growth Summit</v>
      </c>
      <c r="C150" s="49" t="str">
        <f>IFERROR(__xludf.DUMMYFUNCTION("""COMPUTED_VALUE"""),"Susan Kuo")</f>
        <v>Susan Kuo</v>
      </c>
      <c r="D150" s="49" t="str">
        <f>IFERROR(__xludf.DUMMYFUNCTION("""COMPUTED_VALUE"""),"2019/11/07 15:04:00")</f>
        <v>2019/11/07 15:04:00</v>
      </c>
      <c r="E150" s="49" t="str">
        <f>IFERROR(__xludf.DUMMYFUNCTION("""COMPUTED_VALUE"""),"2019/11/07 15:15:00")</f>
        <v>2019/11/07 15:15:00</v>
      </c>
      <c r="F150" s="49" t="str">
        <f>IFERROR(__xludf.DUMMYFUNCTION("""COMPUTED_VALUE"""),"5c234518-ff3f-4dcb-ade9-0188febd7d55")</f>
        <v>5c234518-ff3f-4dcb-ade9-0188febd7d55</v>
      </c>
      <c r="G150" s="52">
        <f>IFERROR(__xludf.DUMMYFUNCTION("""COMPUTED_VALUE"""),43776.0)</f>
        <v>43776</v>
      </c>
      <c r="H150" s="53">
        <f>IFERROR(__xludf.DUMMYFUNCTION("""COMPUTED_VALUE"""),0.6277777777777778)</f>
        <v>0.6277777778</v>
      </c>
      <c r="I150" s="52">
        <f>IFERROR(__xludf.DUMMYFUNCTION("""COMPUTED_VALUE"""),43776.0)</f>
        <v>43776</v>
      </c>
      <c r="J150" s="53">
        <f>IFERROR(__xludf.DUMMYFUNCTION("""COMPUTED_VALUE"""),0.6354166666666666)</f>
        <v>0.6354166667</v>
      </c>
      <c r="K150" s="53">
        <f t="shared" si="1"/>
        <v>0.007638888889</v>
      </c>
      <c r="L150" s="49" t="s">
        <v>585</v>
      </c>
      <c r="M150" s="49"/>
      <c r="N150" s="49"/>
      <c r="O150" s="48"/>
      <c r="P150" s="48"/>
      <c r="Q150" s="63"/>
      <c r="R150" s="49"/>
      <c r="S150" s="49"/>
      <c r="T150" s="49"/>
    </row>
    <row r="151">
      <c r="A151" s="49" t="str">
        <f>IFERROR(__xludf.DUMMYFUNCTION("""COMPUTED_VALUE"""),"Crowdsourcing is the future of beauty")</f>
        <v>Crowdsourcing is the future of beauty</v>
      </c>
      <c r="B151" s="49" t="str">
        <f>IFERROR(__xludf.DUMMYFUNCTION("""COMPUTED_VALUE"""),"Growth Summit")</f>
        <v>Growth Summit</v>
      </c>
      <c r="C151" s="49" t="str">
        <f>IFERROR(__xludf.DUMMYFUNCTION("""COMPUTED_VALUE"""),"Mariya Nurislamova")</f>
        <v>Mariya Nurislamova</v>
      </c>
      <c r="D151" s="49" t="str">
        <f>IFERROR(__xludf.DUMMYFUNCTION("""COMPUTED_VALUE"""),"2019/11/07 15:15:00")</f>
        <v>2019/11/07 15:15:00</v>
      </c>
      <c r="E151" s="49" t="str">
        <f>IFERROR(__xludf.DUMMYFUNCTION("""COMPUTED_VALUE"""),"2019/11/07 15:26:00")</f>
        <v>2019/11/07 15:26:00</v>
      </c>
      <c r="F151" s="49" t="str">
        <f>IFERROR(__xludf.DUMMYFUNCTION("""COMPUTED_VALUE"""),"23e74f82-23c4-4b53-a988-85427bff99ea")</f>
        <v>23e74f82-23c4-4b53-a988-85427bff99ea</v>
      </c>
      <c r="G151" s="52">
        <f>IFERROR(__xludf.DUMMYFUNCTION("""COMPUTED_VALUE"""),43776.0)</f>
        <v>43776</v>
      </c>
      <c r="H151" s="53">
        <f>IFERROR(__xludf.DUMMYFUNCTION("""COMPUTED_VALUE"""),0.6354166666666666)</f>
        <v>0.6354166667</v>
      </c>
      <c r="I151" s="52">
        <f>IFERROR(__xludf.DUMMYFUNCTION("""COMPUTED_VALUE"""),43776.0)</f>
        <v>43776</v>
      </c>
      <c r="J151" s="53">
        <f>IFERROR(__xludf.DUMMYFUNCTION("""COMPUTED_VALUE"""),0.6430555555555556)</f>
        <v>0.6430555556</v>
      </c>
      <c r="K151" s="53">
        <f t="shared" si="1"/>
        <v>0.007638888889</v>
      </c>
      <c r="L151" s="49" t="s">
        <v>585</v>
      </c>
      <c r="M151" s="49"/>
      <c r="N151" s="49"/>
      <c r="O151" s="48"/>
      <c r="P151" s="48"/>
      <c r="Q151" s="63"/>
      <c r="R151" s="49"/>
      <c r="S151" s="49"/>
      <c r="T151" s="49"/>
    </row>
    <row r="152">
      <c r="A152" s="49" t="str">
        <f>IFERROR(__xludf.DUMMYFUNCTION("""COMPUTED_VALUE"""),"Don't lose sight of the customer")</f>
        <v>Don't lose sight of the customer</v>
      </c>
      <c r="B152" s="49" t="str">
        <f>IFERROR(__xludf.DUMMYFUNCTION("""COMPUTED_VALUE"""),"Growth Summit")</f>
        <v>Growth Summit</v>
      </c>
      <c r="C152" s="49" t="str">
        <f>IFERROR(__xludf.DUMMYFUNCTION("""COMPUTED_VALUE"""),"Joshua Brewer")</f>
        <v>Joshua Brewer</v>
      </c>
      <c r="D152" s="49" t="str">
        <f>IFERROR(__xludf.DUMMYFUNCTION("""COMPUTED_VALUE"""),"2019/11/07 15:26:00")</f>
        <v>2019/11/07 15:26:00</v>
      </c>
      <c r="E152" s="49" t="str">
        <f>IFERROR(__xludf.DUMMYFUNCTION("""COMPUTED_VALUE"""),"2019/11/07 15:37:00")</f>
        <v>2019/11/07 15:37:00</v>
      </c>
      <c r="F152" s="49" t="str">
        <f>IFERROR(__xludf.DUMMYFUNCTION("""COMPUTED_VALUE"""),"b201e2f6-b942-48ae-a4bb-133b45500eeb")</f>
        <v>b201e2f6-b942-48ae-a4bb-133b45500eeb</v>
      </c>
      <c r="G152" s="52">
        <f>IFERROR(__xludf.DUMMYFUNCTION("""COMPUTED_VALUE"""),43776.0)</f>
        <v>43776</v>
      </c>
      <c r="H152" s="53">
        <f>IFERROR(__xludf.DUMMYFUNCTION("""COMPUTED_VALUE"""),0.6430555555555556)</f>
        <v>0.6430555556</v>
      </c>
      <c r="I152" s="52">
        <f>IFERROR(__xludf.DUMMYFUNCTION("""COMPUTED_VALUE"""),43776.0)</f>
        <v>43776</v>
      </c>
      <c r="J152" s="53">
        <f>IFERROR(__xludf.DUMMYFUNCTION("""COMPUTED_VALUE"""),0.6506944444444445)</f>
        <v>0.6506944444</v>
      </c>
      <c r="K152" s="53">
        <f t="shared" si="1"/>
        <v>0.007638888889</v>
      </c>
      <c r="L152" s="49" t="s">
        <v>585</v>
      </c>
      <c r="M152" s="49"/>
      <c r="N152" s="49"/>
      <c r="O152" s="48"/>
      <c r="P152" s="48"/>
      <c r="Q152" s="63"/>
      <c r="R152" s="49"/>
      <c r="S152" s="49"/>
      <c r="T152" s="49"/>
    </row>
    <row r="153">
      <c r="A153" s="49" t="str">
        <f>IFERROR(__xludf.DUMMYFUNCTION("""COMPUTED_VALUE"""),"Tech startups &amp; the case for regulation")</f>
        <v>Tech startups &amp; the case for regulation</v>
      </c>
      <c r="B153" s="49" t="str">
        <f>IFERROR(__xludf.DUMMYFUNCTION("""COMPUTED_VALUE"""),"Growth Summit")</f>
        <v>Growth Summit</v>
      </c>
      <c r="C153" s="49" t="str">
        <f>IFERROR(__xludf.DUMMYFUNCTION("""COMPUTED_VALUE"""),"Fredrik Hjelm")</f>
        <v>Fredrik Hjelm</v>
      </c>
      <c r="D153" s="49" t="str">
        <f>IFERROR(__xludf.DUMMYFUNCTION("""COMPUTED_VALUE"""),"2019/11/07 15:37:00")</f>
        <v>2019/11/07 15:37:00</v>
      </c>
      <c r="E153" s="49" t="str">
        <f>IFERROR(__xludf.DUMMYFUNCTION("""COMPUTED_VALUE"""),"2019/11/07 15:48:00")</f>
        <v>2019/11/07 15:48:00</v>
      </c>
      <c r="F153" s="49" t="str">
        <f>IFERROR(__xludf.DUMMYFUNCTION("""COMPUTED_VALUE"""),"40956abc-cd65-4df3-b9a0-499b89905732")</f>
        <v>40956abc-cd65-4df3-b9a0-499b89905732</v>
      </c>
      <c r="G153" s="52">
        <f>IFERROR(__xludf.DUMMYFUNCTION("""COMPUTED_VALUE"""),43776.0)</f>
        <v>43776</v>
      </c>
      <c r="H153" s="53">
        <f>IFERROR(__xludf.DUMMYFUNCTION("""COMPUTED_VALUE"""),0.6506944444444445)</f>
        <v>0.6506944444</v>
      </c>
      <c r="I153" s="52">
        <f>IFERROR(__xludf.DUMMYFUNCTION("""COMPUTED_VALUE"""),43776.0)</f>
        <v>43776</v>
      </c>
      <c r="J153" s="53">
        <f>IFERROR(__xludf.DUMMYFUNCTION("""COMPUTED_VALUE"""),0.6583333333333333)</f>
        <v>0.6583333333</v>
      </c>
      <c r="K153" s="53">
        <f t="shared" si="1"/>
        <v>0.007638888889</v>
      </c>
      <c r="L153" s="49" t="s">
        <v>585</v>
      </c>
      <c r="M153" s="49"/>
      <c r="N153" s="49"/>
      <c r="O153" s="48"/>
      <c r="P153" s="48"/>
      <c r="Q153" s="63"/>
      <c r="R153" s="49"/>
      <c r="S153" s="49"/>
      <c r="T153" s="49"/>
    </row>
    <row r="154">
      <c r="A154" s="49" t="str">
        <f>IFERROR(__xludf.DUMMYFUNCTION("""COMPUTED_VALUE"""),"Building a unicorn in 48 months")</f>
        <v>Building a unicorn in 48 months</v>
      </c>
      <c r="B154" s="49" t="str">
        <f>IFERROR(__xludf.DUMMYFUNCTION("""COMPUTED_VALUE"""),"Growth Summit")</f>
        <v>Growth Summit</v>
      </c>
      <c r="C154" s="49" t="str">
        <f>IFERROR(__xludf.DUMMYFUNCTION("""COMPUTED_VALUE"""),"Mostafa Kandil")</f>
        <v>Mostafa Kandil</v>
      </c>
      <c r="D154" s="49" t="str">
        <f>IFERROR(__xludf.DUMMYFUNCTION("""COMPUTED_VALUE"""),"2019/11/07 15:48:00")</f>
        <v>2019/11/07 15:48:00</v>
      </c>
      <c r="E154" s="49" t="str">
        <f>IFERROR(__xludf.DUMMYFUNCTION("""COMPUTED_VALUE"""),"2019/11/07 15:59:00")</f>
        <v>2019/11/07 15:59:00</v>
      </c>
      <c r="F154" s="49" t="str">
        <f>IFERROR(__xludf.DUMMYFUNCTION("""COMPUTED_VALUE"""),"cacc34f7-2a9a-4f44-99fb-4183b368745b")</f>
        <v>cacc34f7-2a9a-4f44-99fb-4183b368745b</v>
      </c>
      <c r="G154" s="52">
        <f>IFERROR(__xludf.DUMMYFUNCTION("""COMPUTED_VALUE"""),43776.0)</f>
        <v>43776</v>
      </c>
      <c r="H154" s="53">
        <f>IFERROR(__xludf.DUMMYFUNCTION("""COMPUTED_VALUE"""),0.6583333333333333)</f>
        <v>0.6583333333</v>
      </c>
      <c r="I154" s="52">
        <f>IFERROR(__xludf.DUMMYFUNCTION("""COMPUTED_VALUE"""),43776.0)</f>
        <v>43776</v>
      </c>
      <c r="J154" s="53">
        <f>IFERROR(__xludf.DUMMYFUNCTION("""COMPUTED_VALUE"""),0.6659722222222222)</f>
        <v>0.6659722222</v>
      </c>
      <c r="K154" s="53">
        <f t="shared" si="1"/>
        <v>0.007638888889</v>
      </c>
      <c r="L154" s="49" t="s">
        <v>585</v>
      </c>
      <c r="M154" s="49"/>
      <c r="N154" s="49"/>
      <c r="O154" s="48"/>
      <c r="P154" s="48"/>
      <c r="Q154" s="63"/>
      <c r="R154" s="49"/>
      <c r="S154" s="49"/>
      <c r="T154" s="49"/>
    </row>
    <row r="155">
      <c r="A155" s="49" t="str">
        <f>IFERROR(__xludf.DUMMYFUNCTION("""COMPUTED_VALUE"""),"Lessons from 3000 days of struggle")</f>
        <v>Lessons from 3000 days of struggle</v>
      </c>
      <c r="B155" s="49" t="str">
        <f>IFERROR(__xludf.DUMMYFUNCTION("""COMPUTED_VALUE"""),"Growth Summit")</f>
        <v>Growth Summit</v>
      </c>
      <c r="C155" s="49" t="str">
        <f>IFERROR(__xludf.DUMMYFUNCTION("""COMPUTED_VALUE"""),"Marco Palladino")</f>
        <v>Marco Palladino</v>
      </c>
      <c r="D155" s="49" t="str">
        <f>IFERROR(__xludf.DUMMYFUNCTION("""COMPUTED_VALUE"""),"2019/11/07 15:59:00")</f>
        <v>2019/11/07 15:59:00</v>
      </c>
      <c r="E155" s="49" t="str">
        <f>IFERROR(__xludf.DUMMYFUNCTION("""COMPUTED_VALUE"""),"2019/11/07 16:10:00")</f>
        <v>2019/11/07 16:10:00</v>
      </c>
      <c r="F155" s="49" t="str">
        <f>IFERROR(__xludf.DUMMYFUNCTION("""COMPUTED_VALUE"""),"97fb1a87-6575-4dd8-9f7c-e0193c799658")</f>
        <v>97fb1a87-6575-4dd8-9f7c-e0193c799658</v>
      </c>
      <c r="G155" s="52">
        <f>IFERROR(__xludf.DUMMYFUNCTION("""COMPUTED_VALUE"""),43776.0)</f>
        <v>43776</v>
      </c>
      <c r="H155" s="53">
        <f>IFERROR(__xludf.DUMMYFUNCTION("""COMPUTED_VALUE"""),0.6659722222222222)</f>
        <v>0.6659722222</v>
      </c>
      <c r="I155" s="52">
        <f>IFERROR(__xludf.DUMMYFUNCTION("""COMPUTED_VALUE"""),43776.0)</f>
        <v>43776</v>
      </c>
      <c r="J155" s="53">
        <f>IFERROR(__xludf.DUMMYFUNCTION("""COMPUTED_VALUE"""),0.6736111111111112)</f>
        <v>0.6736111111</v>
      </c>
      <c r="K155" s="53">
        <f t="shared" si="1"/>
        <v>0.007638888889</v>
      </c>
      <c r="L155" s="49" t="s">
        <v>585</v>
      </c>
      <c r="M155" s="49"/>
      <c r="N155" s="49"/>
      <c r="O155" s="48"/>
      <c r="P155" s="48"/>
      <c r="Q155" s="63"/>
      <c r="R155" s="49"/>
      <c r="S155" s="49"/>
      <c r="T155" s="49"/>
    </row>
    <row r="156">
      <c r="A156" s="49"/>
      <c r="B156" s="49"/>
      <c r="C156" s="49"/>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f t="shared" si="1"/>
        <v>0</v>
      </c>
      <c r="L156" s="49" t="s">
        <v>255</v>
      </c>
      <c r="M156" s="49"/>
      <c r="N156" s="49"/>
      <c r="O156" s="49"/>
      <c r="P156" s="49"/>
      <c r="Q156" s="49"/>
      <c r="R156" s="49"/>
      <c r="S156" s="49"/>
      <c r="T156" s="49"/>
    </row>
    <row r="157">
      <c r="A157" s="49"/>
      <c r="B157" s="49"/>
      <c r="C157" s="49"/>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f t="shared" si="1"/>
        <v>0</v>
      </c>
      <c r="L157" s="49" t="s">
        <v>255</v>
      </c>
      <c r="M157" s="49"/>
      <c r="N157" s="49"/>
      <c r="O157" s="49"/>
      <c r="P157" s="49"/>
      <c r="Q157" s="49"/>
      <c r="R157" s="49"/>
      <c r="S157" s="49"/>
      <c r="T157" s="49"/>
    </row>
    <row r="158">
      <c r="A158" s="49"/>
      <c r="B158" s="49"/>
      <c r="C158" s="49"/>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f t="shared" si="1"/>
        <v>0</v>
      </c>
      <c r="L158" s="49" t="s">
        <v>255</v>
      </c>
      <c r="M158" s="49"/>
      <c r="N158" s="49"/>
      <c r="O158" s="49"/>
      <c r="P158" s="49"/>
      <c r="Q158" s="49"/>
      <c r="R158" s="49"/>
      <c r="S158" s="49"/>
      <c r="T158" s="49"/>
    </row>
    <row r="159">
      <c r="A159" s="49"/>
      <c r="B159" s="49"/>
      <c r="C159" s="49"/>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f t="shared" si="1"/>
        <v>0</v>
      </c>
      <c r="L159" s="49" t="s">
        <v>255</v>
      </c>
      <c r="M159" s="49"/>
      <c r="N159" s="49"/>
      <c r="O159" s="49"/>
      <c r="P159" s="49"/>
      <c r="Q159" s="49"/>
      <c r="R159" s="49"/>
      <c r="S159" s="49"/>
      <c r="T159" s="49"/>
    </row>
    <row r="160">
      <c r="A160" s="49"/>
      <c r="B160" s="49"/>
      <c r="C160" s="49"/>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f t="shared" si="1"/>
        <v>0</v>
      </c>
      <c r="L160" s="49" t="s">
        <v>255</v>
      </c>
      <c r="M160" s="49"/>
      <c r="N160" s="49"/>
      <c r="O160" s="49"/>
      <c r="P160" s="49"/>
      <c r="Q160" s="49"/>
      <c r="R160" s="49"/>
      <c r="S160" s="49"/>
      <c r="T160" s="49"/>
    </row>
    <row r="161">
      <c r="A161" s="49"/>
      <c r="B161" s="49"/>
      <c r="C161" s="49"/>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f t="shared" si="1"/>
        <v>0</v>
      </c>
      <c r="L161" s="49" t="s">
        <v>255</v>
      </c>
      <c r="M161" s="49"/>
      <c r="N161" s="49"/>
      <c r="O161" s="49"/>
      <c r="P161" s="49"/>
      <c r="Q161" s="49"/>
      <c r="R161" s="49"/>
      <c r="S161" s="49"/>
      <c r="T161" s="49"/>
    </row>
    <row r="162">
      <c r="A162" s="49"/>
      <c r="B162" s="49"/>
      <c r="C162" s="49"/>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f t="shared" si="1"/>
        <v>0</v>
      </c>
      <c r="L162" s="49" t="s">
        <v>255</v>
      </c>
      <c r="M162" s="49"/>
      <c r="N162" s="49"/>
      <c r="O162" s="49"/>
      <c r="P162" s="49"/>
      <c r="Q162" s="49"/>
      <c r="R162" s="49"/>
      <c r="S162" s="49"/>
      <c r="T162" s="49"/>
    </row>
    <row r="163">
      <c r="A163" s="49"/>
      <c r="B163" s="49"/>
      <c r="C163" s="49"/>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f t="shared" si="1"/>
        <v>0</v>
      </c>
      <c r="L163" s="49" t="s">
        <v>255</v>
      </c>
      <c r="M163" s="49"/>
      <c r="N163" s="49"/>
      <c r="O163" s="49"/>
      <c r="P163" s="49"/>
      <c r="Q163" s="49"/>
      <c r="R163" s="49"/>
      <c r="S163" s="49"/>
      <c r="T163" s="49"/>
    </row>
    <row r="164">
      <c r="A164" s="49"/>
      <c r="B164" s="49"/>
      <c r="C164" s="49"/>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f t="shared" si="1"/>
        <v>0</v>
      </c>
      <c r="L164" s="49" t="s">
        <v>255</v>
      </c>
      <c r="M164" s="49"/>
      <c r="N164" s="49"/>
      <c r="O164" s="49"/>
      <c r="P164" s="49"/>
      <c r="Q164" s="49"/>
      <c r="R164" s="49"/>
      <c r="S164" s="49"/>
      <c r="T164" s="49"/>
    </row>
    <row r="165">
      <c r="A165" s="49"/>
      <c r="B165" s="49"/>
      <c r="C165" s="49"/>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49"/>
      <c r="N165" s="49"/>
      <c r="O165" s="49"/>
      <c r="P165" s="49"/>
      <c r="Q165" s="49"/>
      <c r="R165" s="49"/>
      <c r="S165" s="49"/>
      <c r="T165" s="49"/>
    </row>
    <row r="166">
      <c r="A166" s="49"/>
      <c r="B166" s="49"/>
      <c r="C166" s="49"/>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49"/>
      <c r="N166" s="49"/>
      <c r="O166" s="49"/>
      <c r="P166" s="49"/>
      <c r="Q166" s="49"/>
      <c r="R166" s="49"/>
      <c r="S166" s="49"/>
      <c r="T166" s="49"/>
    </row>
    <row r="167">
      <c r="A167" s="49"/>
      <c r="B167" s="49"/>
      <c r="C167" s="49"/>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49"/>
      <c r="N167" s="49"/>
      <c r="O167" s="49"/>
      <c r="P167" s="49"/>
      <c r="Q167" s="49"/>
      <c r="R167" s="49"/>
      <c r="S167" s="49"/>
      <c r="T167" s="49"/>
    </row>
    <row r="168">
      <c r="A168" s="49"/>
      <c r="B168" s="49"/>
      <c r="C168" s="49"/>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49"/>
      <c r="N168" s="49"/>
      <c r="O168" s="49"/>
      <c r="P168" s="49"/>
      <c r="Q168" s="49"/>
      <c r="R168" s="49"/>
      <c r="S168" s="49"/>
      <c r="T168" s="49"/>
    </row>
    <row r="169">
      <c r="A169" s="49"/>
      <c r="B169" s="49"/>
      <c r="C169" s="49"/>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49"/>
      <c r="N169" s="49"/>
      <c r="O169" s="49"/>
      <c r="P169" s="49"/>
      <c r="Q169" s="49"/>
      <c r="R169" s="49"/>
      <c r="S169" s="49"/>
      <c r="T169" s="49"/>
    </row>
    <row r="170">
      <c r="A170" s="49"/>
      <c r="B170" s="49"/>
      <c r="C170" s="49"/>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49"/>
      <c r="N170" s="49"/>
      <c r="O170" s="49"/>
      <c r="P170" s="49"/>
      <c r="Q170" s="49"/>
      <c r="R170" s="49"/>
      <c r="S170" s="49"/>
      <c r="T170" s="49"/>
    </row>
    <row r="171">
      <c r="A171" s="49"/>
      <c r="B171" s="49"/>
      <c r="C171" s="49"/>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49"/>
      <c r="N171" s="49"/>
      <c r="O171" s="49"/>
      <c r="P171" s="49"/>
      <c r="Q171" s="49"/>
      <c r="R171" s="49"/>
      <c r="S171" s="49"/>
      <c r="T171" s="49"/>
    </row>
    <row r="172">
      <c r="A172" s="49"/>
      <c r="B172" s="49"/>
      <c r="C172" s="49"/>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49"/>
      <c r="N172" s="49"/>
      <c r="O172" s="49"/>
      <c r="P172" s="49"/>
      <c r="Q172" s="49"/>
      <c r="R172" s="49"/>
      <c r="S172" s="49"/>
      <c r="T172" s="49"/>
    </row>
    <row r="173">
      <c r="A173" s="49"/>
      <c r="B173" s="49"/>
      <c r="C173" s="49"/>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49"/>
      <c r="N173" s="49"/>
      <c r="O173" s="49"/>
      <c r="P173" s="49"/>
      <c r="Q173" s="49"/>
      <c r="R173" s="49"/>
      <c r="S173" s="49"/>
      <c r="T173" s="49"/>
    </row>
    <row r="174">
      <c r="A174" s="49"/>
      <c r="B174" s="49"/>
      <c r="C174" s="49"/>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49"/>
      <c r="N174" s="49"/>
      <c r="O174" s="49"/>
      <c r="P174" s="49"/>
      <c r="Q174" s="49"/>
      <c r="R174" s="49"/>
      <c r="S174" s="49"/>
      <c r="T174" s="49"/>
    </row>
    <row r="175">
      <c r="A175" s="49"/>
      <c r="B175" s="49"/>
      <c r="C175" s="49"/>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49"/>
      <c r="N175" s="49"/>
      <c r="O175" s="49"/>
      <c r="P175" s="49"/>
      <c r="Q175" s="49"/>
      <c r="R175" s="49"/>
      <c r="S175" s="49"/>
      <c r="T175" s="49"/>
    </row>
    <row r="176">
      <c r="A176" s="49"/>
      <c r="B176" s="49"/>
      <c r="C176" s="49"/>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49"/>
      <c r="N176" s="49"/>
      <c r="O176" s="49"/>
      <c r="P176" s="49"/>
      <c r="Q176" s="49"/>
      <c r="R176" s="49"/>
      <c r="S176" s="49"/>
      <c r="T176" s="49"/>
    </row>
    <row r="177">
      <c r="A177" s="49"/>
      <c r="B177" s="49"/>
      <c r="C177" s="49"/>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49"/>
      <c r="N177" s="49"/>
      <c r="O177" s="49"/>
      <c r="P177" s="49"/>
      <c r="Q177" s="49"/>
      <c r="R177" s="49"/>
      <c r="S177" s="49"/>
      <c r="T177" s="49"/>
    </row>
    <row r="178">
      <c r="A178" s="49"/>
      <c r="B178" s="49"/>
      <c r="C178" s="49"/>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49"/>
      <c r="N178" s="49"/>
      <c r="O178" s="49"/>
      <c r="P178" s="49"/>
      <c r="Q178" s="49"/>
      <c r="R178" s="49"/>
      <c r="S178" s="49"/>
      <c r="T178" s="49"/>
    </row>
    <row r="179">
      <c r="A179" s="49"/>
      <c r="B179" s="49"/>
      <c r="C179" s="49"/>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49"/>
      <c r="N179" s="49"/>
      <c r="O179" s="49"/>
      <c r="P179" s="49"/>
      <c r="Q179" s="49"/>
      <c r="R179" s="49"/>
      <c r="S179" s="49"/>
      <c r="T179" s="49"/>
    </row>
    <row r="180">
      <c r="A180" s="49"/>
      <c r="B180" s="49"/>
      <c r="C180" s="49"/>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49"/>
      <c r="N180" s="49"/>
      <c r="O180" s="49"/>
      <c r="P180" s="49"/>
      <c r="Q180" s="49"/>
      <c r="R180" s="49"/>
      <c r="S180" s="49"/>
      <c r="T180" s="49"/>
    </row>
    <row r="181">
      <c r="A181" s="49"/>
      <c r="B181" s="49"/>
      <c r="C181" s="49"/>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49"/>
      <c r="N181" s="49"/>
      <c r="O181" s="49"/>
      <c r="P181" s="49"/>
      <c r="Q181" s="49"/>
      <c r="R181" s="49"/>
      <c r="S181" s="49"/>
      <c r="T181" s="49"/>
    </row>
    <row r="182">
      <c r="A182" s="49"/>
      <c r="B182" s="49"/>
      <c r="C182" s="49"/>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49"/>
      <c r="N182" s="49"/>
      <c r="O182" s="49"/>
      <c r="P182" s="49"/>
      <c r="Q182" s="49"/>
      <c r="R182" s="49"/>
      <c r="S182" s="49"/>
      <c r="T182" s="49"/>
    </row>
    <row r="183">
      <c r="A183" s="49"/>
      <c r="B183" s="49"/>
      <c r="C183" s="49"/>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49"/>
      <c r="N183" s="49"/>
      <c r="O183" s="49"/>
      <c r="P183" s="49"/>
      <c r="Q183" s="49"/>
      <c r="R183" s="49"/>
      <c r="S183" s="49"/>
      <c r="T183" s="49"/>
    </row>
    <row r="184">
      <c r="A184" s="49"/>
      <c r="B184" s="49"/>
      <c r="C184" s="49"/>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49"/>
      <c r="N184" s="49"/>
      <c r="O184" s="49"/>
      <c r="P184" s="49"/>
      <c r="Q184" s="49"/>
      <c r="R184" s="49"/>
      <c r="S184" s="49"/>
      <c r="T184" s="49"/>
    </row>
    <row r="185">
      <c r="A185" s="49"/>
      <c r="B185" s="49"/>
      <c r="C185" s="49"/>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49"/>
      <c r="N185" s="49"/>
      <c r="O185" s="49"/>
      <c r="P185" s="49"/>
      <c r="Q185" s="49"/>
      <c r="R185" s="49"/>
      <c r="S185" s="49"/>
      <c r="T185" s="49"/>
    </row>
    <row r="186">
      <c r="A186" s="49"/>
      <c r="B186" s="49"/>
      <c r="C186" s="49"/>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49"/>
      <c r="N186" s="49"/>
      <c r="O186" s="49"/>
      <c r="P186" s="49"/>
      <c r="Q186" s="49"/>
      <c r="R186" s="49"/>
      <c r="S186" s="49"/>
      <c r="T186" s="49"/>
    </row>
    <row r="187">
      <c r="A187" s="49"/>
      <c r="B187" s="49"/>
      <c r="C187" s="49"/>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49"/>
      <c r="N187" s="49"/>
      <c r="O187" s="49"/>
      <c r="P187" s="49"/>
      <c r="Q187" s="49"/>
      <c r="R187" s="49"/>
      <c r="S187" s="49"/>
      <c r="T187" s="49"/>
    </row>
    <row r="188">
      <c r="A188" s="49"/>
      <c r="B188" s="49"/>
      <c r="C188" s="49"/>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49"/>
      <c r="N188" s="49"/>
      <c r="O188" s="49"/>
      <c r="P188" s="49"/>
      <c r="Q188" s="49"/>
      <c r="R188" s="49"/>
      <c r="S188" s="49"/>
      <c r="T188" s="49"/>
    </row>
    <row r="189">
      <c r="A189" s="49"/>
      <c r="B189" s="49"/>
      <c r="C189" s="49"/>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49"/>
      <c r="N189" s="49"/>
      <c r="O189" s="49"/>
      <c r="P189" s="49"/>
      <c r="Q189" s="49"/>
      <c r="R189" s="49"/>
      <c r="S189" s="49"/>
      <c r="T189" s="49"/>
    </row>
    <row r="190">
      <c r="A190" s="49"/>
      <c r="B190" s="49"/>
      <c r="C190" s="49"/>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49"/>
      <c r="N190" s="49"/>
      <c r="O190" s="49"/>
      <c r="P190" s="49"/>
      <c r="Q190" s="49"/>
      <c r="R190" s="49"/>
      <c r="S190" s="49"/>
      <c r="T190" s="49"/>
    </row>
    <row r="191">
      <c r="A191" s="49"/>
      <c r="B191" s="49"/>
      <c r="C191" s="49"/>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49"/>
      <c r="N191" s="49"/>
      <c r="O191" s="49"/>
      <c r="P191" s="49"/>
      <c r="Q191" s="49"/>
      <c r="R191" s="49"/>
      <c r="S191" s="49"/>
      <c r="T191" s="49"/>
    </row>
    <row r="192">
      <c r="A192" s="49"/>
      <c r="B192" s="49"/>
      <c r="C192" s="49"/>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49"/>
      <c r="N192" s="49"/>
      <c r="O192" s="49"/>
      <c r="P192" s="49"/>
      <c r="Q192" s="49"/>
      <c r="R192" s="49"/>
      <c r="S192" s="49"/>
      <c r="T192" s="49"/>
    </row>
    <row r="193">
      <c r="A193" s="49"/>
      <c r="B193" s="49"/>
      <c r="C193" s="49"/>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49"/>
      <c r="N193" s="49"/>
      <c r="O193" s="49"/>
      <c r="P193" s="49"/>
      <c r="Q193" s="49"/>
      <c r="R193" s="49"/>
      <c r="S193" s="49"/>
      <c r="T193" s="49"/>
    </row>
    <row r="194">
      <c r="A194" s="49"/>
      <c r="B194" s="49"/>
      <c r="C194" s="49"/>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49"/>
      <c r="N194" s="49"/>
      <c r="O194" s="49"/>
      <c r="P194" s="49"/>
      <c r="Q194" s="49"/>
      <c r="R194" s="49"/>
      <c r="S194" s="49"/>
      <c r="T194" s="49"/>
    </row>
    <row r="195">
      <c r="A195" s="49"/>
      <c r="B195" s="49"/>
      <c r="C195" s="49"/>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49"/>
      <c r="N195" s="49"/>
      <c r="O195" s="49"/>
      <c r="P195" s="49"/>
      <c r="Q195" s="49"/>
      <c r="R195" s="49"/>
      <c r="S195" s="49"/>
      <c r="T195" s="49"/>
    </row>
    <row r="196">
      <c r="A196" s="49"/>
      <c r="B196" s="49"/>
      <c r="C196" s="49"/>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49"/>
      <c r="N196" s="49"/>
      <c r="O196" s="49"/>
      <c r="P196" s="49"/>
      <c r="Q196" s="49"/>
      <c r="R196" s="49"/>
      <c r="S196" s="49"/>
      <c r="T196" s="49"/>
    </row>
    <row r="197">
      <c r="A197" s="49"/>
      <c r="B197" s="49"/>
      <c r="C197" s="49"/>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49"/>
      <c r="N197" s="49"/>
      <c r="O197" s="49"/>
      <c r="P197" s="49"/>
      <c r="Q197" s="49"/>
      <c r="R197" s="49"/>
      <c r="S197" s="49"/>
      <c r="T197" s="49"/>
    </row>
  </sheetData>
  <conditionalFormatting sqref="O2:O155">
    <cfRule type="containsText" dxfId="4" priority="1" operator="containsText" text="YES">
      <formula>NOT(ISERROR(SEARCH(("YES"),(O2))))</formula>
    </cfRule>
  </conditionalFormatting>
  <conditionalFormatting sqref="O2:O155">
    <cfRule type="cellIs" dxfId="5" priority="2" operator="equal">
      <formula>"NO"</formula>
    </cfRule>
  </conditionalFormatting>
  <conditionalFormatting sqref="P2:P155">
    <cfRule type="cellIs" dxfId="4" priority="3" operator="equal">
      <formula>"AVAILABLE"</formula>
    </cfRule>
  </conditionalFormatting>
  <conditionalFormatting sqref="P2:P155">
    <cfRule type="cellIs" dxfId="5" priority="4" operator="equal">
      <formula>"NOT AVAILABLE"</formula>
    </cfRule>
  </conditionalFormatting>
  <conditionalFormatting sqref="Q2:Q155">
    <cfRule type="cellIs" dxfId="4" priority="5" operator="equal">
      <formula>"AVAILABLE"</formula>
    </cfRule>
  </conditionalFormatting>
  <conditionalFormatting sqref="Q2:Q155">
    <cfRule type="cellIs" dxfId="6" priority="6" operator="equal">
      <formula>"UPLOADING"</formula>
    </cfRule>
  </conditionalFormatting>
  <conditionalFormatting sqref="Q2:Q155">
    <cfRule type="cellIs" dxfId="5" priority="7" operator="equal">
      <formula>"NOT AVAILABLE"</formula>
    </cfRule>
  </conditionalFormatting>
  <dataValidations>
    <dataValidation type="list" allowBlank="1" sqref="O2:O155">
      <formula1>"YES,NO"</formula1>
    </dataValidation>
    <dataValidation type="list" allowBlank="1" sqref="P2:P155">
      <formula1>"AVAILABLE,NOT AVAILABLE"</formula1>
    </dataValidation>
    <dataValidation type="list" allowBlank="1" sqref="Q2:Q155">
      <formula1>"AVAILABLE,UPLOADING,NOT AVAILABLE"</formula1>
    </dataValidation>
  </dataValidations>
  <drawing r:id="rId1"/>
  <tableParts count="1">
    <tablePart r:id="rId3"/>
  </tableParts>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3" max="3" width="41.0"/>
    <col hidden="1" min="4" max="5" width="14.43"/>
    <col hidden="1" min="9" max="9" width="14.43"/>
  </cols>
  <sheetData>
    <row r="1">
      <c r="A1" s="55" t="s">
        <v>79</v>
      </c>
      <c r="B1" s="55" t="s">
        <v>80</v>
      </c>
      <c r="C1" s="67" t="s">
        <v>81</v>
      </c>
      <c r="D1" s="55" t="s">
        <v>82</v>
      </c>
      <c r="E1" s="55" t="s">
        <v>83</v>
      </c>
      <c r="F1" s="55" t="s">
        <v>84</v>
      </c>
      <c r="G1" s="55" t="s">
        <v>85</v>
      </c>
      <c r="H1" s="55" t="s">
        <v>86</v>
      </c>
      <c r="I1" s="55" t="s">
        <v>87</v>
      </c>
      <c r="J1" s="55" t="s">
        <v>88</v>
      </c>
      <c r="K1" s="55" t="s">
        <v>89</v>
      </c>
      <c r="L1" s="55" t="s">
        <v>90</v>
      </c>
      <c r="M1" s="46" t="s">
        <v>91</v>
      </c>
      <c r="N1" s="46" t="s">
        <v>92</v>
      </c>
      <c r="O1" s="48" t="s">
        <v>93</v>
      </c>
      <c r="P1" s="48" t="s">
        <v>94</v>
      </c>
      <c r="Q1" s="48" t="s">
        <v>95</v>
      </c>
    </row>
    <row r="2">
      <c r="A2" s="91" t="s">
        <v>586</v>
      </c>
      <c r="B2" s="57" t="s">
        <v>587</v>
      </c>
      <c r="C2" s="68" t="s">
        <v>588</v>
      </c>
      <c r="G2" s="60">
        <v>43774.0</v>
      </c>
      <c r="H2" s="59">
        <v>0.3854166666666667</v>
      </c>
      <c r="J2" s="59">
        <v>0.4270833333333333</v>
      </c>
      <c r="K2" s="61">
        <f t="shared" ref="K2:K8" si="1">J2-H2</f>
        <v>0.04166666667</v>
      </c>
      <c r="L2" s="8" t="str">
        <f t="array" ref="L2:L8">TEXT(K2:K8,"hhmmss")</f>
        <v>010000</v>
      </c>
      <c r="M2" s="87" t="s">
        <v>589</v>
      </c>
      <c r="N2" s="62" t="str">
        <f t="shared" ref="N2:N8" si="2">CONCATENATE(M2,"_",F2,"_","000000_000000.mp4")</f>
        <v>P3_5_1__000000_000000.mp4</v>
      </c>
      <c r="O2" s="48"/>
      <c r="P2" s="48"/>
      <c r="Q2" s="63"/>
    </row>
    <row r="3">
      <c r="A3" s="57" t="s">
        <v>590</v>
      </c>
      <c r="B3" s="57" t="s">
        <v>587</v>
      </c>
      <c r="C3" s="68" t="s">
        <v>591</v>
      </c>
      <c r="G3" s="60">
        <v>43774.0</v>
      </c>
      <c r="H3" s="59">
        <v>0.4270833333333333</v>
      </c>
      <c r="J3" s="59">
        <v>0.46875</v>
      </c>
      <c r="K3" s="61">
        <f t="shared" si="1"/>
        <v>0.04166666667</v>
      </c>
      <c r="L3" s="10" t="s">
        <v>240</v>
      </c>
      <c r="M3" s="62" t="s">
        <v>592</v>
      </c>
      <c r="N3" s="62" t="str">
        <f t="shared" si="2"/>
        <v>P3_5_2__000000_000000.mp4</v>
      </c>
      <c r="O3" s="48"/>
      <c r="P3" s="48"/>
      <c r="Q3" s="63"/>
    </row>
    <row r="4">
      <c r="A4" s="57" t="s">
        <v>593</v>
      </c>
      <c r="B4" s="57" t="s">
        <v>587</v>
      </c>
      <c r="C4" s="68" t="s">
        <v>594</v>
      </c>
      <c r="G4" s="60">
        <v>43774.0</v>
      </c>
      <c r="H4" s="59">
        <v>0.46875</v>
      </c>
      <c r="J4" s="59">
        <v>0.5104166666666666</v>
      </c>
      <c r="K4" s="61">
        <f t="shared" si="1"/>
        <v>0.04166666667</v>
      </c>
      <c r="L4" s="10" t="s">
        <v>240</v>
      </c>
      <c r="M4" s="62" t="s">
        <v>595</v>
      </c>
      <c r="N4" s="62" t="str">
        <f t="shared" si="2"/>
        <v>P3_5_3__000000_000000.mp4</v>
      </c>
      <c r="O4" s="48"/>
      <c r="P4" s="48"/>
      <c r="Q4" s="63"/>
    </row>
    <row r="5">
      <c r="A5" s="57" t="s">
        <v>596</v>
      </c>
      <c r="B5" s="57" t="s">
        <v>587</v>
      </c>
      <c r="C5" s="68" t="s">
        <v>597</v>
      </c>
      <c r="G5" s="60">
        <v>43774.0</v>
      </c>
      <c r="H5" s="59">
        <v>0.5104166666666666</v>
      </c>
      <c r="J5" s="59">
        <v>0.5520833333333334</v>
      </c>
      <c r="K5" s="61">
        <f t="shared" si="1"/>
        <v>0.04166666667</v>
      </c>
      <c r="L5" s="10" t="s">
        <v>240</v>
      </c>
      <c r="M5" s="62" t="s">
        <v>598</v>
      </c>
      <c r="N5" s="62" t="str">
        <f t="shared" si="2"/>
        <v>P3_5_4__000000_000000.mp4</v>
      </c>
      <c r="O5" s="48"/>
      <c r="P5" s="48"/>
      <c r="Q5" s="63"/>
    </row>
    <row r="6">
      <c r="A6" s="57" t="s">
        <v>599</v>
      </c>
      <c r="B6" s="57" t="s">
        <v>587</v>
      </c>
      <c r="C6" s="68" t="s">
        <v>600</v>
      </c>
      <c r="G6" s="60">
        <v>43774.0</v>
      </c>
      <c r="H6" s="59">
        <v>0.5833333333333334</v>
      </c>
      <c r="J6" s="59">
        <v>0.625</v>
      </c>
      <c r="K6" s="61">
        <f t="shared" si="1"/>
        <v>0.04166666667</v>
      </c>
      <c r="L6" s="10" t="s">
        <v>240</v>
      </c>
      <c r="M6" s="62" t="s">
        <v>601</v>
      </c>
      <c r="N6" s="62" t="str">
        <f t="shared" si="2"/>
        <v>P3_5_5__000000_000000.mp4</v>
      </c>
      <c r="O6" s="48"/>
      <c r="P6" s="48"/>
      <c r="Q6" s="63"/>
    </row>
    <row r="7">
      <c r="A7" s="57" t="s">
        <v>602</v>
      </c>
      <c r="B7" s="57" t="s">
        <v>587</v>
      </c>
      <c r="C7" s="68" t="s">
        <v>603</v>
      </c>
      <c r="G7" s="60">
        <v>43774.0</v>
      </c>
      <c r="H7" s="59">
        <v>0.625</v>
      </c>
      <c r="J7" s="59">
        <v>0.6666666666666666</v>
      </c>
      <c r="K7" s="61">
        <f t="shared" si="1"/>
        <v>0.04166666667</v>
      </c>
      <c r="L7" s="10" t="s">
        <v>240</v>
      </c>
      <c r="M7" s="62" t="s">
        <v>604</v>
      </c>
      <c r="N7" s="62" t="str">
        <f t="shared" si="2"/>
        <v>P3_5_6__000000_000000.mp4</v>
      </c>
      <c r="O7" s="48"/>
      <c r="P7" s="48"/>
      <c r="Q7" s="63"/>
    </row>
    <row r="8">
      <c r="A8" s="92" t="s">
        <v>605</v>
      </c>
      <c r="B8" s="57" t="s">
        <v>587</v>
      </c>
      <c r="C8" s="68" t="s">
        <v>606</v>
      </c>
      <c r="G8" s="60">
        <v>43774.0</v>
      </c>
      <c r="H8" s="59">
        <v>0.6770833333333334</v>
      </c>
      <c r="J8" s="59">
        <v>0.7291666666666666</v>
      </c>
      <c r="K8" s="61">
        <f t="shared" si="1"/>
        <v>0.05208333333</v>
      </c>
      <c r="L8" s="10" t="s">
        <v>488</v>
      </c>
      <c r="M8" s="62" t="s">
        <v>607</v>
      </c>
      <c r="N8" s="62" t="str">
        <f t="shared" si="2"/>
        <v>P3_5_7__000000_000000.mp4</v>
      </c>
      <c r="O8" s="48"/>
      <c r="P8" s="48"/>
      <c r="Q8" s="63"/>
    </row>
  </sheetData>
  <conditionalFormatting sqref="O2:O8">
    <cfRule type="containsText" dxfId="4" priority="1" operator="containsText" text="YES">
      <formula>NOT(ISERROR(SEARCH(("YES"),(O2))))</formula>
    </cfRule>
  </conditionalFormatting>
  <conditionalFormatting sqref="O2:O8">
    <cfRule type="cellIs" dxfId="5" priority="2" operator="equal">
      <formula>"NO"</formula>
    </cfRule>
  </conditionalFormatting>
  <conditionalFormatting sqref="P2:P8">
    <cfRule type="cellIs" dxfId="4" priority="3" operator="equal">
      <formula>"AVAILABLE"</formula>
    </cfRule>
  </conditionalFormatting>
  <conditionalFormatting sqref="P2:P8">
    <cfRule type="cellIs" dxfId="5" priority="4" operator="equal">
      <formula>"NOT AVAILABLE"</formula>
    </cfRule>
  </conditionalFormatting>
  <conditionalFormatting sqref="Q2:Q8">
    <cfRule type="cellIs" dxfId="4" priority="5" operator="equal">
      <formula>"AVAILABLE"</formula>
    </cfRule>
  </conditionalFormatting>
  <conditionalFormatting sqref="Q2:Q8">
    <cfRule type="cellIs" dxfId="6" priority="6" operator="equal">
      <formula>"UPLOADING"</formula>
    </cfRule>
  </conditionalFormatting>
  <conditionalFormatting sqref="Q2:Q8">
    <cfRule type="cellIs" dxfId="5" priority="7" operator="equal">
      <formula>"NOT AVAILABLE"</formula>
    </cfRule>
  </conditionalFormatting>
  <dataValidations>
    <dataValidation type="list" allowBlank="1" sqref="O2:O8">
      <formula1>"YES,NO"</formula1>
    </dataValidation>
    <dataValidation type="list" allowBlank="1" sqref="P2:P8">
      <formula1>"AVAILABLE,NOT AVAILABLE"</formula1>
    </dataValidation>
    <dataValidation type="list" allowBlank="1" sqref="Q2:Q8">
      <formula1>"AVAILABLE,UPLOADING,NOT AVAILABLE"</formula1>
    </dataValidation>
  </dataValidations>
  <drawing r:id="rId1"/>
  <tableParts count="1">
    <tablePart r:id="rId3"/>
  </tableParts>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91D63"/>
    <outlinePr summaryBelow="0" summaryRight="0"/>
  </sheetPr>
  <sheetViews>
    <sheetView workbookViewId="0"/>
  </sheetViews>
  <sheetFormatPr customHeight="1" defaultColWidth="14.43" defaultRowHeight="15.75"/>
  <cols>
    <col customWidth="1" min="1" max="1" width="42.43"/>
    <col customWidth="1" min="2" max="2" width="22.14"/>
    <col hidden="1" min="4" max="5" width="14.43"/>
    <col customWidth="1" min="6" max="6" width="5.86"/>
    <col hidden="1" min="9" max="9" width="14.43"/>
  </cols>
  <sheetData>
    <row r="1">
      <c r="A1" s="46" t="s">
        <v>79</v>
      </c>
      <c r="B1" s="46" t="s">
        <v>80</v>
      </c>
      <c r="C1" s="46"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77" t="s">
        <v>32</v>
      </c>
      <c r="B2" s="62" t="s">
        <v>70</v>
      </c>
      <c r="C2" s="88" t="s">
        <v>608</v>
      </c>
      <c r="D2" s="49"/>
      <c r="E2" s="49"/>
      <c r="F2" s="49"/>
      <c r="G2" s="89">
        <v>43775.0</v>
      </c>
      <c r="H2" s="81">
        <v>0.4270833333333333</v>
      </c>
      <c r="I2" s="50" t="str">
        <f>IFERROR(__xludf.DUMMYFUNCTION("ARRAYFORMULA(SPLIT(E2:E509,"" ""))"),"#VALUE!")</f>
        <v>#VALUE!</v>
      </c>
      <c r="J2" s="81">
        <v>0.46875</v>
      </c>
      <c r="K2" s="53">
        <f t="shared" ref="K2:K15" si="1">J2-H2</f>
        <v>0.04166666667</v>
      </c>
      <c r="L2" s="50" t="str">
        <f t="array" ref="L2:L509">TEXT(K2:K509,"hhmmss")</f>
        <v>010000</v>
      </c>
      <c r="M2" s="62" t="s">
        <v>609</v>
      </c>
      <c r="N2" s="62" t="str">
        <f t="shared" ref="N2:N12" si="2">CONCATENATE(M2,"_",F2,"_","000000_000000.mp4")</f>
        <v>SS13_6_1__000000_000000.mp4</v>
      </c>
      <c r="O2" s="48"/>
      <c r="P2" s="48"/>
      <c r="Q2" s="63"/>
      <c r="R2" s="49"/>
      <c r="S2" s="49"/>
      <c r="T2" s="49"/>
    </row>
    <row r="3">
      <c r="A3" s="77" t="s">
        <v>54</v>
      </c>
      <c r="B3" s="62" t="s">
        <v>70</v>
      </c>
      <c r="C3" s="88" t="s">
        <v>610</v>
      </c>
      <c r="D3" s="49"/>
      <c r="E3" s="49"/>
      <c r="F3" s="49"/>
      <c r="G3" s="83">
        <v>43775.0</v>
      </c>
      <c r="H3" s="81">
        <v>0.46875</v>
      </c>
      <c r="I3" s="49" t="str">
        <f>IFERROR(__xludf.DUMMYFUNCTION("""COMPUTED_VALUE"""),"#VALUE!")</f>
        <v>#VALUE!</v>
      </c>
      <c r="J3" s="81">
        <v>0.5104166666666666</v>
      </c>
      <c r="K3" s="53">
        <f t="shared" si="1"/>
        <v>0.04166666667</v>
      </c>
      <c r="L3" s="49" t="s">
        <v>240</v>
      </c>
      <c r="M3" s="62" t="s">
        <v>611</v>
      </c>
      <c r="N3" s="62" t="str">
        <f t="shared" si="2"/>
        <v>SS13_6_2__000000_000000.mp4</v>
      </c>
      <c r="O3" s="48"/>
      <c r="P3" s="48"/>
      <c r="Q3" s="63"/>
      <c r="R3" s="49"/>
      <c r="S3" s="49"/>
      <c r="T3" s="49"/>
    </row>
    <row r="4">
      <c r="A4" s="77" t="s">
        <v>70</v>
      </c>
      <c r="B4" s="62" t="s">
        <v>70</v>
      </c>
      <c r="C4" s="88" t="s">
        <v>612</v>
      </c>
      <c r="D4" s="49"/>
      <c r="E4" s="49"/>
      <c r="F4" s="49"/>
      <c r="G4" s="83">
        <v>43775.0</v>
      </c>
      <c r="H4" s="81">
        <v>0.5104166666666666</v>
      </c>
      <c r="I4" s="49" t="str">
        <f>IFERROR(__xludf.DUMMYFUNCTION("""COMPUTED_VALUE"""),"#VALUE!")</f>
        <v>#VALUE!</v>
      </c>
      <c r="J4" s="81">
        <v>0.5520833333333334</v>
      </c>
      <c r="K4" s="53">
        <f t="shared" si="1"/>
        <v>0.04166666667</v>
      </c>
      <c r="L4" s="49" t="s">
        <v>240</v>
      </c>
      <c r="M4" s="62" t="s">
        <v>613</v>
      </c>
      <c r="N4" s="62" t="str">
        <f t="shared" si="2"/>
        <v>SS13_6_3__000000_000000.mp4</v>
      </c>
      <c r="O4" s="48"/>
      <c r="P4" s="48"/>
      <c r="Q4" s="63"/>
      <c r="R4" s="49"/>
      <c r="S4" s="49"/>
      <c r="T4" s="49"/>
    </row>
    <row r="5">
      <c r="A5" s="77" t="s">
        <v>491</v>
      </c>
      <c r="B5" s="62" t="s">
        <v>70</v>
      </c>
      <c r="C5" s="88" t="s">
        <v>614</v>
      </c>
      <c r="D5" s="49"/>
      <c r="E5" s="49"/>
      <c r="F5" s="49"/>
      <c r="G5" s="83">
        <v>43775.0</v>
      </c>
      <c r="H5" s="81">
        <v>0.59375</v>
      </c>
      <c r="I5" s="49" t="str">
        <f>IFERROR(__xludf.DUMMYFUNCTION("""COMPUTED_VALUE"""),"#VALUE!")</f>
        <v>#VALUE!</v>
      </c>
      <c r="J5" s="81">
        <v>0.6354166666666666</v>
      </c>
      <c r="K5" s="53">
        <f t="shared" si="1"/>
        <v>0.04166666667</v>
      </c>
      <c r="L5" s="49" t="s">
        <v>240</v>
      </c>
      <c r="M5" s="62" t="s">
        <v>615</v>
      </c>
      <c r="N5" s="62" t="str">
        <f t="shared" si="2"/>
        <v>SS13_6_4__000000_000000.mp4</v>
      </c>
      <c r="O5" s="48"/>
      <c r="P5" s="48"/>
      <c r="Q5" s="63"/>
      <c r="R5" s="49"/>
      <c r="S5" s="49"/>
      <c r="T5" s="49"/>
    </row>
    <row r="6">
      <c r="A6" s="77" t="s">
        <v>492</v>
      </c>
      <c r="B6" s="62" t="s">
        <v>70</v>
      </c>
      <c r="C6" s="88" t="s">
        <v>616</v>
      </c>
      <c r="D6" s="49"/>
      <c r="E6" s="49"/>
      <c r="F6" s="49"/>
      <c r="G6" s="83">
        <v>43775.0</v>
      </c>
      <c r="H6" s="81">
        <v>0.6354166666666666</v>
      </c>
      <c r="I6" s="49" t="str">
        <f>IFERROR(__xludf.DUMMYFUNCTION("""COMPUTED_VALUE"""),"#VALUE!")</f>
        <v>#VALUE!</v>
      </c>
      <c r="J6" s="81">
        <v>0.6770833333333334</v>
      </c>
      <c r="K6" s="53">
        <f t="shared" si="1"/>
        <v>0.04166666667</v>
      </c>
      <c r="L6" s="49" t="s">
        <v>240</v>
      </c>
      <c r="M6" s="62" t="s">
        <v>617</v>
      </c>
      <c r="N6" s="62" t="str">
        <f t="shared" si="2"/>
        <v>SS13_6_5__000000_000000.mp4</v>
      </c>
      <c r="O6" s="48"/>
      <c r="P6" s="48"/>
      <c r="Q6" s="63"/>
      <c r="R6" s="49"/>
      <c r="S6" s="49"/>
      <c r="T6" s="49"/>
    </row>
    <row r="7">
      <c r="A7" s="77" t="s">
        <v>493</v>
      </c>
      <c r="B7" s="62" t="s">
        <v>70</v>
      </c>
      <c r="C7" s="88" t="s">
        <v>618</v>
      </c>
      <c r="D7" s="49"/>
      <c r="E7" s="49"/>
      <c r="F7" s="49"/>
      <c r="G7" s="83">
        <v>43776.0</v>
      </c>
      <c r="H7" s="81">
        <v>0.4270833333333333</v>
      </c>
      <c r="I7" s="49" t="str">
        <f>IFERROR(__xludf.DUMMYFUNCTION("""COMPUTED_VALUE"""),"#VALUE!")</f>
        <v>#VALUE!</v>
      </c>
      <c r="J7" s="81">
        <v>0.46875</v>
      </c>
      <c r="K7" s="53">
        <f t="shared" si="1"/>
        <v>0.04166666667</v>
      </c>
      <c r="L7" s="49" t="s">
        <v>240</v>
      </c>
      <c r="M7" s="62" t="s">
        <v>619</v>
      </c>
      <c r="N7" s="62" t="str">
        <f t="shared" si="2"/>
        <v>SS13_7_1__000000_000000.mp4</v>
      </c>
      <c r="O7" s="48"/>
      <c r="P7" s="48"/>
      <c r="Q7" s="63"/>
      <c r="R7" s="49"/>
      <c r="S7" s="49"/>
      <c r="T7" s="49"/>
    </row>
    <row r="8">
      <c r="A8" s="77" t="s">
        <v>494</v>
      </c>
      <c r="B8" s="62" t="s">
        <v>70</v>
      </c>
      <c r="C8" s="88" t="s">
        <v>620</v>
      </c>
      <c r="D8" s="49"/>
      <c r="E8" s="49"/>
      <c r="F8" s="49"/>
      <c r="G8" s="83">
        <v>43776.0</v>
      </c>
      <c r="H8" s="81">
        <v>0.46875</v>
      </c>
      <c r="I8" s="49" t="str">
        <f>IFERROR(__xludf.DUMMYFUNCTION("""COMPUTED_VALUE"""),"#VALUE!")</f>
        <v>#VALUE!</v>
      </c>
      <c r="J8" s="81">
        <v>0.5104166666666666</v>
      </c>
      <c r="K8" s="53">
        <f t="shared" si="1"/>
        <v>0.04166666667</v>
      </c>
      <c r="L8" s="49" t="s">
        <v>240</v>
      </c>
      <c r="M8" s="62" t="s">
        <v>621</v>
      </c>
      <c r="N8" s="62" t="str">
        <f t="shared" si="2"/>
        <v>SS13_7_2__000000_000000.mp4</v>
      </c>
      <c r="O8" s="48"/>
      <c r="P8" s="48"/>
      <c r="Q8" s="63"/>
      <c r="R8" s="49"/>
      <c r="S8" s="49"/>
      <c r="T8" s="49"/>
    </row>
    <row r="9">
      <c r="A9" s="77" t="s">
        <v>495</v>
      </c>
      <c r="B9" s="62" t="s">
        <v>70</v>
      </c>
      <c r="C9" s="88" t="s">
        <v>622</v>
      </c>
      <c r="D9" s="49"/>
      <c r="E9" s="49"/>
      <c r="F9" s="49"/>
      <c r="G9" s="83">
        <v>43776.0</v>
      </c>
      <c r="H9" s="81">
        <v>0.5104166666666666</v>
      </c>
      <c r="I9" s="49" t="str">
        <f>IFERROR(__xludf.DUMMYFUNCTION("""COMPUTED_VALUE"""),"#VALUE!")</f>
        <v>#VALUE!</v>
      </c>
      <c r="J9" s="81">
        <v>0.5520833333333334</v>
      </c>
      <c r="K9" s="53">
        <f t="shared" si="1"/>
        <v>0.04166666667</v>
      </c>
      <c r="L9" s="49" t="s">
        <v>240</v>
      </c>
      <c r="M9" s="62" t="s">
        <v>623</v>
      </c>
      <c r="N9" s="62" t="str">
        <f t="shared" si="2"/>
        <v>SS13_7_3__000000_000000.mp4</v>
      </c>
      <c r="O9" s="48"/>
      <c r="P9" s="48"/>
      <c r="Q9" s="63"/>
      <c r="R9" s="49"/>
      <c r="S9" s="49"/>
      <c r="T9" s="49"/>
    </row>
    <row r="10">
      <c r="A10" s="77" t="s">
        <v>496</v>
      </c>
      <c r="B10" s="62" t="s">
        <v>70</v>
      </c>
      <c r="C10" s="88" t="s">
        <v>624</v>
      </c>
      <c r="D10" s="49"/>
      <c r="E10" s="49"/>
      <c r="F10" s="49"/>
      <c r="G10" s="83">
        <v>43776.0</v>
      </c>
      <c r="H10" s="81">
        <v>0.59375</v>
      </c>
      <c r="I10" s="49" t="str">
        <f>IFERROR(__xludf.DUMMYFUNCTION("""COMPUTED_VALUE"""),"#VALUE!")</f>
        <v>#VALUE!</v>
      </c>
      <c r="J10" s="81">
        <v>0.6354166666666666</v>
      </c>
      <c r="K10" s="53">
        <f t="shared" si="1"/>
        <v>0.04166666667</v>
      </c>
      <c r="L10" s="49" t="s">
        <v>240</v>
      </c>
      <c r="M10" s="62" t="s">
        <v>626</v>
      </c>
      <c r="N10" s="62" t="str">
        <f t="shared" si="2"/>
        <v>SS13_7_4__000000_000000.mp4</v>
      </c>
      <c r="O10" s="48"/>
      <c r="P10" s="48"/>
      <c r="Q10" s="63"/>
      <c r="R10" s="49"/>
      <c r="S10" s="49"/>
      <c r="T10" s="49"/>
    </row>
    <row r="11">
      <c r="A11" s="77" t="s">
        <v>497</v>
      </c>
      <c r="B11" s="62" t="s">
        <v>70</v>
      </c>
      <c r="C11" s="88" t="s">
        <v>627</v>
      </c>
      <c r="D11" s="49"/>
      <c r="E11" s="49"/>
      <c r="F11" s="49"/>
      <c r="G11" s="83">
        <v>43776.0</v>
      </c>
      <c r="H11" s="81">
        <v>0.6354166666666666</v>
      </c>
      <c r="I11" s="49" t="str">
        <f>IFERROR(__xludf.DUMMYFUNCTION("""COMPUTED_VALUE"""),"#VALUE!")</f>
        <v>#VALUE!</v>
      </c>
      <c r="J11" s="81">
        <v>0.6770833333333334</v>
      </c>
      <c r="K11" s="53">
        <f t="shared" si="1"/>
        <v>0.04166666667</v>
      </c>
      <c r="L11" s="49" t="s">
        <v>240</v>
      </c>
      <c r="M11" s="62" t="s">
        <v>628</v>
      </c>
      <c r="N11" s="62" t="str">
        <f t="shared" si="2"/>
        <v>SS13_7_5__000000_000000.mp4</v>
      </c>
      <c r="O11" s="48"/>
      <c r="P11" s="48"/>
      <c r="Q11" s="63"/>
      <c r="R11" s="49"/>
      <c r="S11" s="49"/>
      <c r="T11" s="49"/>
    </row>
    <row r="12">
      <c r="A12" s="77" t="s">
        <v>629</v>
      </c>
      <c r="B12" s="62" t="s">
        <v>70</v>
      </c>
      <c r="C12" s="88" t="s">
        <v>630</v>
      </c>
      <c r="D12" s="49"/>
      <c r="E12" s="49"/>
      <c r="F12" s="49"/>
      <c r="G12" s="83">
        <v>43776.0</v>
      </c>
      <c r="H12" s="81">
        <v>0.6770833333333334</v>
      </c>
      <c r="I12" s="49" t="str">
        <f>IFERROR(__xludf.DUMMYFUNCTION("""COMPUTED_VALUE"""),"#VALUE!")</f>
        <v>#VALUE!</v>
      </c>
      <c r="J12" s="81">
        <v>0.71875</v>
      </c>
      <c r="K12" s="53">
        <f t="shared" si="1"/>
        <v>0.04166666667</v>
      </c>
      <c r="L12" s="49" t="s">
        <v>240</v>
      </c>
      <c r="M12" s="62" t="s">
        <v>631</v>
      </c>
      <c r="N12" s="62" t="str">
        <f t="shared" si="2"/>
        <v>SS13_7_6__000000_000000.mp4</v>
      </c>
      <c r="O12" s="48"/>
      <c r="P12" s="48"/>
      <c r="Q12" s="63"/>
      <c r="R12" s="49"/>
      <c r="S12" s="49"/>
      <c r="T12" s="49"/>
    </row>
    <row r="13">
      <c r="A13" s="49"/>
      <c r="B13" s="49"/>
      <c r="C13" s="49"/>
      <c r="D13" s="49"/>
      <c r="E13" s="49"/>
      <c r="F13" s="49"/>
      <c r="G13" s="49"/>
      <c r="H13" s="49"/>
      <c r="I13" s="49" t="str">
        <f>IFERROR(__xludf.DUMMYFUNCTION("""COMPUTED_VALUE"""),"#VALUE!")</f>
        <v>#VALUE!</v>
      </c>
      <c r="J13" s="49"/>
      <c r="K13" s="49">
        <f t="shared" si="1"/>
        <v>0</v>
      </c>
      <c r="L13" s="49" t="s">
        <v>255</v>
      </c>
      <c r="M13" s="49"/>
      <c r="N13" s="49"/>
      <c r="O13" s="49"/>
      <c r="P13" s="49"/>
      <c r="Q13" s="49"/>
      <c r="R13" s="49"/>
      <c r="S13" s="49"/>
      <c r="T13" s="49"/>
    </row>
    <row r="14">
      <c r="A14" s="49"/>
      <c r="B14" s="49"/>
      <c r="C14" s="49"/>
      <c r="D14" s="49"/>
      <c r="E14" s="49"/>
      <c r="F14" s="49"/>
      <c r="G14" s="49"/>
      <c r="H14" s="49"/>
      <c r="I14" s="49" t="str">
        <f>IFERROR(__xludf.DUMMYFUNCTION("""COMPUTED_VALUE"""),"#VALUE!")</f>
        <v>#VALUE!</v>
      </c>
      <c r="J14" s="49"/>
      <c r="K14" s="49">
        <f t="shared" si="1"/>
        <v>0</v>
      </c>
      <c r="L14" s="49" t="s">
        <v>255</v>
      </c>
      <c r="M14" s="49"/>
      <c r="N14" s="49"/>
      <c r="O14" s="49"/>
      <c r="P14" s="49"/>
      <c r="Q14" s="49"/>
      <c r="R14" s="49"/>
      <c r="S14" s="49"/>
      <c r="T14" s="49"/>
    </row>
    <row r="15">
      <c r="A15" s="49"/>
      <c r="B15" s="49"/>
      <c r="C15" s="49"/>
      <c r="D15" s="49"/>
      <c r="E15" s="49"/>
      <c r="F15" s="49"/>
      <c r="G15" s="49"/>
      <c r="H15" s="49"/>
      <c r="I15" s="49" t="str">
        <f>IFERROR(__xludf.DUMMYFUNCTION("""COMPUTED_VALUE"""),"#VALUE!")</f>
        <v>#VALUE!</v>
      </c>
      <c r="J15" s="49"/>
      <c r="K15" s="49">
        <f t="shared" si="1"/>
        <v>0</v>
      </c>
      <c r="L15" s="49" t="s">
        <v>255</v>
      </c>
      <c r="M15" s="49"/>
      <c r="N15" s="49"/>
      <c r="O15" s="49"/>
      <c r="P15" s="49"/>
      <c r="Q15" s="49"/>
      <c r="R15" s="49"/>
      <c r="S15" s="49"/>
      <c r="T15" s="49"/>
    </row>
    <row r="16">
      <c r="A16" s="49"/>
      <c r="B16" s="49"/>
      <c r="C16" s="49"/>
      <c r="D16" s="49"/>
      <c r="E16" s="49"/>
      <c r="F16" s="49"/>
      <c r="G16" s="49"/>
      <c r="H16" s="49"/>
      <c r="I16" s="49" t="str">
        <f>IFERROR(__xludf.DUMMYFUNCTION("""COMPUTED_VALUE"""),"#VALUE!")</f>
        <v>#VALUE!</v>
      </c>
      <c r="J16" s="49"/>
      <c r="K16" s="49"/>
      <c r="L16" s="49" t="s">
        <v>255</v>
      </c>
      <c r="M16" s="49"/>
      <c r="N16" s="49"/>
      <c r="O16" s="49"/>
      <c r="P16" s="49"/>
      <c r="Q16" s="49"/>
      <c r="R16" s="49"/>
      <c r="S16" s="49"/>
      <c r="T16" s="49"/>
    </row>
    <row r="17">
      <c r="A17" s="49"/>
      <c r="B17" s="49"/>
      <c r="C17" s="49"/>
      <c r="D17" s="49"/>
      <c r="E17" s="49"/>
      <c r="F17" s="49"/>
      <c r="G17" s="49"/>
      <c r="H17" s="49"/>
      <c r="I17" s="49" t="str">
        <f>IFERROR(__xludf.DUMMYFUNCTION("""COMPUTED_VALUE"""),"#VALUE!")</f>
        <v>#VALUE!</v>
      </c>
      <c r="J17" s="49"/>
      <c r="K17" s="49"/>
      <c r="L17" s="49" t="s">
        <v>255</v>
      </c>
      <c r="M17" s="49"/>
      <c r="N17" s="49"/>
      <c r="O17" s="49"/>
      <c r="P17" s="49"/>
      <c r="Q17" s="49"/>
      <c r="R17" s="49"/>
      <c r="S17" s="49"/>
      <c r="T17" s="49"/>
    </row>
    <row r="18">
      <c r="A18" s="49"/>
      <c r="B18" s="49"/>
      <c r="C18" s="49"/>
      <c r="D18" s="49"/>
      <c r="E18" s="49"/>
      <c r="F18" s="49"/>
      <c r="G18" s="49"/>
      <c r="H18" s="49"/>
      <c r="I18" s="49" t="str">
        <f>IFERROR(__xludf.DUMMYFUNCTION("""COMPUTED_VALUE"""),"#VALUE!")</f>
        <v>#VALUE!</v>
      </c>
      <c r="J18" s="49"/>
      <c r="K18" s="49"/>
      <c r="L18" s="49" t="s">
        <v>255</v>
      </c>
      <c r="M18" s="49"/>
      <c r="N18" s="49"/>
      <c r="O18" s="49"/>
      <c r="P18" s="49"/>
      <c r="Q18" s="49"/>
      <c r="R18" s="49"/>
      <c r="S18" s="49"/>
      <c r="T18" s="49"/>
    </row>
    <row r="19">
      <c r="A19" s="49"/>
      <c r="B19" s="49"/>
      <c r="C19" s="49"/>
      <c r="D19" s="49"/>
      <c r="E19" s="49"/>
      <c r="F19" s="49"/>
      <c r="G19" s="49"/>
      <c r="H19" s="49"/>
      <c r="I19" s="49" t="str">
        <f>IFERROR(__xludf.DUMMYFUNCTION("""COMPUTED_VALUE"""),"#VALUE!")</f>
        <v>#VALUE!</v>
      </c>
      <c r="J19" s="49"/>
      <c r="K19" s="49"/>
      <c r="L19" s="49" t="s">
        <v>255</v>
      </c>
      <c r="M19" s="49"/>
      <c r="N19" s="49"/>
      <c r="O19" s="49"/>
      <c r="P19" s="49"/>
      <c r="Q19" s="49"/>
      <c r="R19" s="49"/>
      <c r="S19" s="49"/>
      <c r="T19" s="49"/>
    </row>
    <row r="20">
      <c r="A20" s="49"/>
      <c r="B20" s="49"/>
      <c r="C20" s="49"/>
      <c r="D20" s="49"/>
      <c r="E20" s="49"/>
      <c r="F20" s="49"/>
      <c r="G20" s="49"/>
      <c r="H20" s="49"/>
      <c r="I20" s="49" t="str">
        <f>IFERROR(__xludf.DUMMYFUNCTION("""COMPUTED_VALUE"""),"#VALUE!")</f>
        <v>#VALUE!</v>
      </c>
      <c r="J20" s="49"/>
      <c r="K20" s="49"/>
      <c r="L20" s="49" t="s">
        <v>255</v>
      </c>
      <c r="M20" s="49"/>
      <c r="N20" s="49"/>
      <c r="O20" s="49"/>
      <c r="P20" s="49"/>
      <c r="Q20" s="49"/>
      <c r="R20" s="49"/>
      <c r="S20" s="49"/>
      <c r="T20" s="49"/>
    </row>
    <row r="21">
      <c r="A21" s="49"/>
      <c r="B21" s="49"/>
      <c r="C21" s="49"/>
      <c r="D21" s="49"/>
      <c r="E21" s="49"/>
      <c r="F21" s="49"/>
      <c r="G21" s="49"/>
      <c r="H21" s="49"/>
      <c r="I21" s="49" t="str">
        <f>IFERROR(__xludf.DUMMYFUNCTION("""COMPUTED_VALUE"""),"#VALUE!")</f>
        <v>#VALUE!</v>
      </c>
      <c r="J21" s="49"/>
      <c r="K21" s="49"/>
      <c r="L21" s="49" t="s">
        <v>255</v>
      </c>
      <c r="M21" s="49"/>
      <c r="N21" s="49"/>
      <c r="O21" s="49"/>
      <c r="P21" s="49"/>
      <c r="Q21" s="49"/>
      <c r="R21" s="49"/>
      <c r="S21" s="49"/>
      <c r="T21" s="49"/>
    </row>
    <row r="22">
      <c r="A22" s="49"/>
      <c r="B22" s="49"/>
      <c r="C22" s="49"/>
      <c r="D22" s="49"/>
      <c r="E22" s="49"/>
      <c r="F22" s="49"/>
      <c r="G22" s="49"/>
      <c r="H22" s="49"/>
      <c r="I22" s="49" t="str">
        <f>IFERROR(__xludf.DUMMYFUNCTION("""COMPUTED_VALUE"""),"#VALUE!")</f>
        <v>#VALUE!</v>
      </c>
      <c r="J22" s="49"/>
      <c r="K22" s="49"/>
      <c r="L22" s="49" t="s">
        <v>255</v>
      </c>
      <c r="M22" s="49"/>
      <c r="N22" s="49"/>
      <c r="O22" s="49"/>
      <c r="P22" s="49"/>
      <c r="Q22" s="49"/>
      <c r="R22" s="49"/>
      <c r="S22" s="49"/>
      <c r="T22" s="49"/>
    </row>
    <row r="23">
      <c r="A23" s="49"/>
      <c r="B23" s="49"/>
      <c r="C23" s="49"/>
      <c r="D23" s="49"/>
      <c r="E23" s="49"/>
      <c r="F23" s="49"/>
      <c r="G23" s="49"/>
      <c r="H23" s="49"/>
      <c r="I23" s="49" t="str">
        <f>IFERROR(__xludf.DUMMYFUNCTION("""COMPUTED_VALUE"""),"#VALUE!")</f>
        <v>#VALUE!</v>
      </c>
      <c r="J23" s="49"/>
      <c r="K23" s="49"/>
      <c r="L23" s="49" t="s">
        <v>255</v>
      </c>
      <c r="M23" s="49"/>
      <c r="N23" s="49"/>
      <c r="O23" s="49"/>
      <c r="P23" s="49"/>
      <c r="Q23" s="49"/>
      <c r="R23" s="49"/>
      <c r="S23" s="49"/>
      <c r="T23" s="49"/>
    </row>
    <row r="24">
      <c r="A24" s="49"/>
      <c r="B24" s="49"/>
      <c r="C24" s="49"/>
      <c r="D24" s="49"/>
      <c r="E24" s="49"/>
      <c r="F24" s="49"/>
      <c r="G24" s="49"/>
      <c r="H24" s="49"/>
      <c r="I24" s="49" t="str">
        <f>IFERROR(__xludf.DUMMYFUNCTION("""COMPUTED_VALUE"""),"#VALUE!")</f>
        <v>#VALUE!</v>
      </c>
      <c r="J24" s="49"/>
      <c r="K24" s="49"/>
      <c r="L24" s="49" t="s">
        <v>255</v>
      </c>
      <c r="M24" s="49"/>
      <c r="N24" s="49"/>
      <c r="O24" s="49"/>
      <c r="P24" s="49"/>
      <c r="Q24" s="49"/>
      <c r="R24" s="49"/>
      <c r="S24" s="49"/>
      <c r="T24" s="49"/>
    </row>
    <row r="25">
      <c r="A25" s="49"/>
      <c r="B25" s="49"/>
      <c r="C25" s="49"/>
      <c r="D25" s="49"/>
      <c r="E25" s="49"/>
      <c r="F25" s="49"/>
      <c r="G25" s="49"/>
      <c r="H25" s="49"/>
      <c r="I25" s="49" t="str">
        <f>IFERROR(__xludf.DUMMYFUNCTION("""COMPUTED_VALUE"""),"#VALUE!")</f>
        <v>#VALUE!</v>
      </c>
      <c r="J25" s="49"/>
      <c r="K25" s="49"/>
      <c r="L25" s="49" t="s">
        <v>255</v>
      </c>
      <c r="M25" s="49"/>
      <c r="N25" s="49"/>
      <c r="O25" s="49"/>
      <c r="P25" s="49"/>
      <c r="Q25" s="49"/>
      <c r="R25" s="49"/>
      <c r="S25" s="49"/>
      <c r="T25" s="49"/>
    </row>
    <row r="26">
      <c r="A26" s="49"/>
      <c r="B26" s="49"/>
      <c r="C26" s="49"/>
      <c r="D26" s="49"/>
      <c r="E26" s="49"/>
      <c r="F26" s="49"/>
      <c r="G26" s="49"/>
      <c r="H26" s="49"/>
      <c r="I26" s="49" t="str">
        <f>IFERROR(__xludf.DUMMYFUNCTION("""COMPUTED_VALUE"""),"#VALUE!")</f>
        <v>#VALUE!</v>
      </c>
      <c r="J26" s="49"/>
      <c r="K26" s="49"/>
      <c r="L26" s="49" t="s">
        <v>255</v>
      </c>
      <c r="M26" s="49"/>
      <c r="N26" s="49"/>
      <c r="O26" s="49"/>
      <c r="P26" s="49"/>
      <c r="Q26" s="49"/>
      <c r="R26" s="49"/>
      <c r="S26" s="49"/>
      <c r="T26" s="49"/>
    </row>
    <row r="27">
      <c r="A27" s="49"/>
      <c r="B27" s="49"/>
      <c r="C27" s="49"/>
      <c r="D27" s="49"/>
      <c r="E27" s="49"/>
      <c r="F27" s="49"/>
      <c r="G27" s="49"/>
      <c r="H27" s="49"/>
      <c r="I27" s="49" t="str">
        <f>IFERROR(__xludf.DUMMYFUNCTION("""COMPUTED_VALUE"""),"#VALUE!")</f>
        <v>#VALUE!</v>
      </c>
      <c r="J27" s="49"/>
      <c r="K27" s="49"/>
      <c r="L27" s="49" t="s">
        <v>255</v>
      </c>
      <c r="M27" s="49"/>
      <c r="N27" s="49"/>
      <c r="O27" s="49"/>
      <c r="P27" s="49"/>
      <c r="Q27" s="49"/>
      <c r="R27" s="49"/>
      <c r="S27" s="49"/>
      <c r="T27" s="49"/>
    </row>
    <row r="28">
      <c r="A28" s="49"/>
      <c r="B28" s="49"/>
      <c r="C28" s="49"/>
      <c r="D28" s="49"/>
      <c r="E28" s="49"/>
      <c r="F28" s="49"/>
      <c r="G28" s="49"/>
      <c r="H28" s="49"/>
      <c r="I28" s="49" t="str">
        <f>IFERROR(__xludf.DUMMYFUNCTION("""COMPUTED_VALUE"""),"#VALUE!")</f>
        <v>#VALUE!</v>
      </c>
      <c r="J28" s="49"/>
      <c r="K28" s="49"/>
      <c r="L28" s="49" t="s">
        <v>255</v>
      </c>
      <c r="M28" s="49"/>
      <c r="N28" s="49"/>
      <c r="O28" s="49"/>
      <c r="P28" s="49"/>
      <c r="Q28" s="49"/>
      <c r="R28" s="49"/>
      <c r="S28" s="49"/>
      <c r="T28" s="49"/>
    </row>
    <row r="29">
      <c r="A29" s="49"/>
      <c r="B29" s="49"/>
      <c r="C29" s="49"/>
      <c r="D29" s="49"/>
      <c r="E29" s="49"/>
      <c r="F29" s="49"/>
      <c r="G29" s="49"/>
      <c r="H29" s="49"/>
      <c r="I29" s="49" t="str">
        <f>IFERROR(__xludf.DUMMYFUNCTION("""COMPUTED_VALUE"""),"#VALUE!")</f>
        <v>#VALUE!</v>
      </c>
      <c r="J29" s="49"/>
      <c r="K29" s="49"/>
      <c r="L29" s="49" t="s">
        <v>255</v>
      </c>
      <c r="M29" s="49"/>
      <c r="N29" s="49"/>
      <c r="O29" s="49"/>
      <c r="P29" s="49"/>
      <c r="Q29" s="49"/>
      <c r="R29" s="49"/>
      <c r="S29" s="49"/>
      <c r="T29" s="49"/>
    </row>
    <row r="30">
      <c r="A30" s="49"/>
      <c r="B30" s="49"/>
      <c r="C30" s="49"/>
      <c r="D30" s="49"/>
      <c r="E30" s="49"/>
      <c r="F30" s="49"/>
      <c r="G30" s="49"/>
      <c r="H30" s="49"/>
      <c r="I30" s="49" t="str">
        <f>IFERROR(__xludf.DUMMYFUNCTION("""COMPUTED_VALUE"""),"#VALUE!")</f>
        <v>#VALUE!</v>
      </c>
      <c r="J30" s="49"/>
      <c r="K30" s="49"/>
      <c r="L30" s="49" t="s">
        <v>255</v>
      </c>
      <c r="M30" s="49"/>
      <c r="N30" s="49"/>
      <c r="O30" s="49"/>
      <c r="P30" s="49"/>
      <c r="Q30" s="49"/>
      <c r="R30" s="49"/>
      <c r="S30" s="49"/>
      <c r="T30" s="49"/>
    </row>
    <row r="31">
      <c r="A31" s="49"/>
      <c r="B31" s="49"/>
      <c r="C31" s="49"/>
      <c r="D31" s="49"/>
      <c r="E31" s="49"/>
      <c r="F31" s="49"/>
      <c r="G31" s="49"/>
      <c r="H31" s="49"/>
      <c r="I31" s="49" t="str">
        <f>IFERROR(__xludf.DUMMYFUNCTION("""COMPUTED_VALUE"""),"#VALUE!")</f>
        <v>#VALUE!</v>
      </c>
      <c r="J31" s="49"/>
      <c r="K31" s="49"/>
      <c r="L31" s="49" t="s">
        <v>255</v>
      </c>
      <c r="M31" s="49"/>
      <c r="N31" s="49"/>
      <c r="O31" s="49"/>
      <c r="P31" s="49"/>
      <c r="Q31" s="49"/>
      <c r="R31" s="49"/>
      <c r="S31" s="49"/>
      <c r="T31" s="49"/>
    </row>
    <row r="32">
      <c r="A32" s="49"/>
      <c r="B32" s="49"/>
      <c r="C32" s="49"/>
      <c r="D32" s="49"/>
      <c r="E32" s="49"/>
      <c r="F32" s="49"/>
      <c r="G32" s="49"/>
      <c r="H32" s="49"/>
      <c r="I32" s="49" t="str">
        <f>IFERROR(__xludf.DUMMYFUNCTION("""COMPUTED_VALUE"""),"#VALUE!")</f>
        <v>#VALUE!</v>
      </c>
      <c r="J32" s="49"/>
      <c r="K32" s="49"/>
      <c r="L32" s="49" t="s">
        <v>255</v>
      </c>
      <c r="M32" s="49"/>
      <c r="N32" s="49"/>
      <c r="O32" s="49"/>
      <c r="P32" s="49"/>
      <c r="Q32" s="49"/>
      <c r="R32" s="49"/>
      <c r="S32" s="49"/>
      <c r="T32" s="49"/>
    </row>
    <row r="33">
      <c r="A33" s="49"/>
      <c r="B33" s="49"/>
      <c r="C33" s="49"/>
      <c r="D33" s="49"/>
      <c r="E33" s="49"/>
      <c r="F33" s="49"/>
      <c r="G33" s="49"/>
      <c r="H33" s="49"/>
      <c r="I33" s="49" t="str">
        <f>IFERROR(__xludf.DUMMYFUNCTION("""COMPUTED_VALUE"""),"#VALUE!")</f>
        <v>#VALUE!</v>
      </c>
      <c r="J33" s="49"/>
      <c r="K33" s="49"/>
      <c r="L33" s="49" t="s">
        <v>255</v>
      </c>
      <c r="M33" s="49"/>
      <c r="N33" s="49"/>
      <c r="O33" s="49"/>
      <c r="P33" s="49"/>
      <c r="Q33" s="49"/>
      <c r="R33" s="49"/>
      <c r="S33" s="49"/>
      <c r="T33" s="49"/>
    </row>
    <row r="34">
      <c r="A34" s="49"/>
      <c r="B34" s="49"/>
      <c r="C34" s="49"/>
      <c r="D34" s="49"/>
      <c r="E34" s="49"/>
      <c r="F34" s="49"/>
      <c r="G34" s="49"/>
      <c r="H34" s="49"/>
      <c r="I34" s="49" t="str">
        <f>IFERROR(__xludf.DUMMYFUNCTION("""COMPUTED_VALUE"""),"#VALUE!")</f>
        <v>#VALUE!</v>
      </c>
      <c r="J34" s="49"/>
      <c r="K34" s="49"/>
      <c r="L34" s="49" t="s">
        <v>255</v>
      </c>
      <c r="M34" s="49"/>
      <c r="N34" s="49"/>
      <c r="O34" s="49"/>
      <c r="P34" s="49"/>
      <c r="Q34" s="49"/>
      <c r="R34" s="49"/>
      <c r="S34" s="49"/>
      <c r="T34" s="49"/>
    </row>
    <row r="35">
      <c r="A35" s="49"/>
      <c r="B35" s="49"/>
      <c r="C35" s="49"/>
      <c r="D35" s="49"/>
      <c r="E35" s="49"/>
      <c r="F35" s="49"/>
      <c r="G35" s="49"/>
      <c r="H35" s="49"/>
      <c r="I35" s="49" t="str">
        <f>IFERROR(__xludf.DUMMYFUNCTION("""COMPUTED_VALUE"""),"#VALUE!")</f>
        <v>#VALUE!</v>
      </c>
      <c r="J35" s="49"/>
      <c r="K35" s="49"/>
      <c r="L35" s="49" t="s">
        <v>255</v>
      </c>
      <c r="M35" s="49"/>
      <c r="N35" s="49"/>
      <c r="O35" s="49"/>
      <c r="P35" s="49"/>
      <c r="Q35" s="49"/>
      <c r="R35" s="49"/>
      <c r="S35" s="49"/>
      <c r="T35" s="49"/>
    </row>
    <row r="36">
      <c r="A36" s="49"/>
      <c r="B36" s="49"/>
      <c r="C36" s="49"/>
      <c r="D36" s="49"/>
      <c r="E36" s="49"/>
      <c r="F36" s="49"/>
      <c r="G36" s="49"/>
      <c r="H36" s="49"/>
      <c r="I36" s="49" t="str">
        <f>IFERROR(__xludf.DUMMYFUNCTION("""COMPUTED_VALUE"""),"#VALUE!")</f>
        <v>#VALUE!</v>
      </c>
      <c r="J36" s="49"/>
      <c r="K36" s="49"/>
      <c r="L36" s="49" t="s">
        <v>255</v>
      </c>
      <c r="M36" s="49"/>
      <c r="N36" s="49"/>
      <c r="O36" s="49"/>
      <c r="P36" s="49"/>
      <c r="Q36" s="49"/>
      <c r="R36" s="49"/>
      <c r="S36" s="49"/>
      <c r="T36" s="49"/>
    </row>
    <row r="37">
      <c r="A37" s="49"/>
      <c r="B37" s="49"/>
      <c r="C37" s="49"/>
      <c r="D37" s="49"/>
      <c r="E37" s="49"/>
      <c r="F37" s="49"/>
      <c r="G37" s="49"/>
      <c r="H37" s="49"/>
      <c r="I37" s="49" t="str">
        <f>IFERROR(__xludf.DUMMYFUNCTION("""COMPUTED_VALUE"""),"#VALUE!")</f>
        <v>#VALUE!</v>
      </c>
      <c r="J37" s="49"/>
      <c r="K37" s="49"/>
      <c r="L37" s="49" t="s">
        <v>255</v>
      </c>
      <c r="M37" s="49"/>
      <c r="N37" s="49"/>
      <c r="O37" s="49"/>
      <c r="P37" s="49"/>
      <c r="Q37" s="49"/>
      <c r="R37" s="49"/>
      <c r="S37" s="49"/>
      <c r="T37" s="49"/>
    </row>
    <row r="38">
      <c r="A38" s="49"/>
      <c r="B38" s="49"/>
      <c r="C38" s="49"/>
      <c r="D38" s="49"/>
      <c r="E38" s="49"/>
      <c r="F38" s="49"/>
      <c r="G38" s="49"/>
      <c r="H38" s="49"/>
      <c r="I38" s="49" t="str">
        <f>IFERROR(__xludf.DUMMYFUNCTION("""COMPUTED_VALUE"""),"#VALUE!")</f>
        <v>#VALUE!</v>
      </c>
      <c r="J38" s="49"/>
      <c r="K38" s="49"/>
      <c r="L38" s="49" t="s">
        <v>255</v>
      </c>
      <c r="M38" s="49"/>
      <c r="N38" s="49"/>
      <c r="O38" s="49"/>
      <c r="P38" s="49"/>
      <c r="Q38" s="49"/>
      <c r="R38" s="49"/>
      <c r="S38" s="49"/>
      <c r="T38" s="49"/>
    </row>
    <row r="39">
      <c r="A39" s="49"/>
      <c r="B39" s="49"/>
      <c r="C39" s="49"/>
      <c r="D39" s="49"/>
      <c r="E39" s="49"/>
      <c r="F39" s="49"/>
      <c r="G39" s="49"/>
      <c r="H39" s="49"/>
      <c r="I39" s="49" t="str">
        <f>IFERROR(__xludf.DUMMYFUNCTION("""COMPUTED_VALUE"""),"#VALUE!")</f>
        <v>#VALUE!</v>
      </c>
      <c r="J39" s="49"/>
      <c r="K39" s="49"/>
      <c r="L39" s="49" t="s">
        <v>255</v>
      </c>
      <c r="M39" s="49"/>
      <c r="N39" s="49"/>
      <c r="O39" s="49"/>
      <c r="P39" s="49"/>
      <c r="Q39" s="49"/>
      <c r="R39" s="49"/>
      <c r="S39" s="49"/>
      <c r="T39" s="49"/>
    </row>
    <row r="40">
      <c r="A40" s="49"/>
      <c r="B40" s="49"/>
      <c r="C40" s="49"/>
      <c r="D40" s="49"/>
      <c r="E40" s="49"/>
      <c r="F40" s="49"/>
      <c r="G40" s="49"/>
      <c r="H40" s="49"/>
      <c r="I40" s="49" t="str">
        <f>IFERROR(__xludf.DUMMYFUNCTION("""COMPUTED_VALUE"""),"#VALUE!")</f>
        <v>#VALUE!</v>
      </c>
      <c r="J40" s="49"/>
      <c r="K40" s="49"/>
      <c r="L40" s="49" t="s">
        <v>255</v>
      </c>
      <c r="M40" s="49"/>
      <c r="N40" s="49"/>
      <c r="O40" s="49"/>
      <c r="P40" s="49"/>
      <c r="Q40" s="49"/>
      <c r="R40" s="49"/>
      <c r="S40" s="49"/>
      <c r="T40" s="49"/>
    </row>
    <row r="41">
      <c r="A41" s="49"/>
      <c r="B41" s="49"/>
      <c r="C41" s="49"/>
      <c r="D41" s="49"/>
      <c r="E41" s="49"/>
      <c r="F41" s="49"/>
      <c r="G41" s="49"/>
      <c r="H41" s="49"/>
      <c r="I41" s="49" t="str">
        <f>IFERROR(__xludf.DUMMYFUNCTION("""COMPUTED_VALUE"""),"#VALUE!")</f>
        <v>#VALUE!</v>
      </c>
      <c r="J41" s="49"/>
      <c r="K41" s="49"/>
      <c r="L41" s="49" t="s">
        <v>255</v>
      </c>
      <c r="M41" s="49"/>
      <c r="N41" s="49"/>
      <c r="O41" s="49"/>
      <c r="P41" s="49"/>
      <c r="Q41" s="49"/>
      <c r="R41" s="49"/>
      <c r="S41" s="49"/>
      <c r="T41" s="49"/>
    </row>
    <row r="42">
      <c r="A42" s="49"/>
      <c r="B42" s="49"/>
      <c r="C42" s="49"/>
      <c r="D42" s="49"/>
      <c r="E42" s="49"/>
      <c r="F42" s="49"/>
      <c r="G42" s="49"/>
      <c r="H42" s="49"/>
      <c r="I42" s="49" t="str">
        <f>IFERROR(__xludf.DUMMYFUNCTION("""COMPUTED_VALUE"""),"#VALUE!")</f>
        <v>#VALUE!</v>
      </c>
      <c r="J42" s="49"/>
      <c r="K42" s="49"/>
      <c r="L42" s="49" t="s">
        <v>255</v>
      </c>
      <c r="M42" s="49"/>
      <c r="N42" s="49"/>
      <c r="O42" s="49"/>
      <c r="P42" s="49"/>
      <c r="Q42" s="49"/>
      <c r="R42" s="49"/>
      <c r="S42" s="49"/>
      <c r="T42" s="49"/>
    </row>
    <row r="43">
      <c r="A43" s="49"/>
      <c r="B43" s="49"/>
      <c r="C43" s="49"/>
      <c r="D43" s="49"/>
      <c r="E43" s="49"/>
      <c r="F43" s="49"/>
      <c r="G43" s="49"/>
      <c r="H43" s="49"/>
      <c r="I43" s="49" t="str">
        <f>IFERROR(__xludf.DUMMYFUNCTION("""COMPUTED_VALUE"""),"#VALUE!")</f>
        <v>#VALUE!</v>
      </c>
      <c r="J43" s="49"/>
      <c r="K43" s="49"/>
      <c r="L43" s="49" t="s">
        <v>255</v>
      </c>
      <c r="M43" s="49"/>
      <c r="N43" s="49"/>
      <c r="O43" s="49"/>
      <c r="P43" s="49"/>
      <c r="Q43" s="49"/>
      <c r="R43" s="49"/>
      <c r="S43" s="49"/>
      <c r="T43" s="49"/>
    </row>
    <row r="44">
      <c r="A44" s="49"/>
      <c r="B44" s="49"/>
      <c r="C44" s="49"/>
      <c r="D44" s="49"/>
      <c r="E44" s="49"/>
      <c r="F44" s="49"/>
      <c r="G44" s="49"/>
      <c r="H44" s="49"/>
      <c r="I44" s="49" t="str">
        <f>IFERROR(__xludf.DUMMYFUNCTION("""COMPUTED_VALUE"""),"#VALUE!")</f>
        <v>#VALUE!</v>
      </c>
      <c r="J44" s="49"/>
      <c r="K44" s="49"/>
      <c r="L44" s="49" t="s">
        <v>255</v>
      </c>
      <c r="M44" s="49"/>
      <c r="N44" s="49"/>
      <c r="O44" s="49"/>
      <c r="P44" s="49"/>
      <c r="Q44" s="49"/>
      <c r="R44" s="49"/>
      <c r="S44" s="49"/>
      <c r="T44" s="49"/>
    </row>
    <row r="45">
      <c r="A45" s="49"/>
      <c r="B45" s="49"/>
      <c r="C45" s="49"/>
      <c r="D45" s="49"/>
      <c r="E45" s="49"/>
      <c r="F45" s="49"/>
      <c r="G45" s="49"/>
      <c r="H45" s="49"/>
      <c r="I45" s="49" t="str">
        <f>IFERROR(__xludf.DUMMYFUNCTION("""COMPUTED_VALUE"""),"#VALUE!")</f>
        <v>#VALUE!</v>
      </c>
      <c r="J45" s="49"/>
      <c r="K45" s="49"/>
      <c r="L45" s="49" t="s">
        <v>255</v>
      </c>
      <c r="M45" s="49"/>
      <c r="N45" s="49"/>
      <c r="O45" s="49"/>
      <c r="P45" s="49"/>
      <c r="Q45" s="49"/>
      <c r="R45" s="49"/>
      <c r="S45" s="49"/>
      <c r="T45" s="49"/>
    </row>
    <row r="46">
      <c r="A46" s="49"/>
      <c r="B46" s="49"/>
      <c r="C46" s="49"/>
      <c r="D46" s="49"/>
      <c r="E46" s="49"/>
      <c r="F46" s="49"/>
      <c r="G46" s="49"/>
      <c r="H46" s="49"/>
      <c r="I46" s="49" t="str">
        <f>IFERROR(__xludf.DUMMYFUNCTION("""COMPUTED_VALUE"""),"#VALUE!")</f>
        <v>#VALUE!</v>
      </c>
      <c r="J46" s="49"/>
      <c r="K46" s="49"/>
      <c r="L46" s="49" t="s">
        <v>255</v>
      </c>
      <c r="M46" s="49"/>
      <c r="N46" s="49"/>
      <c r="O46" s="49"/>
      <c r="P46" s="49"/>
      <c r="Q46" s="49"/>
      <c r="R46" s="49"/>
      <c r="S46" s="49"/>
      <c r="T46" s="49"/>
    </row>
    <row r="47">
      <c r="A47" s="49"/>
      <c r="B47" s="49"/>
      <c r="C47" s="49"/>
      <c r="D47" s="49"/>
      <c r="E47" s="49"/>
      <c r="F47" s="49"/>
      <c r="G47" s="49"/>
      <c r="H47" s="49"/>
      <c r="I47" s="49" t="str">
        <f>IFERROR(__xludf.DUMMYFUNCTION("""COMPUTED_VALUE"""),"#VALUE!")</f>
        <v>#VALUE!</v>
      </c>
      <c r="J47" s="49"/>
      <c r="K47" s="49"/>
      <c r="L47" s="49" t="s">
        <v>255</v>
      </c>
      <c r="M47" s="49"/>
      <c r="N47" s="49"/>
      <c r="O47" s="49"/>
      <c r="P47" s="49"/>
      <c r="Q47" s="49"/>
      <c r="R47" s="49"/>
      <c r="S47" s="49"/>
      <c r="T47" s="49"/>
    </row>
    <row r="48">
      <c r="A48" s="49"/>
      <c r="B48" s="49"/>
      <c r="C48" s="49"/>
      <c r="D48" s="49"/>
      <c r="E48" s="49"/>
      <c r="F48" s="49"/>
      <c r="G48" s="49"/>
      <c r="H48" s="49"/>
      <c r="I48" s="49" t="str">
        <f>IFERROR(__xludf.DUMMYFUNCTION("""COMPUTED_VALUE"""),"#VALUE!")</f>
        <v>#VALUE!</v>
      </c>
      <c r="J48" s="49"/>
      <c r="K48" s="49"/>
      <c r="L48" s="49" t="s">
        <v>255</v>
      </c>
      <c r="M48" s="49"/>
      <c r="N48" s="49"/>
      <c r="O48" s="49"/>
      <c r="P48" s="49"/>
      <c r="Q48" s="49"/>
      <c r="R48" s="49"/>
      <c r="S48" s="49"/>
      <c r="T48" s="49"/>
    </row>
    <row r="49">
      <c r="A49" s="49"/>
      <c r="B49" s="49"/>
      <c r="C49" s="49"/>
      <c r="D49" s="49"/>
      <c r="E49" s="49"/>
      <c r="F49" s="49"/>
      <c r="G49" s="49"/>
      <c r="H49" s="49"/>
      <c r="I49" s="49" t="str">
        <f>IFERROR(__xludf.DUMMYFUNCTION("""COMPUTED_VALUE"""),"#VALUE!")</f>
        <v>#VALUE!</v>
      </c>
      <c r="J49" s="49"/>
      <c r="K49" s="49"/>
      <c r="L49" s="49" t="s">
        <v>255</v>
      </c>
      <c r="M49" s="49"/>
      <c r="N49" s="49"/>
      <c r="O49" s="49"/>
      <c r="P49" s="49"/>
      <c r="Q49" s="49"/>
      <c r="R49" s="49"/>
      <c r="S49" s="49"/>
      <c r="T49" s="49"/>
    </row>
    <row r="50">
      <c r="A50" s="49"/>
      <c r="B50" s="49"/>
      <c r="C50" s="49"/>
      <c r="D50" s="49"/>
      <c r="E50" s="49"/>
      <c r="F50" s="49"/>
      <c r="G50" s="49"/>
      <c r="H50" s="49"/>
      <c r="I50" s="49" t="str">
        <f>IFERROR(__xludf.DUMMYFUNCTION("""COMPUTED_VALUE"""),"#VALUE!")</f>
        <v>#VALUE!</v>
      </c>
      <c r="J50" s="49"/>
      <c r="K50" s="49"/>
      <c r="L50" s="49" t="s">
        <v>255</v>
      </c>
      <c r="M50" s="49"/>
      <c r="N50" s="49"/>
      <c r="O50" s="49"/>
      <c r="P50" s="49"/>
      <c r="Q50" s="49"/>
      <c r="R50" s="49"/>
      <c r="S50" s="49"/>
      <c r="T50" s="49"/>
    </row>
    <row r="51">
      <c r="A51" s="49"/>
      <c r="B51" s="49"/>
      <c r="C51" s="49"/>
      <c r="D51" s="49"/>
      <c r="E51" s="49"/>
      <c r="F51" s="49"/>
      <c r="G51" s="49"/>
      <c r="H51" s="49"/>
      <c r="I51" s="49" t="str">
        <f>IFERROR(__xludf.DUMMYFUNCTION("""COMPUTED_VALUE"""),"#VALUE!")</f>
        <v>#VALUE!</v>
      </c>
      <c r="J51" s="49"/>
      <c r="K51" s="49"/>
      <c r="L51" s="49" t="s">
        <v>255</v>
      </c>
      <c r="M51" s="49"/>
      <c r="N51" s="49"/>
      <c r="O51" s="49"/>
      <c r="P51" s="49"/>
      <c r="Q51" s="49"/>
      <c r="R51" s="49"/>
      <c r="S51" s="49"/>
      <c r="T51" s="49"/>
    </row>
    <row r="52">
      <c r="A52" s="49"/>
      <c r="B52" s="49"/>
      <c r="C52" s="49"/>
      <c r="D52" s="49"/>
      <c r="E52" s="49"/>
      <c r="F52" s="49"/>
      <c r="G52" s="49"/>
      <c r="H52" s="49"/>
      <c r="I52" s="49" t="str">
        <f>IFERROR(__xludf.DUMMYFUNCTION("""COMPUTED_VALUE"""),"#VALUE!")</f>
        <v>#VALUE!</v>
      </c>
      <c r="J52" s="49"/>
      <c r="K52" s="49"/>
      <c r="L52" s="49" t="s">
        <v>255</v>
      </c>
      <c r="M52" s="49"/>
      <c r="N52" s="49"/>
      <c r="O52" s="49"/>
      <c r="P52" s="49"/>
      <c r="Q52" s="49"/>
      <c r="R52" s="49"/>
      <c r="S52" s="49"/>
      <c r="T52" s="49"/>
    </row>
    <row r="53">
      <c r="A53" s="49"/>
      <c r="B53" s="49"/>
      <c r="C53" s="49"/>
      <c r="D53" s="49"/>
      <c r="E53" s="49"/>
      <c r="F53" s="49"/>
      <c r="G53" s="49"/>
      <c r="H53" s="49"/>
      <c r="I53" s="49" t="str">
        <f>IFERROR(__xludf.DUMMYFUNCTION("""COMPUTED_VALUE"""),"#VALUE!")</f>
        <v>#VALUE!</v>
      </c>
      <c r="J53" s="49"/>
      <c r="K53" s="49"/>
      <c r="L53" s="49" t="s">
        <v>255</v>
      </c>
      <c r="M53" s="49"/>
      <c r="N53" s="49"/>
      <c r="O53" s="49"/>
      <c r="P53" s="49"/>
      <c r="Q53" s="49"/>
      <c r="R53" s="49"/>
      <c r="S53" s="49"/>
      <c r="T53" s="49"/>
    </row>
    <row r="54">
      <c r="A54" s="49"/>
      <c r="B54" s="49"/>
      <c r="C54" s="49"/>
      <c r="D54" s="49"/>
      <c r="E54" s="49"/>
      <c r="F54" s="49"/>
      <c r="G54" s="49"/>
      <c r="H54" s="49"/>
      <c r="I54" s="49" t="str">
        <f>IFERROR(__xludf.DUMMYFUNCTION("""COMPUTED_VALUE"""),"#VALUE!")</f>
        <v>#VALUE!</v>
      </c>
      <c r="J54" s="49"/>
      <c r="K54" s="49"/>
      <c r="L54" s="49" t="s">
        <v>255</v>
      </c>
      <c r="M54" s="49"/>
      <c r="N54" s="49"/>
      <c r="O54" s="49"/>
      <c r="P54" s="49"/>
      <c r="Q54" s="49"/>
      <c r="R54" s="49"/>
      <c r="S54" s="49"/>
      <c r="T54" s="49"/>
    </row>
    <row r="55">
      <c r="A55" s="49"/>
      <c r="B55" s="49"/>
      <c r="C55" s="49"/>
      <c r="D55" s="49"/>
      <c r="E55" s="49"/>
      <c r="F55" s="49"/>
      <c r="G55" s="49"/>
      <c r="H55" s="49"/>
      <c r="I55" s="49" t="str">
        <f>IFERROR(__xludf.DUMMYFUNCTION("""COMPUTED_VALUE"""),"#VALUE!")</f>
        <v>#VALUE!</v>
      </c>
      <c r="J55" s="49"/>
      <c r="K55" s="49"/>
      <c r="L55" s="49" t="s">
        <v>255</v>
      </c>
      <c r="M55" s="49"/>
      <c r="N55" s="49"/>
      <c r="O55" s="49"/>
      <c r="P55" s="49"/>
      <c r="Q55" s="49"/>
      <c r="R55" s="49"/>
      <c r="S55" s="49"/>
      <c r="T55" s="49"/>
    </row>
    <row r="56">
      <c r="A56" s="49"/>
      <c r="B56" s="49"/>
      <c r="C56" s="49"/>
      <c r="D56" s="49"/>
      <c r="E56" s="49"/>
      <c r="F56" s="49"/>
      <c r="G56" s="49"/>
      <c r="H56" s="49"/>
      <c r="I56" s="49" t="str">
        <f>IFERROR(__xludf.DUMMYFUNCTION("""COMPUTED_VALUE"""),"#VALUE!")</f>
        <v>#VALUE!</v>
      </c>
      <c r="J56" s="49"/>
      <c r="K56" s="49"/>
      <c r="L56" s="49" t="s">
        <v>255</v>
      </c>
      <c r="M56" s="49"/>
      <c r="N56" s="49"/>
      <c r="O56" s="49"/>
      <c r="P56" s="49"/>
      <c r="Q56" s="49"/>
      <c r="R56" s="49"/>
      <c r="S56" s="49"/>
      <c r="T56" s="49"/>
    </row>
    <row r="57">
      <c r="A57" s="49"/>
      <c r="B57" s="49"/>
      <c r="C57" s="49"/>
      <c r="D57" s="49"/>
      <c r="E57" s="49"/>
      <c r="F57" s="49"/>
      <c r="G57" s="49"/>
      <c r="H57" s="49"/>
      <c r="I57" s="49" t="str">
        <f>IFERROR(__xludf.DUMMYFUNCTION("""COMPUTED_VALUE"""),"#VALUE!")</f>
        <v>#VALUE!</v>
      </c>
      <c r="J57" s="49"/>
      <c r="K57" s="49"/>
      <c r="L57" s="49" t="s">
        <v>255</v>
      </c>
      <c r="M57" s="49"/>
      <c r="N57" s="49"/>
      <c r="O57" s="49"/>
      <c r="P57" s="49"/>
      <c r="Q57" s="49"/>
      <c r="R57" s="49"/>
      <c r="S57" s="49"/>
      <c r="T57" s="49"/>
    </row>
    <row r="58">
      <c r="A58" s="49"/>
      <c r="B58" s="49"/>
      <c r="C58" s="49"/>
      <c r="D58" s="49"/>
      <c r="E58" s="49"/>
      <c r="F58" s="49"/>
      <c r="G58" s="49"/>
      <c r="H58" s="49"/>
      <c r="I58" s="49" t="str">
        <f>IFERROR(__xludf.DUMMYFUNCTION("""COMPUTED_VALUE"""),"#VALUE!")</f>
        <v>#VALUE!</v>
      </c>
      <c r="J58" s="49"/>
      <c r="K58" s="49"/>
      <c r="L58" s="49" t="s">
        <v>255</v>
      </c>
      <c r="M58" s="49"/>
      <c r="N58" s="49"/>
      <c r="O58" s="49"/>
      <c r="P58" s="49"/>
      <c r="Q58" s="49"/>
      <c r="R58" s="49"/>
      <c r="S58" s="49"/>
      <c r="T58" s="49"/>
    </row>
    <row r="59">
      <c r="A59" s="49"/>
      <c r="B59" s="49"/>
      <c r="C59" s="49"/>
      <c r="D59" s="49"/>
      <c r="E59" s="49"/>
      <c r="F59" s="49"/>
      <c r="G59" s="49"/>
      <c r="H59" s="49"/>
      <c r="I59" s="49" t="str">
        <f>IFERROR(__xludf.DUMMYFUNCTION("""COMPUTED_VALUE"""),"#VALUE!")</f>
        <v>#VALUE!</v>
      </c>
      <c r="J59" s="49"/>
      <c r="K59" s="49"/>
      <c r="L59" s="49" t="s">
        <v>255</v>
      </c>
      <c r="M59" s="49"/>
      <c r="N59" s="49"/>
      <c r="O59" s="49"/>
      <c r="P59" s="49"/>
      <c r="Q59" s="49"/>
      <c r="R59" s="49"/>
      <c r="S59" s="49"/>
      <c r="T59" s="49"/>
    </row>
    <row r="60">
      <c r="A60" s="49"/>
      <c r="B60" s="49"/>
      <c r="C60" s="49"/>
      <c r="D60" s="49"/>
      <c r="E60" s="49"/>
      <c r="F60" s="49"/>
      <c r="G60" s="49"/>
      <c r="H60" s="49"/>
      <c r="I60" s="49" t="str">
        <f>IFERROR(__xludf.DUMMYFUNCTION("""COMPUTED_VALUE"""),"#VALUE!")</f>
        <v>#VALUE!</v>
      </c>
      <c r="J60" s="49"/>
      <c r="K60" s="49"/>
      <c r="L60" s="49" t="s">
        <v>255</v>
      </c>
      <c r="M60" s="49"/>
      <c r="N60" s="49"/>
      <c r="O60" s="49"/>
      <c r="P60" s="49"/>
      <c r="Q60" s="49"/>
      <c r="R60" s="49"/>
      <c r="S60" s="49"/>
      <c r="T60" s="49"/>
    </row>
    <row r="61">
      <c r="A61" s="49"/>
      <c r="B61" s="49"/>
      <c r="C61" s="49"/>
      <c r="D61" s="49"/>
      <c r="E61" s="49"/>
      <c r="F61" s="49"/>
      <c r="G61" s="49"/>
      <c r="H61" s="49"/>
      <c r="I61" s="49" t="str">
        <f>IFERROR(__xludf.DUMMYFUNCTION("""COMPUTED_VALUE"""),"#VALUE!")</f>
        <v>#VALUE!</v>
      </c>
      <c r="J61" s="49"/>
      <c r="K61" s="49"/>
      <c r="L61" s="49" t="s">
        <v>255</v>
      </c>
      <c r="M61" s="49"/>
      <c r="N61" s="49"/>
      <c r="O61" s="49"/>
      <c r="P61" s="49"/>
      <c r="Q61" s="49"/>
      <c r="R61" s="49"/>
      <c r="S61" s="49"/>
      <c r="T61" s="49"/>
    </row>
    <row r="62">
      <c r="A62" s="49"/>
      <c r="B62" s="49"/>
      <c r="C62" s="49"/>
      <c r="D62" s="49"/>
      <c r="E62" s="49"/>
      <c r="F62" s="49"/>
      <c r="G62" s="49"/>
      <c r="H62" s="49"/>
      <c r="I62" s="49" t="str">
        <f>IFERROR(__xludf.DUMMYFUNCTION("""COMPUTED_VALUE"""),"#VALUE!")</f>
        <v>#VALUE!</v>
      </c>
      <c r="J62" s="49"/>
      <c r="K62" s="49"/>
      <c r="L62" s="49" t="s">
        <v>255</v>
      </c>
      <c r="M62" s="49"/>
      <c r="N62" s="49"/>
      <c r="O62" s="49"/>
      <c r="P62" s="49"/>
      <c r="Q62" s="49"/>
      <c r="R62" s="49"/>
      <c r="S62" s="49"/>
      <c r="T62" s="49"/>
    </row>
    <row r="63">
      <c r="A63" s="49"/>
      <c r="B63" s="49"/>
      <c r="C63" s="49"/>
      <c r="D63" s="49"/>
      <c r="E63" s="49"/>
      <c r="F63" s="49"/>
      <c r="G63" s="49"/>
      <c r="H63" s="49"/>
      <c r="I63" s="49" t="str">
        <f>IFERROR(__xludf.DUMMYFUNCTION("""COMPUTED_VALUE"""),"#VALUE!")</f>
        <v>#VALUE!</v>
      </c>
      <c r="J63" s="49"/>
      <c r="K63" s="49"/>
      <c r="L63" s="49" t="s">
        <v>255</v>
      </c>
      <c r="M63" s="49"/>
      <c r="N63" s="49"/>
      <c r="O63" s="49"/>
      <c r="P63" s="49"/>
      <c r="Q63" s="49"/>
      <c r="R63" s="49"/>
      <c r="S63" s="49"/>
      <c r="T63" s="49"/>
    </row>
    <row r="64">
      <c r="A64" s="49"/>
      <c r="B64" s="49"/>
      <c r="C64" s="49"/>
      <c r="D64" s="49"/>
      <c r="E64" s="49"/>
      <c r="F64" s="49"/>
      <c r="G64" s="49"/>
      <c r="H64" s="49"/>
      <c r="I64" s="49" t="str">
        <f>IFERROR(__xludf.DUMMYFUNCTION("""COMPUTED_VALUE"""),"#VALUE!")</f>
        <v>#VALUE!</v>
      </c>
      <c r="J64" s="49"/>
      <c r="K64" s="49"/>
      <c r="L64" s="49" t="s">
        <v>255</v>
      </c>
      <c r="M64" s="49"/>
      <c r="N64" s="49"/>
      <c r="O64" s="49"/>
      <c r="P64" s="49"/>
      <c r="Q64" s="49"/>
      <c r="R64" s="49"/>
      <c r="S64" s="49"/>
      <c r="T64" s="49"/>
    </row>
    <row r="65">
      <c r="A65" s="49"/>
      <c r="B65" s="49"/>
      <c r="C65" s="49"/>
      <c r="D65" s="49"/>
      <c r="E65" s="49"/>
      <c r="F65" s="49"/>
      <c r="G65" s="49"/>
      <c r="H65" s="49"/>
      <c r="I65" s="49" t="str">
        <f>IFERROR(__xludf.DUMMYFUNCTION("""COMPUTED_VALUE"""),"#VALUE!")</f>
        <v>#VALUE!</v>
      </c>
      <c r="J65" s="49"/>
      <c r="K65" s="49"/>
      <c r="L65" s="49" t="s">
        <v>255</v>
      </c>
      <c r="M65" s="49"/>
      <c r="N65" s="49"/>
      <c r="O65" s="49"/>
      <c r="P65" s="49"/>
      <c r="Q65" s="49"/>
      <c r="R65" s="49"/>
      <c r="S65" s="49"/>
      <c r="T65" s="49"/>
    </row>
    <row r="66">
      <c r="A66" s="49"/>
      <c r="B66" s="49"/>
      <c r="C66" s="49"/>
      <c r="D66" s="49"/>
      <c r="E66" s="49"/>
      <c r="F66" s="49"/>
      <c r="G66" s="49"/>
      <c r="H66" s="49"/>
      <c r="I66" s="49" t="str">
        <f>IFERROR(__xludf.DUMMYFUNCTION("""COMPUTED_VALUE"""),"#VALUE!")</f>
        <v>#VALUE!</v>
      </c>
      <c r="J66" s="49"/>
      <c r="K66" s="49"/>
      <c r="L66" s="49" t="s">
        <v>255</v>
      </c>
      <c r="M66" s="49"/>
      <c r="N66" s="49"/>
      <c r="O66" s="49"/>
      <c r="P66" s="49"/>
      <c r="Q66" s="49"/>
      <c r="R66" s="49"/>
      <c r="S66" s="49"/>
      <c r="T66" s="49"/>
    </row>
    <row r="67">
      <c r="A67" s="49"/>
      <c r="B67" s="49"/>
      <c r="C67" s="49"/>
      <c r="D67" s="49"/>
      <c r="E67" s="49"/>
      <c r="F67" s="49"/>
      <c r="G67" s="49"/>
      <c r="H67" s="49"/>
      <c r="I67" s="49" t="str">
        <f>IFERROR(__xludf.DUMMYFUNCTION("""COMPUTED_VALUE"""),"#VALUE!")</f>
        <v>#VALUE!</v>
      </c>
      <c r="J67" s="49"/>
      <c r="K67" s="49"/>
      <c r="L67" s="49" t="s">
        <v>255</v>
      </c>
      <c r="M67" s="49"/>
      <c r="N67" s="49"/>
      <c r="O67" s="49"/>
      <c r="P67" s="49"/>
      <c r="Q67" s="49"/>
      <c r="R67" s="49"/>
      <c r="S67" s="49"/>
      <c r="T67" s="49"/>
    </row>
    <row r="68">
      <c r="A68" s="49"/>
      <c r="B68" s="49"/>
      <c r="C68" s="49"/>
      <c r="D68" s="49"/>
      <c r="E68" s="49"/>
      <c r="F68" s="49"/>
      <c r="G68" s="49"/>
      <c r="H68" s="49"/>
      <c r="I68" s="49" t="str">
        <f>IFERROR(__xludf.DUMMYFUNCTION("""COMPUTED_VALUE"""),"#VALUE!")</f>
        <v>#VALUE!</v>
      </c>
      <c r="J68" s="49"/>
      <c r="K68" s="49"/>
      <c r="L68" s="49" t="s">
        <v>255</v>
      </c>
      <c r="M68" s="49"/>
      <c r="N68" s="49"/>
      <c r="O68" s="49"/>
      <c r="P68" s="49"/>
      <c r="Q68" s="49"/>
      <c r="R68" s="49"/>
      <c r="S68" s="49"/>
      <c r="T68" s="49"/>
    </row>
    <row r="69">
      <c r="A69" s="49"/>
      <c r="B69" s="49"/>
      <c r="C69" s="49"/>
      <c r="D69" s="49"/>
      <c r="E69" s="49"/>
      <c r="F69" s="49"/>
      <c r="G69" s="49"/>
      <c r="H69" s="49"/>
      <c r="I69" s="49" t="str">
        <f>IFERROR(__xludf.DUMMYFUNCTION("""COMPUTED_VALUE"""),"#VALUE!")</f>
        <v>#VALUE!</v>
      </c>
      <c r="J69" s="49"/>
      <c r="K69" s="49"/>
      <c r="L69" s="49" t="s">
        <v>255</v>
      </c>
      <c r="M69" s="49"/>
      <c r="N69" s="49"/>
      <c r="O69" s="49"/>
      <c r="P69" s="49"/>
      <c r="Q69" s="49"/>
      <c r="R69" s="49"/>
      <c r="S69" s="49"/>
      <c r="T69" s="49"/>
    </row>
    <row r="70">
      <c r="A70" s="49"/>
      <c r="B70" s="49"/>
      <c r="C70" s="49"/>
      <c r="D70" s="49"/>
      <c r="E70" s="49"/>
      <c r="F70" s="49"/>
      <c r="G70" s="49"/>
      <c r="H70" s="49"/>
      <c r="I70" s="49" t="str">
        <f>IFERROR(__xludf.DUMMYFUNCTION("""COMPUTED_VALUE"""),"#VALUE!")</f>
        <v>#VALUE!</v>
      </c>
      <c r="J70" s="49"/>
      <c r="K70" s="49"/>
      <c r="L70" s="49" t="s">
        <v>255</v>
      </c>
      <c r="M70" s="49"/>
      <c r="N70" s="49"/>
      <c r="O70" s="49"/>
      <c r="P70" s="49"/>
      <c r="Q70" s="49"/>
      <c r="R70" s="49"/>
      <c r="S70" s="49"/>
      <c r="T70" s="49"/>
    </row>
    <row r="71">
      <c r="A71" s="49"/>
      <c r="B71" s="49"/>
      <c r="C71" s="49"/>
      <c r="D71" s="49"/>
      <c r="E71" s="49"/>
      <c r="F71" s="49"/>
      <c r="G71" s="49"/>
      <c r="H71" s="49"/>
      <c r="I71" s="49" t="str">
        <f>IFERROR(__xludf.DUMMYFUNCTION("""COMPUTED_VALUE"""),"#VALUE!")</f>
        <v>#VALUE!</v>
      </c>
      <c r="J71" s="49"/>
      <c r="K71" s="49"/>
      <c r="L71" s="49" t="s">
        <v>255</v>
      </c>
      <c r="M71" s="49"/>
      <c r="N71" s="49"/>
      <c r="O71" s="49"/>
      <c r="P71" s="49"/>
      <c r="Q71" s="49"/>
      <c r="R71" s="49"/>
      <c r="S71" s="49"/>
      <c r="T71" s="49"/>
    </row>
    <row r="72">
      <c r="A72" s="49"/>
      <c r="B72" s="49"/>
      <c r="C72" s="49"/>
      <c r="D72" s="49"/>
      <c r="E72" s="49"/>
      <c r="F72" s="49"/>
      <c r="G72" s="49"/>
      <c r="H72" s="49"/>
      <c r="I72" s="49" t="str">
        <f>IFERROR(__xludf.DUMMYFUNCTION("""COMPUTED_VALUE"""),"#VALUE!")</f>
        <v>#VALUE!</v>
      </c>
      <c r="J72" s="49"/>
      <c r="K72" s="49"/>
      <c r="L72" s="49" t="s">
        <v>255</v>
      </c>
      <c r="M72" s="49"/>
      <c r="N72" s="49"/>
      <c r="O72" s="49"/>
      <c r="P72" s="49"/>
      <c r="Q72" s="49"/>
      <c r="R72" s="49"/>
      <c r="S72" s="49"/>
      <c r="T72" s="49"/>
    </row>
    <row r="73">
      <c r="A73" s="49"/>
      <c r="B73" s="49"/>
      <c r="C73" s="49"/>
      <c r="D73" s="49"/>
      <c r="E73" s="49"/>
      <c r="F73" s="49"/>
      <c r="G73" s="49"/>
      <c r="H73" s="49"/>
      <c r="I73" s="49" t="str">
        <f>IFERROR(__xludf.DUMMYFUNCTION("""COMPUTED_VALUE"""),"#VALUE!")</f>
        <v>#VALUE!</v>
      </c>
      <c r="J73" s="49"/>
      <c r="K73" s="49"/>
      <c r="L73" s="49" t="s">
        <v>255</v>
      </c>
      <c r="M73" s="49"/>
      <c r="N73" s="49"/>
      <c r="O73" s="49"/>
      <c r="P73" s="49"/>
      <c r="Q73" s="49"/>
      <c r="R73" s="49"/>
      <c r="S73" s="49"/>
      <c r="T73" s="49"/>
    </row>
    <row r="74">
      <c r="A74" s="49"/>
      <c r="B74" s="49"/>
      <c r="C74" s="49"/>
      <c r="D74" s="49"/>
      <c r="E74" s="49"/>
      <c r="F74" s="49"/>
      <c r="G74" s="49"/>
      <c r="H74" s="49"/>
      <c r="I74" s="49" t="str">
        <f>IFERROR(__xludf.DUMMYFUNCTION("""COMPUTED_VALUE"""),"#VALUE!")</f>
        <v>#VALUE!</v>
      </c>
      <c r="J74" s="49"/>
      <c r="K74" s="49"/>
      <c r="L74" s="49" t="s">
        <v>255</v>
      </c>
      <c r="M74" s="49"/>
      <c r="N74" s="49"/>
      <c r="O74" s="49"/>
      <c r="P74" s="49"/>
      <c r="Q74" s="49"/>
      <c r="R74" s="49"/>
      <c r="S74" s="49"/>
      <c r="T74" s="49"/>
    </row>
    <row r="75">
      <c r="A75" s="49"/>
      <c r="B75" s="49"/>
      <c r="C75" s="49"/>
      <c r="D75" s="49"/>
      <c r="E75" s="49"/>
      <c r="F75" s="49"/>
      <c r="G75" s="49"/>
      <c r="H75" s="49"/>
      <c r="I75" s="49" t="str">
        <f>IFERROR(__xludf.DUMMYFUNCTION("""COMPUTED_VALUE"""),"#VALUE!")</f>
        <v>#VALUE!</v>
      </c>
      <c r="J75" s="49"/>
      <c r="K75" s="49"/>
      <c r="L75" s="49" t="s">
        <v>255</v>
      </c>
      <c r="M75" s="49"/>
      <c r="N75" s="49"/>
      <c r="O75" s="49"/>
      <c r="P75" s="49"/>
      <c r="Q75" s="49"/>
      <c r="R75" s="49"/>
      <c r="S75" s="49"/>
      <c r="T75" s="49"/>
    </row>
    <row r="76">
      <c r="A76" s="49"/>
      <c r="B76" s="49"/>
      <c r="C76" s="49"/>
      <c r="D76" s="49"/>
      <c r="E76" s="49"/>
      <c r="F76" s="49"/>
      <c r="G76" s="49"/>
      <c r="H76" s="49"/>
      <c r="I76" s="49" t="str">
        <f>IFERROR(__xludf.DUMMYFUNCTION("""COMPUTED_VALUE"""),"#VALUE!")</f>
        <v>#VALUE!</v>
      </c>
      <c r="J76" s="49"/>
      <c r="K76" s="49"/>
      <c r="L76" s="49" t="s">
        <v>255</v>
      </c>
      <c r="M76" s="49"/>
      <c r="N76" s="49"/>
      <c r="O76" s="49"/>
      <c r="P76" s="49"/>
      <c r="Q76" s="49"/>
      <c r="R76" s="49"/>
      <c r="S76" s="49"/>
      <c r="T76" s="49"/>
    </row>
    <row r="77">
      <c r="A77" s="49"/>
      <c r="B77" s="49"/>
      <c r="C77" s="49"/>
      <c r="D77" s="49"/>
      <c r="E77" s="49"/>
      <c r="F77" s="49"/>
      <c r="G77" s="49"/>
      <c r="H77" s="49"/>
      <c r="I77" s="49" t="str">
        <f>IFERROR(__xludf.DUMMYFUNCTION("""COMPUTED_VALUE"""),"#VALUE!")</f>
        <v>#VALUE!</v>
      </c>
      <c r="J77" s="49"/>
      <c r="K77" s="49"/>
      <c r="L77" s="49" t="s">
        <v>255</v>
      </c>
      <c r="M77" s="49"/>
      <c r="N77" s="49"/>
      <c r="O77" s="49"/>
      <c r="P77" s="49"/>
      <c r="Q77" s="49"/>
      <c r="R77" s="49"/>
      <c r="S77" s="49"/>
      <c r="T77" s="49"/>
    </row>
    <row r="78">
      <c r="A78" s="49"/>
      <c r="B78" s="49"/>
      <c r="C78" s="49"/>
      <c r="D78" s="49"/>
      <c r="E78" s="49"/>
      <c r="F78" s="49"/>
      <c r="G78" s="49"/>
      <c r="H78" s="49"/>
      <c r="I78" s="49" t="str">
        <f>IFERROR(__xludf.DUMMYFUNCTION("""COMPUTED_VALUE"""),"#VALUE!")</f>
        <v>#VALUE!</v>
      </c>
      <c r="J78" s="49"/>
      <c r="K78" s="49"/>
      <c r="L78" s="49" t="s">
        <v>255</v>
      </c>
      <c r="M78" s="49"/>
      <c r="N78" s="49"/>
      <c r="O78" s="49"/>
      <c r="P78" s="49"/>
      <c r="Q78" s="49"/>
      <c r="R78" s="49"/>
      <c r="S78" s="49"/>
      <c r="T78" s="49"/>
    </row>
    <row r="79">
      <c r="A79" s="49"/>
      <c r="B79" s="49"/>
      <c r="C79" s="49"/>
      <c r="D79" s="49"/>
      <c r="E79" s="49"/>
      <c r="F79" s="49"/>
      <c r="G79" s="49"/>
      <c r="H79" s="49"/>
      <c r="I79" s="49" t="str">
        <f>IFERROR(__xludf.DUMMYFUNCTION("""COMPUTED_VALUE"""),"#VALUE!")</f>
        <v>#VALUE!</v>
      </c>
      <c r="J79" s="49"/>
      <c r="K79" s="49"/>
      <c r="L79" s="49" t="s">
        <v>255</v>
      </c>
      <c r="M79" s="49"/>
      <c r="N79" s="49"/>
      <c r="O79" s="49"/>
      <c r="P79" s="49"/>
      <c r="Q79" s="49"/>
      <c r="R79" s="49"/>
      <c r="S79" s="49"/>
      <c r="T79" s="49"/>
    </row>
    <row r="80">
      <c r="A80" s="49"/>
      <c r="B80" s="49"/>
      <c r="C80" s="49"/>
      <c r="D80" s="49"/>
      <c r="E80" s="49"/>
      <c r="F80" s="49"/>
      <c r="G80" s="49"/>
      <c r="H80" s="49"/>
      <c r="I80" s="49" t="str">
        <f>IFERROR(__xludf.DUMMYFUNCTION("""COMPUTED_VALUE"""),"#VALUE!")</f>
        <v>#VALUE!</v>
      </c>
      <c r="J80" s="49"/>
      <c r="K80" s="49"/>
      <c r="L80" s="49" t="s">
        <v>255</v>
      </c>
      <c r="M80" s="49"/>
      <c r="N80" s="49"/>
      <c r="O80" s="49"/>
      <c r="P80" s="49"/>
      <c r="Q80" s="49"/>
      <c r="R80" s="49"/>
      <c r="S80" s="49"/>
      <c r="T80" s="49"/>
    </row>
    <row r="81">
      <c r="A81" s="49"/>
      <c r="B81" s="49"/>
      <c r="C81" s="49"/>
      <c r="D81" s="49"/>
      <c r="E81" s="49"/>
      <c r="F81" s="49"/>
      <c r="G81" s="49"/>
      <c r="H81" s="49"/>
      <c r="I81" s="49" t="str">
        <f>IFERROR(__xludf.DUMMYFUNCTION("""COMPUTED_VALUE"""),"#VALUE!")</f>
        <v>#VALUE!</v>
      </c>
      <c r="J81" s="49"/>
      <c r="K81" s="49"/>
      <c r="L81" s="49" t="s">
        <v>255</v>
      </c>
      <c r="M81" s="49"/>
      <c r="N81" s="49"/>
      <c r="O81" s="49"/>
      <c r="P81" s="49"/>
      <c r="Q81" s="49"/>
      <c r="R81" s="49"/>
      <c r="S81" s="49"/>
      <c r="T81" s="49"/>
    </row>
    <row r="82">
      <c r="A82" s="49"/>
      <c r="B82" s="49"/>
      <c r="C82" s="49"/>
      <c r="D82" s="49"/>
      <c r="E82" s="49"/>
      <c r="F82" s="49"/>
      <c r="G82" s="49"/>
      <c r="H82" s="49"/>
      <c r="I82" s="49" t="str">
        <f>IFERROR(__xludf.DUMMYFUNCTION("""COMPUTED_VALUE"""),"#VALUE!")</f>
        <v>#VALUE!</v>
      </c>
      <c r="J82" s="49"/>
      <c r="K82" s="49"/>
      <c r="L82" s="49" t="s">
        <v>255</v>
      </c>
      <c r="M82" s="49"/>
      <c r="N82" s="49"/>
      <c r="O82" s="49"/>
      <c r="P82" s="49"/>
      <c r="Q82" s="49"/>
      <c r="R82" s="49"/>
      <c r="S82" s="49"/>
      <c r="T82" s="49"/>
    </row>
    <row r="83">
      <c r="A83" s="49"/>
      <c r="B83" s="49"/>
      <c r="C83" s="49"/>
      <c r="D83" s="49"/>
      <c r="E83" s="49"/>
      <c r="F83" s="49"/>
      <c r="G83" s="49"/>
      <c r="H83" s="49"/>
      <c r="I83" s="49" t="str">
        <f>IFERROR(__xludf.DUMMYFUNCTION("""COMPUTED_VALUE"""),"#VALUE!")</f>
        <v>#VALUE!</v>
      </c>
      <c r="J83" s="49"/>
      <c r="K83" s="49"/>
      <c r="L83" s="49" t="s">
        <v>255</v>
      </c>
      <c r="M83" s="49"/>
      <c r="N83" s="49"/>
      <c r="O83" s="49"/>
      <c r="P83" s="49"/>
      <c r="Q83" s="49"/>
      <c r="R83" s="49"/>
      <c r="S83" s="49"/>
      <c r="T83" s="49"/>
    </row>
    <row r="84">
      <c r="A84" s="49"/>
      <c r="B84" s="49"/>
      <c r="C84" s="49"/>
      <c r="D84" s="49"/>
      <c r="E84" s="49"/>
      <c r="F84" s="49"/>
      <c r="G84" s="49"/>
      <c r="H84" s="49"/>
      <c r="I84" s="49" t="str">
        <f>IFERROR(__xludf.DUMMYFUNCTION("""COMPUTED_VALUE"""),"#VALUE!")</f>
        <v>#VALUE!</v>
      </c>
      <c r="J84" s="49"/>
      <c r="K84" s="49"/>
      <c r="L84" s="49" t="s">
        <v>255</v>
      </c>
      <c r="M84" s="49"/>
      <c r="N84" s="49"/>
      <c r="O84" s="49"/>
      <c r="P84" s="49"/>
      <c r="Q84" s="49"/>
      <c r="R84" s="49"/>
      <c r="S84" s="49"/>
      <c r="T84" s="49"/>
    </row>
    <row r="85">
      <c r="A85" s="49"/>
      <c r="B85" s="49"/>
      <c r="C85" s="49"/>
      <c r="D85" s="49"/>
      <c r="E85" s="49"/>
      <c r="F85" s="49"/>
      <c r="G85" s="49"/>
      <c r="H85" s="49"/>
      <c r="I85" s="49" t="str">
        <f>IFERROR(__xludf.DUMMYFUNCTION("""COMPUTED_VALUE"""),"#VALUE!")</f>
        <v>#VALUE!</v>
      </c>
      <c r="J85" s="49"/>
      <c r="K85" s="49"/>
      <c r="L85" s="49" t="s">
        <v>255</v>
      </c>
      <c r="M85" s="49"/>
      <c r="N85" s="49"/>
      <c r="O85" s="49"/>
      <c r="P85" s="49"/>
      <c r="Q85" s="49"/>
      <c r="R85" s="49"/>
      <c r="S85" s="49"/>
      <c r="T85" s="49"/>
    </row>
    <row r="86">
      <c r="A86" s="49"/>
      <c r="B86" s="49"/>
      <c r="C86" s="49"/>
      <c r="D86" s="49"/>
      <c r="E86" s="49"/>
      <c r="F86" s="49"/>
      <c r="G86" s="49"/>
      <c r="H86" s="49"/>
      <c r="I86" s="49" t="str">
        <f>IFERROR(__xludf.DUMMYFUNCTION("""COMPUTED_VALUE"""),"#VALUE!")</f>
        <v>#VALUE!</v>
      </c>
      <c r="J86" s="49"/>
      <c r="K86" s="49"/>
      <c r="L86" s="49" t="s">
        <v>255</v>
      </c>
      <c r="M86" s="49"/>
      <c r="N86" s="49"/>
      <c r="O86" s="49"/>
      <c r="P86" s="49"/>
      <c r="Q86" s="49"/>
      <c r="R86" s="49"/>
      <c r="S86" s="49"/>
      <c r="T86" s="49"/>
    </row>
    <row r="87">
      <c r="A87" s="49"/>
      <c r="B87" s="49"/>
      <c r="C87" s="49"/>
      <c r="D87" s="49"/>
      <c r="E87" s="49"/>
      <c r="F87" s="49"/>
      <c r="G87" s="49"/>
      <c r="H87" s="49"/>
      <c r="I87" s="49" t="str">
        <f>IFERROR(__xludf.DUMMYFUNCTION("""COMPUTED_VALUE"""),"#VALUE!")</f>
        <v>#VALUE!</v>
      </c>
      <c r="J87" s="49"/>
      <c r="K87" s="49"/>
      <c r="L87" s="49" t="s">
        <v>255</v>
      </c>
      <c r="M87" s="49"/>
      <c r="N87" s="49"/>
      <c r="O87" s="49"/>
      <c r="P87" s="49"/>
      <c r="Q87" s="49"/>
      <c r="R87" s="49"/>
      <c r="S87" s="49"/>
      <c r="T87" s="49"/>
    </row>
    <row r="88">
      <c r="A88" s="49"/>
      <c r="B88" s="49"/>
      <c r="C88" s="49"/>
      <c r="D88" s="49"/>
      <c r="E88" s="49"/>
      <c r="F88" s="49"/>
      <c r="G88" s="49"/>
      <c r="H88" s="49"/>
      <c r="I88" s="49" t="str">
        <f>IFERROR(__xludf.DUMMYFUNCTION("""COMPUTED_VALUE"""),"#VALUE!")</f>
        <v>#VALUE!</v>
      </c>
      <c r="J88" s="49"/>
      <c r="K88" s="49"/>
      <c r="L88" s="49" t="s">
        <v>255</v>
      </c>
      <c r="M88" s="49"/>
      <c r="N88" s="49"/>
      <c r="O88" s="49"/>
      <c r="P88" s="49"/>
      <c r="Q88" s="49"/>
      <c r="R88" s="49"/>
      <c r="S88" s="49"/>
      <c r="T88" s="49"/>
    </row>
    <row r="89">
      <c r="A89" s="49"/>
      <c r="B89" s="49"/>
      <c r="C89" s="49"/>
      <c r="D89" s="49"/>
      <c r="E89" s="49"/>
      <c r="F89" s="49"/>
      <c r="G89" s="49"/>
      <c r="H89" s="49"/>
      <c r="I89" s="49" t="str">
        <f>IFERROR(__xludf.DUMMYFUNCTION("""COMPUTED_VALUE"""),"#VALUE!")</f>
        <v>#VALUE!</v>
      </c>
      <c r="J89" s="49"/>
      <c r="K89" s="49"/>
      <c r="L89" s="49" t="s">
        <v>255</v>
      </c>
      <c r="M89" s="49"/>
      <c r="N89" s="49"/>
      <c r="O89" s="49"/>
      <c r="P89" s="49"/>
      <c r="Q89" s="49"/>
      <c r="R89" s="49"/>
      <c r="S89" s="49"/>
      <c r="T89" s="49"/>
    </row>
    <row r="90">
      <c r="A90" s="49"/>
      <c r="B90" s="49"/>
      <c r="C90" s="49"/>
      <c r="D90" s="49"/>
      <c r="E90" s="49"/>
      <c r="F90" s="49"/>
      <c r="G90" s="49"/>
      <c r="H90" s="49"/>
      <c r="I90" s="49" t="str">
        <f>IFERROR(__xludf.DUMMYFUNCTION("""COMPUTED_VALUE"""),"#VALUE!")</f>
        <v>#VALUE!</v>
      </c>
      <c r="J90" s="49"/>
      <c r="K90" s="49"/>
      <c r="L90" s="49" t="s">
        <v>255</v>
      </c>
      <c r="M90" s="49"/>
      <c r="N90" s="49"/>
      <c r="O90" s="49"/>
      <c r="P90" s="49"/>
      <c r="Q90" s="49"/>
      <c r="R90" s="49"/>
      <c r="S90" s="49"/>
      <c r="T90" s="49"/>
    </row>
    <row r="91">
      <c r="A91" s="49"/>
      <c r="B91" s="49"/>
      <c r="C91" s="49"/>
      <c r="D91" s="49"/>
      <c r="E91" s="49"/>
      <c r="F91" s="49"/>
      <c r="G91" s="49"/>
      <c r="H91" s="49"/>
      <c r="I91" s="49" t="str">
        <f>IFERROR(__xludf.DUMMYFUNCTION("""COMPUTED_VALUE"""),"#VALUE!")</f>
        <v>#VALUE!</v>
      </c>
      <c r="J91" s="49"/>
      <c r="K91" s="49"/>
      <c r="L91" s="49" t="s">
        <v>255</v>
      </c>
      <c r="M91" s="49"/>
      <c r="N91" s="49"/>
      <c r="O91" s="49"/>
      <c r="P91" s="49"/>
      <c r="Q91" s="49"/>
      <c r="R91" s="49"/>
      <c r="S91" s="49"/>
      <c r="T91" s="49"/>
    </row>
    <row r="92">
      <c r="A92" s="49"/>
      <c r="B92" s="49"/>
      <c r="C92" s="49"/>
      <c r="D92" s="49"/>
      <c r="E92" s="49"/>
      <c r="F92" s="49"/>
      <c r="G92" s="49"/>
      <c r="H92" s="49"/>
      <c r="I92" s="49" t="str">
        <f>IFERROR(__xludf.DUMMYFUNCTION("""COMPUTED_VALUE"""),"#VALUE!")</f>
        <v>#VALUE!</v>
      </c>
      <c r="J92" s="49"/>
      <c r="K92" s="49"/>
      <c r="L92" s="49" t="s">
        <v>255</v>
      </c>
      <c r="M92" s="49"/>
      <c r="N92" s="49"/>
      <c r="O92" s="49"/>
      <c r="P92" s="49"/>
      <c r="Q92" s="49"/>
      <c r="R92" s="49"/>
      <c r="S92" s="49"/>
      <c r="T92" s="49"/>
    </row>
    <row r="93">
      <c r="A93" s="49"/>
      <c r="B93" s="49"/>
      <c r="C93" s="49"/>
      <c r="D93" s="49"/>
      <c r="E93" s="49"/>
      <c r="F93" s="49"/>
      <c r="G93" s="49"/>
      <c r="H93" s="49"/>
      <c r="I93" s="49" t="str">
        <f>IFERROR(__xludf.DUMMYFUNCTION("""COMPUTED_VALUE"""),"#VALUE!")</f>
        <v>#VALUE!</v>
      </c>
      <c r="J93" s="49"/>
      <c r="K93" s="49"/>
      <c r="L93" s="49" t="s">
        <v>255</v>
      </c>
      <c r="M93" s="49"/>
      <c r="N93" s="49"/>
      <c r="O93" s="49"/>
      <c r="P93" s="49"/>
      <c r="Q93" s="49"/>
      <c r="R93" s="49"/>
      <c r="S93" s="49"/>
      <c r="T93" s="49"/>
    </row>
    <row r="94">
      <c r="A94" s="49"/>
      <c r="B94" s="49"/>
      <c r="C94" s="49"/>
      <c r="D94" s="49"/>
      <c r="E94" s="49"/>
      <c r="F94" s="49"/>
      <c r="G94" s="49"/>
      <c r="H94" s="49"/>
      <c r="I94" s="49" t="str">
        <f>IFERROR(__xludf.DUMMYFUNCTION("""COMPUTED_VALUE"""),"#VALUE!")</f>
        <v>#VALUE!</v>
      </c>
      <c r="J94" s="49"/>
      <c r="K94" s="49"/>
      <c r="L94" s="49" t="s">
        <v>255</v>
      </c>
      <c r="M94" s="49"/>
      <c r="N94" s="49"/>
      <c r="O94" s="49"/>
      <c r="P94" s="49"/>
      <c r="Q94" s="49"/>
      <c r="R94" s="49"/>
      <c r="S94" s="49"/>
      <c r="T94" s="49"/>
    </row>
    <row r="95">
      <c r="A95" s="49"/>
      <c r="B95" s="49"/>
      <c r="C95" s="49"/>
      <c r="D95" s="49"/>
      <c r="E95" s="49"/>
      <c r="F95" s="49"/>
      <c r="G95" s="49"/>
      <c r="H95" s="49"/>
      <c r="I95" s="49" t="str">
        <f>IFERROR(__xludf.DUMMYFUNCTION("""COMPUTED_VALUE"""),"#VALUE!")</f>
        <v>#VALUE!</v>
      </c>
      <c r="J95" s="49"/>
      <c r="K95" s="49"/>
      <c r="L95" s="49" t="s">
        <v>255</v>
      </c>
      <c r="M95" s="49"/>
      <c r="N95" s="49"/>
      <c r="O95" s="49"/>
      <c r="P95" s="49"/>
      <c r="Q95" s="49"/>
      <c r="R95" s="49"/>
      <c r="S95" s="49"/>
      <c r="T95" s="49"/>
    </row>
    <row r="96">
      <c r="A96" s="49"/>
      <c r="B96" s="49"/>
      <c r="C96" s="49"/>
      <c r="D96" s="49"/>
      <c r="E96" s="49"/>
      <c r="F96" s="49"/>
      <c r="G96" s="49"/>
      <c r="H96" s="49"/>
      <c r="I96" s="49" t="str">
        <f>IFERROR(__xludf.DUMMYFUNCTION("""COMPUTED_VALUE"""),"#VALUE!")</f>
        <v>#VALUE!</v>
      </c>
      <c r="J96" s="49"/>
      <c r="K96" s="49"/>
      <c r="L96" s="49" t="s">
        <v>255</v>
      </c>
      <c r="M96" s="49"/>
      <c r="N96" s="49"/>
      <c r="O96" s="49"/>
      <c r="P96" s="49"/>
      <c r="Q96" s="49"/>
      <c r="R96" s="49"/>
      <c r="S96" s="49"/>
      <c r="T96" s="49"/>
    </row>
    <row r="97">
      <c r="A97" s="49"/>
      <c r="B97" s="49"/>
      <c r="C97" s="49"/>
      <c r="D97" s="49"/>
      <c r="E97" s="49"/>
      <c r="F97" s="49"/>
      <c r="G97" s="49"/>
      <c r="H97" s="49"/>
      <c r="I97" s="49" t="str">
        <f>IFERROR(__xludf.DUMMYFUNCTION("""COMPUTED_VALUE"""),"#VALUE!")</f>
        <v>#VALUE!</v>
      </c>
      <c r="J97" s="49"/>
      <c r="K97" s="49"/>
      <c r="L97" s="49" t="s">
        <v>255</v>
      </c>
      <c r="M97" s="49"/>
      <c r="N97" s="49"/>
      <c r="O97" s="49"/>
      <c r="P97" s="49"/>
      <c r="Q97" s="49"/>
      <c r="R97" s="49"/>
      <c r="S97" s="49"/>
      <c r="T97" s="49"/>
    </row>
    <row r="98">
      <c r="A98" s="49"/>
      <c r="B98" s="49"/>
      <c r="C98" s="49"/>
      <c r="D98" s="49"/>
      <c r="E98" s="49"/>
      <c r="F98" s="49"/>
      <c r="G98" s="49"/>
      <c r="H98" s="49"/>
      <c r="I98" s="49" t="str">
        <f>IFERROR(__xludf.DUMMYFUNCTION("""COMPUTED_VALUE"""),"#VALUE!")</f>
        <v>#VALUE!</v>
      </c>
      <c r="J98" s="49"/>
      <c r="K98" s="49"/>
      <c r="L98" s="49" t="s">
        <v>255</v>
      </c>
      <c r="M98" s="49"/>
      <c r="N98" s="49"/>
      <c r="O98" s="49"/>
      <c r="P98" s="49"/>
      <c r="Q98" s="49"/>
      <c r="R98" s="49"/>
      <c r="S98" s="49"/>
      <c r="T98" s="49"/>
    </row>
    <row r="99">
      <c r="A99" s="49"/>
      <c r="B99" s="49"/>
      <c r="C99" s="49"/>
      <c r="D99" s="49"/>
      <c r="E99" s="49"/>
      <c r="F99" s="49"/>
      <c r="G99" s="49"/>
      <c r="H99" s="49"/>
      <c r="I99" s="49" t="str">
        <f>IFERROR(__xludf.DUMMYFUNCTION("""COMPUTED_VALUE"""),"#VALUE!")</f>
        <v>#VALUE!</v>
      </c>
      <c r="J99" s="49"/>
      <c r="K99" s="49"/>
      <c r="L99" s="49" t="s">
        <v>255</v>
      </c>
      <c r="M99" s="49"/>
      <c r="N99" s="49"/>
      <c r="O99" s="49"/>
      <c r="P99" s="49"/>
      <c r="Q99" s="49"/>
      <c r="R99" s="49"/>
      <c r="S99" s="49"/>
      <c r="T99" s="49"/>
    </row>
    <row r="100">
      <c r="A100" s="49"/>
      <c r="B100" s="49"/>
      <c r="C100" s="49"/>
      <c r="D100" s="49"/>
      <c r="E100" s="49"/>
      <c r="F100" s="49"/>
      <c r="G100" s="49"/>
      <c r="H100" s="49"/>
      <c r="I100" s="49" t="str">
        <f>IFERROR(__xludf.DUMMYFUNCTION("""COMPUTED_VALUE"""),"#VALUE!")</f>
        <v>#VALUE!</v>
      </c>
      <c r="J100" s="49"/>
      <c r="K100" s="49"/>
      <c r="L100" s="49" t="s">
        <v>255</v>
      </c>
      <c r="M100" s="49"/>
      <c r="N100" s="49"/>
      <c r="O100" s="49"/>
      <c r="P100" s="49"/>
      <c r="Q100" s="49"/>
      <c r="R100" s="49"/>
      <c r="S100" s="49"/>
      <c r="T100" s="49"/>
    </row>
    <row r="101">
      <c r="A101" s="49"/>
      <c r="B101" s="49"/>
      <c r="C101" s="49"/>
      <c r="D101" s="49"/>
      <c r="E101" s="49"/>
      <c r="F101" s="49"/>
      <c r="G101" s="49"/>
      <c r="H101" s="49"/>
      <c r="I101" s="49" t="str">
        <f>IFERROR(__xludf.DUMMYFUNCTION("""COMPUTED_VALUE"""),"#VALUE!")</f>
        <v>#VALUE!</v>
      </c>
      <c r="J101" s="49"/>
      <c r="K101" s="49"/>
      <c r="L101" s="49" t="s">
        <v>255</v>
      </c>
      <c r="M101" s="49"/>
      <c r="N101" s="49"/>
      <c r="O101" s="49"/>
      <c r="P101" s="49"/>
      <c r="Q101" s="49"/>
      <c r="R101" s="49"/>
      <c r="S101" s="49"/>
      <c r="T101" s="49"/>
    </row>
    <row r="102">
      <c r="A102" s="49"/>
      <c r="B102" s="49"/>
      <c r="C102" s="49"/>
      <c r="D102" s="49"/>
      <c r="E102" s="49"/>
      <c r="F102" s="49"/>
      <c r="G102" s="49"/>
      <c r="H102" s="49"/>
      <c r="I102" s="49" t="str">
        <f>IFERROR(__xludf.DUMMYFUNCTION("""COMPUTED_VALUE"""),"#VALUE!")</f>
        <v>#VALUE!</v>
      </c>
      <c r="J102" s="49"/>
      <c r="K102" s="49"/>
      <c r="L102" s="49" t="s">
        <v>255</v>
      </c>
      <c r="M102" s="49"/>
      <c r="N102" s="49"/>
      <c r="O102" s="49"/>
      <c r="P102" s="49"/>
      <c r="Q102" s="49"/>
      <c r="R102" s="49"/>
      <c r="S102" s="49"/>
      <c r="T102" s="49"/>
    </row>
    <row r="103">
      <c r="A103" s="49"/>
      <c r="B103" s="49"/>
      <c r="C103" s="49"/>
      <c r="D103" s="49"/>
      <c r="E103" s="49"/>
      <c r="F103" s="49"/>
      <c r="G103" s="49"/>
      <c r="H103" s="49"/>
      <c r="I103" s="49" t="str">
        <f>IFERROR(__xludf.DUMMYFUNCTION("""COMPUTED_VALUE"""),"#VALUE!")</f>
        <v>#VALUE!</v>
      </c>
      <c r="J103" s="49"/>
      <c r="K103" s="49"/>
      <c r="L103" s="49" t="s">
        <v>255</v>
      </c>
      <c r="M103" s="49"/>
      <c r="N103" s="49"/>
      <c r="O103" s="49"/>
      <c r="P103" s="49"/>
      <c r="Q103" s="49"/>
      <c r="R103" s="49"/>
      <c r="S103" s="49"/>
      <c r="T103" s="49"/>
    </row>
    <row r="104">
      <c r="A104" s="49"/>
      <c r="B104" s="49"/>
      <c r="C104" s="49"/>
      <c r="D104" s="49"/>
      <c r="E104" s="49"/>
      <c r="F104" s="49"/>
      <c r="G104" s="49"/>
      <c r="H104" s="49"/>
      <c r="I104" s="49" t="str">
        <f>IFERROR(__xludf.DUMMYFUNCTION("""COMPUTED_VALUE"""),"#VALUE!")</f>
        <v>#VALUE!</v>
      </c>
      <c r="J104" s="49"/>
      <c r="K104" s="49"/>
      <c r="L104" s="49" t="s">
        <v>255</v>
      </c>
      <c r="M104" s="49"/>
      <c r="N104" s="49"/>
      <c r="O104" s="49"/>
      <c r="P104" s="49"/>
      <c r="Q104" s="49"/>
      <c r="R104" s="49"/>
      <c r="S104" s="49"/>
      <c r="T104" s="49"/>
    </row>
    <row r="105">
      <c r="A105" s="49"/>
      <c r="B105" s="49"/>
      <c r="C105" s="49"/>
      <c r="D105" s="49"/>
      <c r="E105" s="49"/>
      <c r="F105" s="49"/>
      <c r="G105" s="49"/>
      <c r="H105" s="49"/>
      <c r="I105" s="49" t="str">
        <f>IFERROR(__xludf.DUMMYFUNCTION("""COMPUTED_VALUE"""),"#VALUE!")</f>
        <v>#VALUE!</v>
      </c>
      <c r="J105" s="49"/>
      <c r="K105" s="49"/>
      <c r="L105" s="49" t="s">
        <v>255</v>
      </c>
      <c r="M105" s="49"/>
      <c r="N105" s="49"/>
      <c r="O105" s="49"/>
      <c r="P105" s="49"/>
      <c r="Q105" s="49"/>
      <c r="R105" s="49"/>
      <c r="S105" s="49"/>
      <c r="T105" s="49"/>
    </row>
    <row r="106">
      <c r="A106" s="49"/>
      <c r="B106" s="49"/>
      <c r="C106" s="49"/>
      <c r="D106" s="49"/>
      <c r="E106" s="49"/>
      <c r="F106" s="49"/>
      <c r="G106" s="49"/>
      <c r="H106" s="49"/>
      <c r="I106" s="49" t="str">
        <f>IFERROR(__xludf.DUMMYFUNCTION("""COMPUTED_VALUE"""),"#VALUE!")</f>
        <v>#VALUE!</v>
      </c>
      <c r="J106" s="49"/>
      <c r="K106" s="49"/>
      <c r="L106" s="49" t="s">
        <v>255</v>
      </c>
      <c r="M106" s="49"/>
      <c r="N106" s="49"/>
      <c r="O106" s="49"/>
      <c r="P106" s="49"/>
      <c r="Q106" s="49"/>
      <c r="R106" s="49"/>
      <c r="S106" s="49"/>
      <c r="T106" s="49"/>
    </row>
    <row r="107">
      <c r="A107" s="49"/>
      <c r="B107" s="49"/>
      <c r="C107" s="49"/>
      <c r="D107" s="49"/>
      <c r="E107" s="49"/>
      <c r="F107" s="49"/>
      <c r="G107" s="49"/>
      <c r="H107" s="49"/>
      <c r="I107" s="49" t="str">
        <f>IFERROR(__xludf.DUMMYFUNCTION("""COMPUTED_VALUE"""),"#VALUE!")</f>
        <v>#VALUE!</v>
      </c>
      <c r="J107" s="49"/>
      <c r="K107" s="49"/>
      <c r="L107" s="49" t="s">
        <v>255</v>
      </c>
      <c r="M107" s="49"/>
      <c r="N107" s="49"/>
      <c r="O107" s="49"/>
      <c r="P107" s="49"/>
      <c r="Q107" s="49"/>
      <c r="R107" s="49"/>
      <c r="S107" s="49"/>
      <c r="T107" s="49"/>
    </row>
    <row r="108">
      <c r="A108" s="49"/>
      <c r="B108" s="49"/>
      <c r="C108" s="49"/>
      <c r="D108" s="49"/>
      <c r="E108" s="49"/>
      <c r="F108" s="49"/>
      <c r="G108" s="49"/>
      <c r="H108" s="49"/>
      <c r="I108" s="49" t="str">
        <f>IFERROR(__xludf.DUMMYFUNCTION("""COMPUTED_VALUE"""),"#VALUE!")</f>
        <v>#VALUE!</v>
      </c>
      <c r="J108" s="49"/>
      <c r="K108" s="49"/>
      <c r="L108" s="49" t="s">
        <v>255</v>
      </c>
      <c r="M108" s="49"/>
      <c r="N108" s="49"/>
      <c r="O108" s="49"/>
      <c r="P108" s="49"/>
      <c r="Q108" s="49"/>
      <c r="R108" s="49"/>
      <c r="S108" s="49"/>
      <c r="T108" s="49"/>
    </row>
    <row r="109">
      <c r="A109" s="49"/>
      <c r="B109" s="49"/>
      <c r="C109" s="49"/>
      <c r="D109" s="49"/>
      <c r="E109" s="49"/>
      <c r="F109" s="49"/>
      <c r="G109" s="49"/>
      <c r="H109" s="49"/>
      <c r="I109" s="49" t="str">
        <f>IFERROR(__xludf.DUMMYFUNCTION("""COMPUTED_VALUE"""),"#VALUE!")</f>
        <v>#VALUE!</v>
      </c>
      <c r="J109" s="49"/>
      <c r="K109" s="49"/>
      <c r="L109" s="49" t="s">
        <v>255</v>
      </c>
      <c r="M109" s="49"/>
      <c r="N109" s="49"/>
      <c r="O109" s="49"/>
      <c r="P109" s="49"/>
      <c r="Q109" s="49"/>
      <c r="R109" s="49"/>
      <c r="S109" s="49"/>
      <c r="T109" s="49"/>
    </row>
    <row r="110">
      <c r="A110" s="49"/>
      <c r="B110" s="49"/>
      <c r="C110" s="49"/>
      <c r="D110" s="49"/>
      <c r="E110" s="49"/>
      <c r="F110" s="49"/>
      <c r="G110" s="49"/>
      <c r="H110" s="49"/>
      <c r="I110" s="49" t="str">
        <f>IFERROR(__xludf.DUMMYFUNCTION("""COMPUTED_VALUE"""),"#VALUE!")</f>
        <v>#VALUE!</v>
      </c>
      <c r="J110" s="49"/>
      <c r="K110" s="49"/>
      <c r="L110" s="49" t="s">
        <v>255</v>
      </c>
      <c r="M110" s="49"/>
      <c r="N110" s="49"/>
      <c r="O110" s="49"/>
      <c r="P110" s="49"/>
      <c r="Q110" s="49"/>
      <c r="R110" s="49"/>
      <c r="S110" s="49"/>
      <c r="T110" s="49"/>
    </row>
    <row r="111">
      <c r="A111" s="49"/>
      <c r="B111" s="49"/>
      <c r="C111" s="49"/>
      <c r="D111" s="49"/>
      <c r="E111" s="49"/>
      <c r="F111" s="49"/>
      <c r="G111" s="49"/>
      <c r="H111" s="49"/>
      <c r="I111" s="49" t="str">
        <f>IFERROR(__xludf.DUMMYFUNCTION("""COMPUTED_VALUE"""),"#VALUE!")</f>
        <v>#VALUE!</v>
      </c>
      <c r="J111" s="49"/>
      <c r="K111" s="49"/>
      <c r="L111" s="49" t="s">
        <v>255</v>
      </c>
      <c r="M111" s="49"/>
      <c r="N111" s="49"/>
      <c r="O111" s="49"/>
      <c r="P111" s="49"/>
      <c r="Q111" s="49"/>
      <c r="R111" s="49"/>
      <c r="S111" s="49"/>
      <c r="T111" s="49"/>
    </row>
    <row r="112">
      <c r="A112" s="49"/>
      <c r="B112" s="49"/>
      <c r="C112" s="49"/>
      <c r="D112" s="49"/>
      <c r="E112" s="49"/>
      <c r="F112" s="49"/>
      <c r="G112" s="49"/>
      <c r="H112" s="49"/>
      <c r="I112" s="49" t="str">
        <f>IFERROR(__xludf.DUMMYFUNCTION("""COMPUTED_VALUE"""),"#VALUE!")</f>
        <v>#VALUE!</v>
      </c>
      <c r="J112" s="49"/>
      <c r="K112" s="49"/>
      <c r="L112" s="49" t="s">
        <v>255</v>
      </c>
      <c r="M112" s="49"/>
      <c r="N112" s="49"/>
      <c r="O112" s="49"/>
      <c r="P112" s="49"/>
      <c r="Q112" s="49"/>
      <c r="R112" s="49"/>
      <c r="S112" s="49"/>
      <c r="T112" s="49"/>
    </row>
    <row r="113">
      <c r="A113" s="49"/>
      <c r="B113" s="49"/>
      <c r="C113" s="49"/>
      <c r="D113" s="49"/>
      <c r="E113" s="49"/>
      <c r="F113" s="49"/>
      <c r="G113" s="49"/>
      <c r="H113" s="49"/>
      <c r="I113" s="49" t="str">
        <f>IFERROR(__xludf.DUMMYFUNCTION("""COMPUTED_VALUE"""),"#VALUE!")</f>
        <v>#VALUE!</v>
      </c>
      <c r="J113" s="49"/>
      <c r="K113" s="49"/>
      <c r="L113" s="49" t="s">
        <v>255</v>
      </c>
      <c r="M113" s="49"/>
      <c r="N113" s="49"/>
      <c r="O113" s="49"/>
      <c r="P113" s="49"/>
      <c r="Q113" s="49"/>
      <c r="R113" s="49"/>
      <c r="S113" s="49"/>
      <c r="T113" s="49"/>
    </row>
    <row r="114">
      <c r="A114" s="49"/>
      <c r="B114" s="49"/>
      <c r="C114" s="49"/>
      <c r="D114" s="49"/>
      <c r="E114" s="49"/>
      <c r="F114" s="49"/>
      <c r="G114" s="49"/>
      <c r="H114" s="49"/>
      <c r="I114" s="49" t="str">
        <f>IFERROR(__xludf.DUMMYFUNCTION("""COMPUTED_VALUE"""),"#VALUE!")</f>
        <v>#VALUE!</v>
      </c>
      <c r="J114" s="49"/>
      <c r="K114" s="49"/>
      <c r="L114" s="49" t="s">
        <v>255</v>
      </c>
      <c r="M114" s="49"/>
      <c r="N114" s="49"/>
      <c r="O114" s="49"/>
      <c r="P114" s="49"/>
      <c r="Q114" s="49"/>
      <c r="R114" s="49"/>
      <c r="S114" s="49"/>
      <c r="T114" s="49"/>
    </row>
    <row r="115">
      <c r="A115" s="49"/>
      <c r="B115" s="49"/>
      <c r="C115" s="49"/>
      <c r="D115" s="49"/>
      <c r="E115" s="49"/>
      <c r="F115" s="49"/>
      <c r="G115" s="49"/>
      <c r="H115" s="49"/>
      <c r="I115" s="49" t="str">
        <f>IFERROR(__xludf.DUMMYFUNCTION("""COMPUTED_VALUE"""),"#VALUE!")</f>
        <v>#VALUE!</v>
      </c>
      <c r="J115" s="49"/>
      <c r="K115" s="49"/>
      <c r="L115" s="49" t="s">
        <v>255</v>
      </c>
      <c r="M115" s="49"/>
      <c r="N115" s="49"/>
      <c r="O115" s="49"/>
      <c r="P115" s="49"/>
      <c r="Q115" s="49"/>
      <c r="R115" s="49"/>
      <c r="S115" s="49"/>
      <c r="T115" s="49"/>
    </row>
    <row r="116">
      <c r="A116" s="49"/>
      <c r="B116" s="49"/>
      <c r="C116" s="49"/>
      <c r="D116" s="49"/>
      <c r="E116" s="49"/>
      <c r="F116" s="49"/>
      <c r="G116" s="49"/>
      <c r="H116" s="49"/>
      <c r="I116" s="49" t="str">
        <f>IFERROR(__xludf.DUMMYFUNCTION("""COMPUTED_VALUE"""),"#VALUE!")</f>
        <v>#VALUE!</v>
      </c>
      <c r="J116" s="49"/>
      <c r="K116" s="49"/>
      <c r="L116" s="49" t="s">
        <v>255</v>
      </c>
      <c r="M116" s="49"/>
      <c r="N116" s="49"/>
      <c r="O116" s="49"/>
      <c r="P116" s="49"/>
      <c r="Q116" s="49"/>
      <c r="R116" s="49"/>
      <c r="S116" s="49"/>
      <c r="T116" s="49"/>
    </row>
    <row r="117">
      <c r="A117" s="49"/>
      <c r="B117" s="49"/>
      <c r="C117" s="49"/>
      <c r="D117" s="49"/>
      <c r="E117" s="49"/>
      <c r="F117" s="49"/>
      <c r="G117" s="49"/>
      <c r="H117" s="49"/>
      <c r="I117" s="49" t="str">
        <f>IFERROR(__xludf.DUMMYFUNCTION("""COMPUTED_VALUE"""),"#VALUE!")</f>
        <v>#VALUE!</v>
      </c>
      <c r="J117" s="49"/>
      <c r="K117" s="49"/>
      <c r="L117" s="49" t="s">
        <v>255</v>
      </c>
      <c r="M117" s="49"/>
      <c r="N117" s="49"/>
      <c r="O117" s="49"/>
      <c r="P117" s="49"/>
      <c r="Q117" s="49"/>
      <c r="R117" s="49"/>
      <c r="S117" s="49"/>
      <c r="T117" s="49"/>
    </row>
    <row r="118">
      <c r="A118" s="49"/>
      <c r="B118" s="49"/>
      <c r="C118" s="49"/>
      <c r="D118" s="49"/>
      <c r="E118" s="49"/>
      <c r="F118" s="49"/>
      <c r="G118" s="49"/>
      <c r="H118" s="49"/>
      <c r="I118" s="49" t="str">
        <f>IFERROR(__xludf.DUMMYFUNCTION("""COMPUTED_VALUE"""),"#VALUE!")</f>
        <v>#VALUE!</v>
      </c>
      <c r="J118" s="49"/>
      <c r="K118" s="49"/>
      <c r="L118" s="49" t="s">
        <v>255</v>
      </c>
      <c r="M118" s="49"/>
      <c r="N118" s="49"/>
      <c r="O118" s="49"/>
      <c r="P118" s="49"/>
      <c r="Q118" s="49"/>
      <c r="R118" s="49"/>
      <c r="S118" s="49"/>
      <c r="T118" s="49"/>
    </row>
    <row r="119">
      <c r="A119" s="49"/>
      <c r="B119" s="49"/>
      <c r="C119" s="49"/>
      <c r="D119" s="49"/>
      <c r="E119" s="49"/>
      <c r="F119" s="49"/>
      <c r="G119" s="49"/>
      <c r="H119" s="49"/>
      <c r="I119" s="49" t="str">
        <f>IFERROR(__xludf.DUMMYFUNCTION("""COMPUTED_VALUE"""),"#VALUE!")</f>
        <v>#VALUE!</v>
      </c>
      <c r="J119" s="49"/>
      <c r="K119" s="49"/>
      <c r="L119" s="49" t="s">
        <v>255</v>
      </c>
      <c r="M119" s="49"/>
      <c r="N119" s="49"/>
      <c r="O119" s="49"/>
      <c r="P119" s="49"/>
      <c r="Q119" s="49"/>
      <c r="R119" s="49"/>
      <c r="S119" s="49"/>
      <c r="T119" s="49"/>
    </row>
    <row r="120">
      <c r="A120" s="49"/>
      <c r="B120" s="49"/>
      <c r="C120" s="49"/>
      <c r="D120" s="49"/>
      <c r="E120" s="49"/>
      <c r="F120" s="49"/>
      <c r="G120" s="49"/>
      <c r="H120" s="49"/>
      <c r="I120" s="49" t="str">
        <f>IFERROR(__xludf.DUMMYFUNCTION("""COMPUTED_VALUE"""),"#VALUE!")</f>
        <v>#VALUE!</v>
      </c>
      <c r="J120" s="49"/>
      <c r="K120" s="49"/>
      <c r="L120" s="49" t="s">
        <v>255</v>
      </c>
      <c r="M120" s="49"/>
      <c r="N120" s="49"/>
      <c r="O120" s="49"/>
      <c r="P120" s="49"/>
      <c r="Q120" s="49"/>
      <c r="R120" s="49"/>
      <c r="S120" s="49"/>
      <c r="T120" s="49"/>
    </row>
    <row r="121">
      <c r="A121" s="49"/>
      <c r="B121" s="49"/>
      <c r="C121" s="49"/>
      <c r="D121" s="49"/>
      <c r="E121" s="49"/>
      <c r="F121" s="49"/>
      <c r="G121" s="49"/>
      <c r="H121" s="49"/>
      <c r="I121" s="49" t="str">
        <f>IFERROR(__xludf.DUMMYFUNCTION("""COMPUTED_VALUE"""),"#VALUE!")</f>
        <v>#VALUE!</v>
      </c>
      <c r="J121" s="49"/>
      <c r="K121" s="49"/>
      <c r="L121" s="49" t="s">
        <v>255</v>
      </c>
      <c r="M121" s="49"/>
      <c r="N121" s="49"/>
      <c r="O121" s="49"/>
      <c r="P121" s="49"/>
      <c r="Q121" s="49"/>
      <c r="R121" s="49"/>
      <c r="S121" s="49"/>
      <c r="T121" s="49"/>
    </row>
    <row r="122">
      <c r="A122" s="49"/>
      <c r="B122" s="49"/>
      <c r="C122" s="49"/>
      <c r="D122" s="49"/>
      <c r="E122" s="49"/>
      <c r="F122" s="49"/>
      <c r="G122" s="49"/>
      <c r="H122" s="49"/>
      <c r="I122" s="49" t="str">
        <f>IFERROR(__xludf.DUMMYFUNCTION("""COMPUTED_VALUE"""),"#VALUE!")</f>
        <v>#VALUE!</v>
      </c>
      <c r="J122" s="49"/>
      <c r="K122" s="49"/>
      <c r="L122" s="49" t="s">
        <v>255</v>
      </c>
      <c r="M122" s="49"/>
      <c r="N122" s="49"/>
      <c r="O122" s="49"/>
      <c r="P122" s="49"/>
      <c r="Q122" s="49"/>
      <c r="R122" s="49"/>
      <c r="S122" s="49"/>
      <c r="T122" s="49"/>
    </row>
    <row r="123">
      <c r="A123" s="49"/>
      <c r="B123" s="49"/>
      <c r="C123" s="49"/>
      <c r="D123" s="49"/>
      <c r="E123" s="49"/>
      <c r="F123" s="49"/>
      <c r="G123" s="49"/>
      <c r="H123" s="49"/>
      <c r="I123" s="49" t="str">
        <f>IFERROR(__xludf.DUMMYFUNCTION("""COMPUTED_VALUE"""),"#VALUE!")</f>
        <v>#VALUE!</v>
      </c>
      <c r="J123" s="49"/>
      <c r="K123" s="49"/>
      <c r="L123" s="49" t="s">
        <v>255</v>
      </c>
      <c r="M123" s="49"/>
      <c r="N123" s="49"/>
      <c r="O123" s="49"/>
      <c r="P123" s="49"/>
      <c r="Q123" s="49"/>
      <c r="R123" s="49"/>
      <c r="S123" s="49"/>
      <c r="T123" s="49"/>
    </row>
    <row r="124">
      <c r="A124" s="49"/>
      <c r="B124" s="49"/>
      <c r="C124" s="49"/>
      <c r="D124" s="49"/>
      <c r="E124" s="49"/>
      <c r="F124" s="49"/>
      <c r="G124" s="49"/>
      <c r="H124" s="49"/>
      <c r="I124" s="49" t="str">
        <f>IFERROR(__xludf.DUMMYFUNCTION("""COMPUTED_VALUE"""),"#VALUE!")</f>
        <v>#VALUE!</v>
      </c>
      <c r="J124" s="49"/>
      <c r="K124" s="49"/>
      <c r="L124" s="49" t="s">
        <v>255</v>
      </c>
      <c r="M124" s="49"/>
      <c r="N124" s="49"/>
      <c r="O124" s="49"/>
      <c r="P124" s="49"/>
      <c r="Q124" s="49"/>
      <c r="R124" s="49"/>
      <c r="S124" s="49"/>
      <c r="T124" s="49"/>
    </row>
    <row r="125">
      <c r="A125" s="49"/>
      <c r="B125" s="49"/>
      <c r="C125" s="49"/>
      <c r="D125" s="49"/>
      <c r="E125" s="49"/>
      <c r="F125" s="49"/>
      <c r="G125" s="49"/>
      <c r="H125" s="49"/>
      <c r="I125" s="49" t="str">
        <f>IFERROR(__xludf.DUMMYFUNCTION("""COMPUTED_VALUE"""),"#VALUE!")</f>
        <v>#VALUE!</v>
      </c>
      <c r="J125" s="49"/>
      <c r="K125" s="49"/>
      <c r="L125" s="49" t="s">
        <v>255</v>
      </c>
      <c r="M125" s="49"/>
      <c r="N125" s="49"/>
      <c r="O125" s="49"/>
      <c r="P125" s="49"/>
      <c r="Q125" s="49"/>
      <c r="R125" s="49"/>
      <c r="S125" s="49"/>
      <c r="T125" s="49"/>
    </row>
    <row r="126">
      <c r="A126" s="49"/>
      <c r="B126" s="49"/>
      <c r="C126" s="49"/>
      <c r="D126" s="49"/>
      <c r="E126" s="49"/>
      <c r="F126" s="49"/>
      <c r="G126" s="49"/>
      <c r="H126" s="49"/>
      <c r="I126" s="49" t="str">
        <f>IFERROR(__xludf.DUMMYFUNCTION("""COMPUTED_VALUE"""),"#VALUE!")</f>
        <v>#VALUE!</v>
      </c>
      <c r="J126" s="49"/>
      <c r="K126" s="49"/>
      <c r="L126" s="49" t="s">
        <v>255</v>
      </c>
      <c r="M126" s="49"/>
      <c r="N126" s="49"/>
      <c r="O126" s="49"/>
      <c r="P126" s="49"/>
      <c r="Q126" s="49"/>
      <c r="R126" s="49"/>
      <c r="S126" s="49"/>
      <c r="T126" s="49"/>
    </row>
    <row r="127">
      <c r="A127" s="49"/>
      <c r="B127" s="49"/>
      <c r="C127" s="49"/>
      <c r="D127" s="49"/>
      <c r="E127" s="49"/>
      <c r="F127" s="49"/>
      <c r="G127" s="49"/>
      <c r="H127" s="49"/>
      <c r="I127" s="49" t="str">
        <f>IFERROR(__xludf.DUMMYFUNCTION("""COMPUTED_VALUE"""),"#VALUE!")</f>
        <v>#VALUE!</v>
      </c>
      <c r="J127" s="49"/>
      <c r="K127" s="49"/>
      <c r="L127" s="49" t="s">
        <v>255</v>
      </c>
      <c r="M127" s="49"/>
      <c r="N127" s="49"/>
      <c r="O127" s="49"/>
      <c r="P127" s="49"/>
      <c r="Q127" s="49"/>
      <c r="R127" s="49"/>
      <c r="S127" s="49"/>
      <c r="T127" s="49"/>
    </row>
    <row r="128">
      <c r="A128" s="49"/>
      <c r="B128" s="49"/>
      <c r="C128" s="49"/>
      <c r="D128" s="49"/>
      <c r="E128" s="49"/>
      <c r="F128" s="49"/>
      <c r="G128" s="49"/>
      <c r="H128" s="49"/>
      <c r="I128" s="49" t="str">
        <f>IFERROR(__xludf.DUMMYFUNCTION("""COMPUTED_VALUE"""),"#VALUE!")</f>
        <v>#VALUE!</v>
      </c>
      <c r="J128" s="49"/>
      <c r="K128" s="49"/>
      <c r="L128" s="49" t="s">
        <v>255</v>
      </c>
      <c r="M128" s="49"/>
      <c r="N128" s="49"/>
      <c r="O128" s="49"/>
      <c r="P128" s="49"/>
      <c r="Q128" s="49"/>
      <c r="R128" s="49"/>
      <c r="S128" s="49"/>
      <c r="T128" s="49"/>
    </row>
    <row r="129">
      <c r="A129" s="49"/>
      <c r="B129" s="49"/>
      <c r="C129" s="49"/>
      <c r="D129" s="49"/>
      <c r="E129" s="49"/>
      <c r="F129" s="49"/>
      <c r="G129" s="49"/>
      <c r="H129" s="49"/>
      <c r="I129" s="49" t="str">
        <f>IFERROR(__xludf.DUMMYFUNCTION("""COMPUTED_VALUE"""),"#VALUE!")</f>
        <v>#VALUE!</v>
      </c>
      <c r="J129" s="49"/>
      <c r="K129" s="49"/>
      <c r="L129" s="49" t="s">
        <v>255</v>
      </c>
      <c r="M129" s="49"/>
      <c r="N129" s="49"/>
      <c r="O129" s="49"/>
      <c r="P129" s="49"/>
      <c r="Q129" s="49"/>
      <c r="R129" s="49"/>
      <c r="S129" s="49"/>
      <c r="T129" s="49"/>
    </row>
    <row r="130">
      <c r="A130" s="49"/>
      <c r="B130" s="49"/>
      <c r="C130" s="49"/>
      <c r="D130" s="49"/>
      <c r="E130" s="49"/>
      <c r="F130" s="49"/>
      <c r="G130" s="49"/>
      <c r="H130" s="49"/>
      <c r="I130" s="49" t="str">
        <f>IFERROR(__xludf.DUMMYFUNCTION("""COMPUTED_VALUE"""),"#VALUE!")</f>
        <v>#VALUE!</v>
      </c>
      <c r="J130" s="49"/>
      <c r="K130" s="49"/>
      <c r="L130" s="49" t="s">
        <v>255</v>
      </c>
      <c r="M130" s="49"/>
      <c r="N130" s="49"/>
      <c r="O130" s="49"/>
      <c r="P130" s="49"/>
      <c r="Q130" s="49"/>
      <c r="R130" s="49"/>
      <c r="S130" s="49"/>
      <c r="T130" s="49"/>
    </row>
    <row r="131">
      <c r="A131" s="49"/>
      <c r="B131" s="49"/>
      <c r="C131" s="49"/>
      <c r="D131" s="49"/>
      <c r="E131" s="49"/>
      <c r="F131" s="49"/>
      <c r="G131" s="49"/>
      <c r="H131" s="49"/>
      <c r="I131" s="49" t="str">
        <f>IFERROR(__xludf.DUMMYFUNCTION("""COMPUTED_VALUE"""),"#VALUE!")</f>
        <v>#VALUE!</v>
      </c>
      <c r="J131" s="49"/>
      <c r="K131" s="49"/>
      <c r="L131" s="49" t="s">
        <v>255</v>
      </c>
      <c r="M131" s="49"/>
      <c r="N131" s="49"/>
      <c r="O131" s="49"/>
      <c r="P131" s="49"/>
      <c r="Q131" s="49"/>
      <c r="R131" s="49"/>
      <c r="S131" s="49"/>
      <c r="T131" s="49"/>
    </row>
    <row r="132">
      <c r="A132" s="49"/>
      <c r="B132" s="49"/>
      <c r="C132" s="49"/>
      <c r="D132" s="49"/>
      <c r="E132" s="49"/>
      <c r="F132" s="49"/>
      <c r="G132" s="49"/>
      <c r="H132" s="49"/>
      <c r="I132" s="49" t="str">
        <f>IFERROR(__xludf.DUMMYFUNCTION("""COMPUTED_VALUE"""),"#VALUE!")</f>
        <v>#VALUE!</v>
      </c>
      <c r="J132" s="49"/>
      <c r="K132" s="49"/>
      <c r="L132" s="49" t="s">
        <v>255</v>
      </c>
      <c r="M132" s="49"/>
      <c r="N132" s="49"/>
      <c r="O132" s="49"/>
      <c r="P132" s="49"/>
      <c r="Q132" s="49"/>
      <c r="R132" s="49"/>
      <c r="S132" s="49"/>
      <c r="T132" s="49"/>
    </row>
    <row r="133">
      <c r="A133" s="49"/>
      <c r="B133" s="49"/>
      <c r="C133" s="49"/>
      <c r="D133" s="49"/>
      <c r="E133" s="49"/>
      <c r="F133" s="49"/>
      <c r="G133" s="49"/>
      <c r="H133" s="49"/>
      <c r="I133" s="49" t="str">
        <f>IFERROR(__xludf.DUMMYFUNCTION("""COMPUTED_VALUE"""),"#VALUE!")</f>
        <v>#VALUE!</v>
      </c>
      <c r="J133" s="49"/>
      <c r="K133" s="49"/>
      <c r="L133" s="49" t="s">
        <v>255</v>
      </c>
      <c r="M133" s="49"/>
      <c r="N133" s="49"/>
      <c r="O133" s="49"/>
      <c r="P133" s="49"/>
      <c r="Q133" s="49"/>
      <c r="R133" s="49"/>
      <c r="S133" s="49"/>
      <c r="T133" s="49"/>
    </row>
    <row r="134">
      <c r="A134" s="49"/>
      <c r="B134" s="49"/>
      <c r="C134" s="49"/>
      <c r="D134" s="49"/>
      <c r="E134" s="49"/>
      <c r="F134" s="49"/>
      <c r="G134" s="49"/>
      <c r="H134" s="49"/>
      <c r="I134" s="49" t="str">
        <f>IFERROR(__xludf.DUMMYFUNCTION("""COMPUTED_VALUE"""),"#VALUE!")</f>
        <v>#VALUE!</v>
      </c>
      <c r="J134" s="49"/>
      <c r="K134" s="49"/>
      <c r="L134" s="49" t="s">
        <v>255</v>
      </c>
      <c r="M134" s="49"/>
      <c r="N134" s="49"/>
      <c r="O134" s="49"/>
      <c r="P134" s="49"/>
      <c r="Q134" s="49"/>
      <c r="R134" s="49"/>
      <c r="S134" s="49"/>
      <c r="T134" s="49"/>
    </row>
    <row r="135">
      <c r="A135" s="49"/>
      <c r="B135" s="49"/>
      <c r="C135" s="49"/>
      <c r="D135" s="49"/>
      <c r="E135" s="49"/>
      <c r="F135" s="49"/>
      <c r="G135" s="49"/>
      <c r="H135" s="49"/>
      <c r="I135" s="49" t="str">
        <f>IFERROR(__xludf.DUMMYFUNCTION("""COMPUTED_VALUE"""),"#VALUE!")</f>
        <v>#VALUE!</v>
      </c>
      <c r="J135" s="49"/>
      <c r="K135" s="49"/>
      <c r="L135" s="49" t="s">
        <v>255</v>
      </c>
      <c r="M135" s="49"/>
      <c r="N135" s="49"/>
      <c r="O135" s="49"/>
      <c r="P135" s="49"/>
      <c r="Q135" s="49"/>
      <c r="R135" s="49"/>
      <c r="S135" s="49"/>
      <c r="T135" s="49"/>
    </row>
    <row r="136">
      <c r="A136" s="49"/>
      <c r="B136" s="49"/>
      <c r="C136" s="49"/>
      <c r="D136" s="49"/>
      <c r="E136" s="49"/>
      <c r="F136" s="49"/>
      <c r="G136" s="49"/>
      <c r="H136" s="49"/>
      <c r="I136" s="49" t="str">
        <f>IFERROR(__xludf.DUMMYFUNCTION("""COMPUTED_VALUE"""),"#VALUE!")</f>
        <v>#VALUE!</v>
      </c>
      <c r="J136" s="49"/>
      <c r="K136" s="49"/>
      <c r="L136" s="49" t="s">
        <v>255</v>
      </c>
      <c r="M136" s="49"/>
      <c r="N136" s="49"/>
      <c r="O136" s="49"/>
      <c r="P136" s="49"/>
      <c r="Q136" s="49"/>
      <c r="R136" s="49"/>
      <c r="S136" s="49"/>
      <c r="T136" s="49"/>
    </row>
    <row r="137">
      <c r="A137" s="49"/>
      <c r="B137" s="49"/>
      <c r="C137" s="49"/>
      <c r="D137" s="49"/>
      <c r="E137" s="49"/>
      <c r="F137" s="49"/>
      <c r="G137" s="49"/>
      <c r="H137" s="49"/>
      <c r="I137" s="49" t="str">
        <f>IFERROR(__xludf.DUMMYFUNCTION("""COMPUTED_VALUE"""),"#VALUE!")</f>
        <v>#VALUE!</v>
      </c>
      <c r="J137" s="49"/>
      <c r="K137" s="49"/>
      <c r="L137" s="49" t="s">
        <v>255</v>
      </c>
      <c r="M137" s="49"/>
      <c r="N137" s="49"/>
      <c r="O137" s="49"/>
      <c r="P137" s="49"/>
      <c r="Q137" s="49"/>
      <c r="R137" s="49"/>
      <c r="S137" s="49"/>
      <c r="T137" s="49"/>
    </row>
    <row r="138">
      <c r="A138" s="49"/>
      <c r="B138" s="49"/>
      <c r="C138" s="49"/>
      <c r="D138" s="49"/>
      <c r="E138" s="49"/>
      <c r="F138" s="49"/>
      <c r="G138" s="49"/>
      <c r="H138" s="49"/>
      <c r="I138" s="49" t="str">
        <f>IFERROR(__xludf.DUMMYFUNCTION("""COMPUTED_VALUE"""),"#VALUE!")</f>
        <v>#VALUE!</v>
      </c>
      <c r="J138" s="49"/>
      <c r="K138" s="49"/>
      <c r="L138" s="49" t="s">
        <v>255</v>
      </c>
      <c r="M138" s="49"/>
      <c r="N138" s="49"/>
      <c r="O138" s="49"/>
      <c r="P138" s="49"/>
      <c r="Q138" s="49"/>
      <c r="R138" s="49"/>
      <c r="S138" s="49"/>
      <c r="T138" s="49"/>
    </row>
    <row r="139">
      <c r="A139" s="49"/>
      <c r="B139" s="49"/>
      <c r="C139" s="49"/>
      <c r="D139" s="49"/>
      <c r="E139" s="49"/>
      <c r="F139" s="49"/>
      <c r="G139" s="49"/>
      <c r="H139" s="49"/>
      <c r="I139" s="49" t="str">
        <f>IFERROR(__xludf.DUMMYFUNCTION("""COMPUTED_VALUE"""),"#VALUE!")</f>
        <v>#VALUE!</v>
      </c>
      <c r="J139" s="49"/>
      <c r="K139" s="49"/>
      <c r="L139" s="49" t="s">
        <v>255</v>
      </c>
      <c r="M139" s="49"/>
      <c r="N139" s="49"/>
      <c r="O139" s="49"/>
      <c r="P139" s="49"/>
      <c r="Q139" s="49"/>
      <c r="R139" s="49"/>
      <c r="S139" s="49"/>
      <c r="T139" s="49"/>
    </row>
    <row r="140">
      <c r="A140" s="49"/>
      <c r="B140" s="49"/>
      <c r="C140" s="49"/>
      <c r="D140" s="49"/>
      <c r="E140" s="49"/>
      <c r="F140" s="49"/>
      <c r="G140" s="49"/>
      <c r="H140" s="49"/>
      <c r="I140" s="49" t="str">
        <f>IFERROR(__xludf.DUMMYFUNCTION("""COMPUTED_VALUE"""),"#VALUE!")</f>
        <v>#VALUE!</v>
      </c>
      <c r="J140" s="49"/>
      <c r="K140" s="49"/>
      <c r="L140" s="49" t="s">
        <v>255</v>
      </c>
      <c r="M140" s="49"/>
      <c r="N140" s="49"/>
      <c r="O140" s="49"/>
      <c r="P140" s="49"/>
      <c r="Q140" s="49"/>
      <c r="R140" s="49"/>
      <c r="S140" s="49"/>
      <c r="T140" s="49"/>
    </row>
    <row r="141">
      <c r="A141" s="49"/>
      <c r="B141" s="49"/>
      <c r="C141" s="49"/>
      <c r="D141" s="49"/>
      <c r="E141" s="49"/>
      <c r="F141" s="49"/>
      <c r="G141" s="49"/>
      <c r="H141" s="49"/>
      <c r="I141" s="49" t="str">
        <f>IFERROR(__xludf.DUMMYFUNCTION("""COMPUTED_VALUE"""),"#VALUE!")</f>
        <v>#VALUE!</v>
      </c>
      <c r="J141" s="49"/>
      <c r="K141" s="49"/>
      <c r="L141" s="49" t="s">
        <v>255</v>
      </c>
      <c r="M141" s="49"/>
      <c r="N141" s="49"/>
      <c r="O141" s="49"/>
      <c r="P141" s="49"/>
      <c r="Q141" s="49"/>
      <c r="R141" s="49"/>
      <c r="S141" s="49"/>
      <c r="T141" s="49"/>
    </row>
    <row r="142">
      <c r="A142" s="49"/>
      <c r="B142" s="49"/>
      <c r="C142" s="49"/>
      <c r="D142" s="49"/>
      <c r="E142" s="49"/>
      <c r="F142" s="49"/>
      <c r="G142" s="49"/>
      <c r="H142" s="49"/>
      <c r="I142" s="49" t="str">
        <f>IFERROR(__xludf.DUMMYFUNCTION("""COMPUTED_VALUE"""),"#VALUE!")</f>
        <v>#VALUE!</v>
      </c>
      <c r="J142" s="49"/>
      <c r="K142" s="49"/>
      <c r="L142" s="49" t="s">
        <v>255</v>
      </c>
      <c r="M142" s="49"/>
      <c r="N142" s="49"/>
      <c r="O142" s="49"/>
      <c r="P142" s="49"/>
      <c r="Q142" s="49"/>
      <c r="R142" s="49"/>
      <c r="S142" s="49"/>
      <c r="T142" s="49"/>
    </row>
    <row r="143">
      <c r="A143" s="49"/>
      <c r="B143" s="49"/>
      <c r="C143" s="49"/>
      <c r="D143" s="49"/>
      <c r="E143" s="49"/>
      <c r="F143" s="49"/>
      <c r="G143" s="49"/>
      <c r="H143" s="49"/>
      <c r="I143" s="49" t="str">
        <f>IFERROR(__xludf.DUMMYFUNCTION("""COMPUTED_VALUE"""),"#VALUE!")</f>
        <v>#VALUE!</v>
      </c>
      <c r="J143" s="49"/>
      <c r="K143" s="49"/>
      <c r="L143" s="49" t="s">
        <v>255</v>
      </c>
      <c r="M143" s="49"/>
      <c r="N143" s="49"/>
      <c r="O143" s="49"/>
      <c r="P143" s="49"/>
      <c r="Q143" s="49"/>
      <c r="R143" s="49"/>
      <c r="S143" s="49"/>
      <c r="T143" s="49"/>
    </row>
    <row r="144">
      <c r="A144" s="49"/>
      <c r="B144" s="49"/>
      <c r="C144" s="49"/>
      <c r="D144" s="49"/>
      <c r="E144" s="49"/>
      <c r="F144" s="49"/>
      <c r="G144" s="49"/>
      <c r="H144" s="49"/>
      <c r="I144" s="49" t="str">
        <f>IFERROR(__xludf.DUMMYFUNCTION("""COMPUTED_VALUE"""),"#VALUE!")</f>
        <v>#VALUE!</v>
      </c>
      <c r="J144" s="49"/>
      <c r="K144" s="49"/>
      <c r="L144" s="49" t="s">
        <v>255</v>
      </c>
      <c r="M144" s="49"/>
      <c r="N144" s="49"/>
      <c r="O144" s="49"/>
      <c r="P144" s="49"/>
      <c r="Q144" s="49"/>
      <c r="R144" s="49"/>
      <c r="S144" s="49"/>
      <c r="T144" s="49"/>
    </row>
    <row r="145">
      <c r="A145" s="49"/>
      <c r="B145" s="49"/>
      <c r="C145" s="49"/>
      <c r="D145" s="49"/>
      <c r="E145" s="49"/>
      <c r="F145" s="49"/>
      <c r="G145" s="49"/>
      <c r="H145" s="49"/>
      <c r="I145" s="49" t="str">
        <f>IFERROR(__xludf.DUMMYFUNCTION("""COMPUTED_VALUE"""),"#VALUE!")</f>
        <v>#VALUE!</v>
      </c>
      <c r="J145" s="49"/>
      <c r="K145" s="49"/>
      <c r="L145" s="49" t="s">
        <v>255</v>
      </c>
      <c r="M145" s="49"/>
      <c r="N145" s="49"/>
      <c r="O145" s="49"/>
      <c r="P145" s="49"/>
      <c r="Q145" s="49"/>
      <c r="R145" s="49"/>
      <c r="S145" s="49"/>
      <c r="T145" s="49"/>
    </row>
    <row r="146">
      <c r="A146" s="49"/>
      <c r="B146" s="49"/>
      <c r="C146" s="49"/>
      <c r="D146" s="49"/>
      <c r="E146" s="49"/>
      <c r="F146" s="49"/>
      <c r="G146" s="49"/>
      <c r="H146" s="49"/>
      <c r="I146" s="49" t="str">
        <f>IFERROR(__xludf.DUMMYFUNCTION("""COMPUTED_VALUE"""),"#VALUE!")</f>
        <v>#VALUE!</v>
      </c>
      <c r="J146" s="49"/>
      <c r="K146" s="49"/>
      <c r="L146" s="49" t="s">
        <v>255</v>
      </c>
      <c r="M146" s="49"/>
      <c r="N146" s="49"/>
      <c r="O146" s="49"/>
      <c r="P146" s="49"/>
      <c r="Q146" s="49"/>
      <c r="R146" s="49"/>
      <c r="S146" s="49"/>
      <c r="T146" s="49"/>
    </row>
    <row r="147">
      <c r="A147" s="49"/>
      <c r="B147" s="49"/>
      <c r="C147" s="49"/>
      <c r="D147" s="49"/>
      <c r="E147" s="49"/>
      <c r="F147" s="49"/>
      <c r="G147" s="49"/>
      <c r="H147" s="49"/>
      <c r="I147" s="49" t="str">
        <f>IFERROR(__xludf.DUMMYFUNCTION("""COMPUTED_VALUE"""),"#VALUE!")</f>
        <v>#VALUE!</v>
      </c>
      <c r="J147" s="49"/>
      <c r="K147" s="49"/>
      <c r="L147" s="49" t="s">
        <v>255</v>
      </c>
      <c r="M147" s="49"/>
      <c r="N147" s="49"/>
      <c r="O147" s="49"/>
      <c r="P147" s="49"/>
      <c r="Q147" s="49"/>
      <c r="R147" s="49"/>
      <c r="S147" s="49"/>
      <c r="T147" s="49"/>
    </row>
    <row r="148">
      <c r="A148" s="49"/>
      <c r="B148" s="49"/>
      <c r="C148" s="49"/>
      <c r="D148" s="49"/>
      <c r="E148" s="49"/>
      <c r="F148" s="49"/>
      <c r="G148" s="49"/>
      <c r="H148" s="49"/>
      <c r="I148" s="49" t="str">
        <f>IFERROR(__xludf.DUMMYFUNCTION("""COMPUTED_VALUE"""),"#VALUE!")</f>
        <v>#VALUE!</v>
      </c>
      <c r="J148" s="49"/>
      <c r="K148" s="49"/>
      <c r="L148" s="49" t="s">
        <v>255</v>
      </c>
      <c r="M148" s="49"/>
      <c r="N148" s="49"/>
      <c r="O148" s="49"/>
      <c r="P148" s="49"/>
      <c r="Q148" s="49"/>
      <c r="R148" s="49"/>
      <c r="S148" s="49"/>
      <c r="T148" s="49"/>
    </row>
    <row r="149">
      <c r="A149" s="49"/>
      <c r="B149" s="49"/>
      <c r="C149" s="49"/>
      <c r="D149" s="49"/>
      <c r="E149" s="49"/>
      <c r="F149" s="49"/>
      <c r="G149" s="49"/>
      <c r="H149" s="49"/>
      <c r="I149" s="49" t="str">
        <f>IFERROR(__xludf.DUMMYFUNCTION("""COMPUTED_VALUE"""),"#VALUE!")</f>
        <v>#VALUE!</v>
      </c>
      <c r="J149" s="49"/>
      <c r="K149" s="49"/>
      <c r="L149" s="49" t="s">
        <v>255</v>
      </c>
      <c r="M149" s="49"/>
      <c r="N149" s="49"/>
      <c r="O149" s="49"/>
      <c r="P149" s="49"/>
      <c r="Q149" s="49"/>
      <c r="R149" s="49"/>
      <c r="S149" s="49"/>
      <c r="T149" s="49"/>
    </row>
    <row r="150">
      <c r="A150" s="49"/>
      <c r="B150" s="49"/>
      <c r="C150" s="49"/>
      <c r="D150" s="49"/>
      <c r="E150" s="49"/>
      <c r="F150" s="49"/>
      <c r="G150" s="49"/>
      <c r="H150" s="49"/>
      <c r="I150" s="49" t="str">
        <f>IFERROR(__xludf.DUMMYFUNCTION("""COMPUTED_VALUE"""),"#VALUE!")</f>
        <v>#VALUE!</v>
      </c>
      <c r="J150" s="49"/>
      <c r="K150" s="49"/>
      <c r="L150" s="49" t="s">
        <v>255</v>
      </c>
      <c r="M150" s="49"/>
      <c r="N150" s="49"/>
      <c r="O150" s="49"/>
      <c r="P150" s="49"/>
      <c r="Q150" s="49"/>
      <c r="R150" s="49"/>
      <c r="S150" s="49"/>
      <c r="T150" s="49"/>
    </row>
    <row r="151">
      <c r="A151" s="49"/>
      <c r="B151" s="49"/>
      <c r="C151" s="49"/>
      <c r="D151" s="49"/>
      <c r="E151" s="49"/>
      <c r="F151" s="49"/>
      <c r="G151" s="49"/>
      <c r="H151" s="49"/>
      <c r="I151" s="49" t="str">
        <f>IFERROR(__xludf.DUMMYFUNCTION("""COMPUTED_VALUE"""),"#VALUE!")</f>
        <v>#VALUE!</v>
      </c>
      <c r="J151" s="49"/>
      <c r="K151" s="49"/>
      <c r="L151" s="49" t="s">
        <v>255</v>
      </c>
      <c r="M151" s="49"/>
      <c r="N151" s="49"/>
      <c r="O151" s="49"/>
      <c r="P151" s="49"/>
      <c r="Q151" s="49"/>
      <c r="R151" s="49"/>
      <c r="S151" s="49"/>
      <c r="T151" s="49"/>
    </row>
    <row r="152">
      <c r="A152" s="49"/>
      <c r="B152" s="49"/>
      <c r="C152" s="49"/>
      <c r="D152" s="49"/>
      <c r="E152" s="49"/>
      <c r="F152" s="49"/>
      <c r="G152" s="49"/>
      <c r="H152" s="49"/>
      <c r="I152" s="49" t="str">
        <f>IFERROR(__xludf.DUMMYFUNCTION("""COMPUTED_VALUE"""),"#VALUE!")</f>
        <v>#VALUE!</v>
      </c>
      <c r="J152" s="49"/>
      <c r="K152" s="49"/>
      <c r="L152" s="49" t="s">
        <v>255</v>
      </c>
      <c r="M152" s="49"/>
      <c r="N152" s="49"/>
      <c r="O152" s="49"/>
      <c r="P152" s="49"/>
      <c r="Q152" s="49"/>
      <c r="R152" s="49"/>
      <c r="S152" s="49"/>
      <c r="T152" s="49"/>
    </row>
    <row r="153">
      <c r="A153" s="49"/>
      <c r="B153" s="49"/>
      <c r="C153" s="49"/>
      <c r="D153" s="49"/>
      <c r="E153" s="49"/>
      <c r="F153" s="49"/>
      <c r="G153" s="49"/>
      <c r="H153" s="49"/>
      <c r="I153" s="49" t="str">
        <f>IFERROR(__xludf.DUMMYFUNCTION("""COMPUTED_VALUE"""),"#VALUE!")</f>
        <v>#VALUE!</v>
      </c>
      <c r="J153" s="49"/>
      <c r="K153" s="49"/>
      <c r="L153" s="49" t="s">
        <v>255</v>
      </c>
      <c r="M153" s="49"/>
      <c r="N153" s="49"/>
      <c r="O153" s="49"/>
      <c r="P153" s="49"/>
      <c r="Q153" s="49"/>
      <c r="R153" s="49"/>
      <c r="S153" s="49"/>
      <c r="T153" s="49"/>
    </row>
    <row r="154">
      <c r="A154" s="49"/>
      <c r="B154" s="49"/>
      <c r="C154" s="49"/>
      <c r="D154" s="49"/>
      <c r="E154" s="49"/>
      <c r="F154" s="49"/>
      <c r="G154" s="49"/>
      <c r="H154" s="49"/>
      <c r="I154" s="49" t="str">
        <f>IFERROR(__xludf.DUMMYFUNCTION("""COMPUTED_VALUE"""),"#VALUE!")</f>
        <v>#VALUE!</v>
      </c>
      <c r="J154" s="49"/>
      <c r="K154" s="49"/>
      <c r="L154" s="49" t="s">
        <v>255</v>
      </c>
      <c r="M154" s="49"/>
      <c r="N154" s="49"/>
      <c r="O154" s="49"/>
      <c r="P154" s="49"/>
      <c r="Q154" s="49"/>
      <c r="R154" s="49"/>
      <c r="S154" s="49"/>
      <c r="T154" s="49"/>
    </row>
    <row r="155">
      <c r="A155" s="49"/>
      <c r="B155" s="49"/>
      <c r="C155" s="49"/>
      <c r="D155" s="49"/>
      <c r="E155" s="49"/>
      <c r="F155" s="49"/>
      <c r="G155" s="49"/>
      <c r="H155" s="49"/>
      <c r="I155" s="49" t="str">
        <f>IFERROR(__xludf.DUMMYFUNCTION("""COMPUTED_VALUE"""),"#VALUE!")</f>
        <v>#VALUE!</v>
      </c>
      <c r="J155" s="49"/>
      <c r="K155" s="49"/>
      <c r="L155" s="49" t="s">
        <v>255</v>
      </c>
      <c r="M155" s="49"/>
      <c r="N155" s="49"/>
      <c r="O155" s="49"/>
      <c r="P155" s="49"/>
      <c r="Q155" s="49"/>
      <c r="R155" s="49"/>
      <c r="S155" s="49"/>
      <c r="T155" s="49"/>
    </row>
    <row r="156">
      <c r="A156" s="49"/>
      <c r="B156" s="49"/>
      <c r="C156" s="49"/>
      <c r="D156" s="49"/>
      <c r="E156" s="49"/>
      <c r="F156" s="49"/>
      <c r="G156" s="49"/>
      <c r="H156" s="49"/>
      <c r="I156" s="49" t="str">
        <f>IFERROR(__xludf.DUMMYFUNCTION("""COMPUTED_VALUE"""),"#VALUE!")</f>
        <v>#VALUE!</v>
      </c>
      <c r="J156" s="49"/>
      <c r="K156" s="49"/>
      <c r="L156" s="49" t="s">
        <v>255</v>
      </c>
      <c r="M156" s="49"/>
      <c r="N156" s="49"/>
      <c r="O156" s="49"/>
      <c r="P156" s="49"/>
      <c r="Q156" s="49"/>
      <c r="R156" s="49"/>
      <c r="S156" s="49"/>
      <c r="T156" s="49"/>
    </row>
    <row r="157">
      <c r="A157" s="49"/>
      <c r="B157" s="49"/>
      <c r="C157" s="49"/>
      <c r="D157" s="49"/>
      <c r="E157" s="49"/>
      <c r="F157" s="49"/>
      <c r="G157" s="49"/>
      <c r="H157" s="49"/>
      <c r="I157" s="49" t="str">
        <f>IFERROR(__xludf.DUMMYFUNCTION("""COMPUTED_VALUE"""),"#VALUE!")</f>
        <v>#VALUE!</v>
      </c>
      <c r="J157" s="49"/>
      <c r="K157" s="49"/>
      <c r="L157" s="49" t="s">
        <v>255</v>
      </c>
      <c r="M157" s="49"/>
      <c r="N157" s="49"/>
      <c r="O157" s="49"/>
      <c r="P157" s="49"/>
      <c r="Q157" s="49"/>
      <c r="R157" s="49"/>
      <c r="S157" s="49"/>
      <c r="T157" s="49"/>
    </row>
    <row r="158">
      <c r="A158" s="49"/>
      <c r="B158" s="49"/>
      <c r="C158" s="49"/>
      <c r="D158" s="49"/>
      <c r="E158" s="49"/>
      <c r="F158" s="49"/>
      <c r="G158" s="49"/>
      <c r="H158" s="49"/>
      <c r="I158" s="49" t="str">
        <f>IFERROR(__xludf.DUMMYFUNCTION("""COMPUTED_VALUE"""),"#VALUE!")</f>
        <v>#VALUE!</v>
      </c>
      <c r="J158" s="49"/>
      <c r="K158" s="49"/>
      <c r="L158" s="49" t="s">
        <v>255</v>
      </c>
      <c r="M158" s="49"/>
      <c r="N158" s="49"/>
      <c r="O158" s="49"/>
      <c r="P158" s="49"/>
      <c r="Q158" s="49"/>
      <c r="R158" s="49"/>
      <c r="S158" s="49"/>
      <c r="T158" s="49"/>
    </row>
    <row r="159">
      <c r="A159" s="49"/>
      <c r="B159" s="49"/>
      <c r="C159" s="49"/>
      <c r="D159" s="49"/>
      <c r="E159" s="49"/>
      <c r="F159" s="49"/>
      <c r="G159" s="49"/>
      <c r="H159" s="49"/>
      <c r="I159" s="49" t="str">
        <f>IFERROR(__xludf.DUMMYFUNCTION("""COMPUTED_VALUE"""),"#VALUE!")</f>
        <v>#VALUE!</v>
      </c>
      <c r="J159" s="49"/>
      <c r="K159" s="49"/>
      <c r="L159" s="49" t="s">
        <v>255</v>
      </c>
      <c r="M159" s="49"/>
      <c r="N159" s="49"/>
      <c r="O159" s="49"/>
      <c r="P159" s="49"/>
      <c r="Q159" s="49"/>
      <c r="R159" s="49"/>
      <c r="S159" s="49"/>
      <c r="T159" s="49"/>
    </row>
    <row r="160">
      <c r="A160" s="49"/>
      <c r="B160" s="49"/>
      <c r="C160" s="49"/>
      <c r="D160" s="49"/>
      <c r="E160" s="49"/>
      <c r="F160" s="49"/>
      <c r="G160" s="49"/>
      <c r="H160" s="49"/>
      <c r="I160" s="49" t="str">
        <f>IFERROR(__xludf.DUMMYFUNCTION("""COMPUTED_VALUE"""),"#VALUE!")</f>
        <v>#VALUE!</v>
      </c>
      <c r="J160" s="49"/>
      <c r="K160" s="49"/>
      <c r="L160" s="49" t="s">
        <v>255</v>
      </c>
      <c r="M160" s="49"/>
      <c r="N160" s="49"/>
      <c r="O160" s="49"/>
      <c r="P160" s="49"/>
      <c r="Q160" s="49"/>
      <c r="R160" s="49"/>
      <c r="S160" s="49"/>
      <c r="T160" s="49"/>
    </row>
    <row r="161">
      <c r="A161" s="49"/>
      <c r="B161" s="49"/>
      <c r="C161" s="49"/>
      <c r="D161" s="49"/>
      <c r="E161" s="49"/>
      <c r="F161" s="49"/>
      <c r="G161" s="49"/>
      <c r="H161" s="49"/>
      <c r="I161" s="49" t="str">
        <f>IFERROR(__xludf.DUMMYFUNCTION("""COMPUTED_VALUE"""),"#VALUE!")</f>
        <v>#VALUE!</v>
      </c>
      <c r="J161" s="49"/>
      <c r="K161" s="49"/>
      <c r="L161" s="49" t="s">
        <v>255</v>
      </c>
      <c r="M161" s="49"/>
      <c r="N161" s="49"/>
      <c r="O161" s="49"/>
      <c r="P161" s="49"/>
      <c r="Q161" s="49"/>
      <c r="R161" s="49"/>
      <c r="S161" s="49"/>
      <c r="T161" s="49"/>
    </row>
    <row r="162">
      <c r="A162" s="49"/>
      <c r="B162" s="49"/>
      <c r="C162" s="49"/>
      <c r="D162" s="49"/>
      <c r="E162" s="49"/>
      <c r="F162" s="49"/>
      <c r="G162" s="49"/>
      <c r="H162" s="49"/>
      <c r="I162" s="49" t="str">
        <f>IFERROR(__xludf.DUMMYFUNCTION("""COMPUTED_VALUE"""),"#VALUE!")</f>
        <v>#VALUE!</v>
      </c>
      <c r="J162" s="49"/>
      <c r="K162" s="49"/>
      <c r="L162" s="49" t="s">
        <v>255</v>
      </c>
      <c r="M162" s="49"/>
      <c r="N162" s="49"/>
      <c r="O162" s="49"/>
      <c r="P162" s="49"/>
      <c r="Q162" s="49"/>
      <c r="R162" s="49"/>
      <c r="S162" s="49"/>
      <c r="T162" s="49"/>
    </row>
    <row r="163">
      <c r="A163" s="49"/>
      <c r="B163" s="49"/>
      <c r="C163" s="49"/>
      <c r="D163" s="49"/>
      <c r="E163" s="49"/>
      <c r="F163" s="49"/>
      <c r="G163" s="49"/>
      <c r="H163" s="49"/>
      <c r="I163" s="49" t="str">
        <f>IFERROR(__xludf.DUMMYFUNCTION("""COMPUTED_VALUE"""),"#VALUE!")</f>
        <v>#VALUE!</v>
      </c>
      <c r="J163" s="49"/>
      <c r="K163" s="49"/>
      <c r="L163" s="49" t="s">
        <v>255</v>
      </c>
      <c r="M163" s="49"/>
      <c r="N163" s="49"/>
      <c r="O163" s="49"/>
      <c r="P163" s="49"/>
      <c r="Q163" s="49"/>
      <c r="R163" s="49"/>
      <c r="S163" s="49"/>
      <c r="T163" s="49"/>
    </row>
    <row r="164">
      <c r="A164" s="49"/>
      <c r="B164" s="49"/>
      <c r="C164" s="49"/>
      <c r="D164" s="49"/>
      <c r="E164" s="49"/>
      <c r="F164" s="49"/>
      <c r="G164" s="49"/>
      <c r="H164" s="49"/>
      <c r="I164" s="49" t="str">
        <f>IFERROR(__xludf.DUMMYFUNCTION("""COMPUTED_VALUE"""),"#VALUE!")</f>
        <v>#VALUE!</v>
      </c>
      <c r="J164" s="49"/>
      <c r="K164" s="49"/>
      <c r="L164" s="49" t="s">
        <v>255</v>
      </c>
      <c r="M164" s="49"/>
      <c r="N164" s="49"/>
      <c r="O164" s="49"/>
      <c r="P164" s="49"/>
      <c r="Q164" s="49"/>
      <c r="R164" s="49"/>
      <c r="S164" s="49"/>
      <c r="T164" s="49"/>
    </row>
    <row r="165">
      <c r="A165" s="49"/>
      <c r="B165" s="49"/>
      <c r="C165" s="49"/>
      <c r="D165" s="49"/>
      <c r="E165" s="49"/>
      <c r="F165" s="49"/>
      <c r="G165" s="49"/>
      <c r="H165" s="49"/>
      <c r="I165" s="49" t="str">
        <f>IFERROR(__xludf.DUMMYFUNCTION("""COMPUTED_VALUE"""),"#VALUE!")</f>
        <v>#VALUE!</v>
      </c>
      <c r="J165" s="49"/>
      <c r="K165" s="49"/>
      <c r="L165" s="49" t="s">
        <v>255</v>
      </c>
      <c r="M165" s="49"/>
      <c r="N165" s="49"/>
      <c r="O165" s="49"/>
      <c r="P165" s="49"/>
      <c r="Q165" s="49"/>
      <c r="R165" s="49"/>
      <c r="S165" s="49"/>
      <c r="T165" s="49"/>
    </row>
    <row r="166">
      <c r="A166" s="49"/>
      <c r="B166" s="49"/>
      <c r="C166" s="49"/>
      <c r="D166" s="49"/>
      <c r="E166" s="49"/>
      <c r="F166" s="49"/>
      <c r="G166" s="49"/>
      <c r="H166" s="49"/>
      <c r="I166" s="49" t="str">
        <f>IFERROR(__xludf.DUMMYFUNCTION("""COMPUTED_VALUE"""),"#VALUE!")</f>
        <v>#VALUE!</v>
      </c>
      <c r="J166" s="49"/>
      <c r="K166" s="49"/>
      <c r="L166" s="49" t="s">
        <v>255</v>
      </c>
      <c r="M166" s="49"/>
      <c r="N166" s="49"/>
      <c r="O166" s="49"/>
      <c r="P166" s="49"/>
      <c r="Q166" s="49"/>
      <c r="R166" s="49"/>
      <c r="S166" s="49"/>
      <c r="T166" s="49"/>
    </row>
    <row r="167">
      <c r="A167" s="49"/>
      <c r="B167" s="49"/>
      <c r="C167" s="49"/>
      <c r="D167" s="49"/>
      <c r="E167" s="49"/>
      <c r="F167" s="49"/>
      <c r="G167" s="49"/>
      <c r="H167" s="49"/>
      <c r="I167" s="49" t="str">
        <f>IFERROR(__xludf.DUMMYFUNCTION("""COMPUTED_VALUE"""),"#VALUE!")</f>
        <v>#VALUE!</v>
      </c>
      <c r="J167" s="49"/>
      <c r="K167" s="49"/>
      <c r="L167" s="49" t="s">
        <v>255</v>
      </c>
      <c r="M167" s="49"/>
      <c r="N167" s="49"/>
      <c r="O167" s="49"/>
      <c r="P167" s="49"/>
      <c r="Q167" s="49"/>
      <c r="R167" s="49"/>
      <c r="S167" s="49"/>
      <c r="T167" s="49"/>
    </row>
    <row r="168">
      <c r="A168" s="49"/>
      <c r="B168" s="49"/>
      <c r="C168" s="49"/>
      <c r="D168" s="49"/>
      <c r="E168" s="49"/>
      <c r="F168" s="49"/>
      <c r="G168" s="49"/>
      <c r="H168" s="49"/>
      <c r="I168" s="49" t="str">
        <f>IFERROR(__xludf.DUMMYFUNCTION("""COMPUTED_VALUE"""),"#VALUE!")</f>
        <v>#VALUE!</v>
      </c>
      <c r="J168" s="49"/>
      <c r="K168" s="49"/>
      <c r="L168" s="49" t="s">
        <v>255</v>
      </c>
      <c r="M168" s="49"/>
      <c r="N168" s="49"/>
      <c r="O168" s="49"/>
      <c r="P168" s="49"/>
      <c r="Q168" s="49"/>
      <c r="R168" s="49"/>
      <c r="S168" s="49"/>
      <c r="T168" s="49"/>
    </row>
    <row r="169">
      <c r="A169" s="49"/>
      <c r="B169" s="49"/>
      <c r="C169" s="49"/>
      <c r="D169" s="49"/>
      <c r="E169" s="49"/>
      <c r="F169" s="49"/>
      <c r="G169" s="49"/>
      <c r="H169" s="49"/>
      <c r="I169" s="49" t="str">
        <f>IFERROR(__xludf.DUMMYFUNCTION("""COMPUTED_VALUE"""),"#VALUE!")</f>
        <v>#VALUE!</v>
      </c>
      <c r="J169" s="49"/>
      <c r="K169" s="49"/>
      <c r="L169" s="49" t="s">
        <v>255</v>
      </c>
      <c r="M169" s="49"/>
      <c r="N169" s="49"/>
      <c r="O169" s="49"/>
      <c r="P169" s="49"/>
      <c r="Q169" s="49"/>
      <c r="R169" s="49"/>
      <c r="S169" s="49"/>
      <c r="T169" s="49"/>
    </row>
    <row r="170">
      <c r="A170" s="49"/>
      <c r="B170" s="49"/>
      <c r="C170" s="49"/>
      <c r="D170" s="49"/>
      <c r="E170" s="49"/>
      <c r="F170" s="49"/>
      <c r="G170" s="49"/>
      <c r="H170" s="49"/>
      <c r="I170" s="49" t="str">
        <f>IFERROR(__xludf.DUMMYFUNCTION("""COMPUTED_VALUE"""),"#VALUE!")</f>
        <v>#VALUE!</v>
      </c>
      <c r="J170" s="49"/>
      <c r="K170" s="49"/>
      <c r="L170" s="49" t="s">
        <v>255</v>
      </c>
      <c r="M170" s="49"/>
      <c r="N170" s="49"/>
      <c r="O170" s="49"/>
      <c r="P170" s="49"/>
      <c r="Q170" s="49"/>
      <c r="R170" s="49"/>
      <c r="S170" s="49"/>
      <c r="T170" s="49"/>
    </row>
    <row r="171">
      <c r="A171" s="49"/>
      <c r="B171" s="49"/>
      <c r="C171" s="49"/>
      <c r="D171" s="49"/>
      <c r="E171" s="49"/>
      <c r="F171" s="49"/>
      <c r="G171" s="49"/>
      <c r="H171" s="49"/>
      <c r="I171" s="49" t="str">
        <f>IFERROR(__xludf.DUMMYFUNCTION("""COMPUTED_VALUE"""),"#VALUE!")</f>
        <v>#VALUE!</v>
      </c>
      <c r="J171" s="49"/>
      <c r="K171" s="49"/>
      <c r="L171" s="49" t="s">
        <v>255</v>
      </c>
      <c r="M171" s="49"/>
      <c r="N171" s="49"/>
      <c r="O171" s="49"/>
      <c r="P171" s="49"/>
      <c r="Q171" s="49"/>
      <c r="R171" s="49"/>
      <c r="S171" s="49"/>
      <c r="T171" s="49"/>
    </row>
    <row r="172">
      <c r="A172" s="49"/>
      <c r="B172" s="49"/>
      <c r="C172" s="49"/>
      <c r="D172" s="49"/>
      <c r="E172" s="49"/>
      <c r="F172" s="49"/>
      <c r="G172" s="49"/>
      <c r="H172" s="49"/>
      <c r="I172" s="49" t="str">
        <f>IFERROR(__xludf.DUMMYFUNCTION("""COMPUTED_VALUE"""),"#VALUE!")</f>
        <v>#VALUE!</v>
      </c>
      <c r="J172" s="49"/>
      <c r="K172" s="49"/>
      <c r="L172" s="49" t="s">
        <v>255</v>
      </c>
      <c r="M172" s="49"/>
      <c r="N172" s="49"/>
      <c r="O172" s="49"/>
      <c r="P172" s="49"/>
      <c r="Q172" s="49"/>
      <c r="R172" s="49"/>
      <c r="S172" s="49"/>
      <c r="T172" s="49"/>
    </row>
    <row r="173">
      <c r="A173" s="49"/>
      <c r="B173" s="49"/>
      <c r="C173" s="49"/>
      <c r="D173" s="49"/>
      <c r="E173" s="49"/>
      <c r="F173" s="49"/>
      <c r="G173" s="49"/>
      <c r="H173" s="49"/>
      <c r="I173" s="49" t="str">
        <f>IFERROR(__xludf.DUMMYFUNCTION("""COMPUTED_VALUE"""),"#VALUE!")</f>
        <v>#VALUE!</v>
      </c>
      <c r="J173" s="49"/>
      <c r="K173" s="49"/>
      <c r="L173" s="49" t="s">
        <v>255</v>
      </c>
      <c r="M173" s="49"/>
      <c r="N173" s="49"/>
      <c r="O173" s="49"/>
      <c r="P173" s="49"/>
      <c r="Q173" s="49"/>
      <c r="R173" s="49"/>
      <c r="S173" s="49"/>
      <c r="T173" s="49"/>
    </row>
    <row r="174">
      <c r="A174" s="49"/>
      <c r="B174" s="49"/>
      <c r="C174" s="49"/>
      <c r="D174" s="49"/>
      <c r="E174" s="49"/>
      <c r="F174" s="49"/>
      <c r="G174" s="49"/>
      <c r="H174" s="49"/>
      <c r="I174" s="49" t="str">
        <f>IFERROR(__xludf.DUMMYFUNCTION("""COMPUTED_VALUE"""),"#VALUE!")</f>
        <v>#VALUE!</v>
      </c>
      <c r="J174" s="49"/>
      <c r="K174" s="49"/>
      <c r="L174" s="49" t="s">
        <v>255</v>
      </c>
      <c r="M174" s="49"/>
      <c r="N174" s="49"/>
      <c r="O174" s="49"/>
      <c r="P174" s="49"/>
      <c r="Q174" s="49"/>
      <c r="R174" s="49"/>
      <c r="S174" s="49"/>
      <c r="T174" s="49"/>
    </row>
    <row r="175">
      <c r="A175" s="49"/>
      <c r="B175" s="49"/>
      <c r="C175" s="49"/>
      <c r="D175" s="49"/>
      <c r="E175" s="49"/>
      <c r="F175" s="49"/>
      <c r="G175" s="49"/>
      <c r="H175" s="49"/>
      <c r="I175" s="49" t="str">
        <f>IFERROR(__xludf.DUMMYFUNCTION("""COMPUTED_VALUE"""),"#VALUE!")</f>
        <v>#VALUE!</v>
      </c>
      <c r="J175" s="49"/>
      <c r="K175" s="49"/>
      <c r="L175" s="49" t="s">
        <v>255</v>
      </c>
      <c r="M175" s="49"/>
      <c r="N175" s="49"/>
      <c r="O175" s="49"/>
      <c r="P175" s="49"/>
      <c r="Q175" s="49"/>
      <c r="R175" s="49"/>
      <c r="S175" s="49"/>
      <c r="T175" s="49"/>
    </row>
    <row r="176">
      <c r="A176" s="49"/>
      <c r="B176" s="49"/>
      <c r="C176" s="49"/>
      <c r="D176" s="49"/>
      <c r="E176" s="49"/>
      <c r="F176" s="49"/>
      <c r="G176" s="49"/>
      <c r="H176" s="49"/>
      <c r="I176" s="49" t="str">
        <f>IFERROR(__xludf.DUMMYFUNCTION("""COMPUTED_VALUE"""),"#VALUE!")</f>
        <v>#VALUE!</v>
      </c>
      <c r="J176" s="49"/>
      <c r="K176" s="49"/>
      <c r="L176" s="49" t="s">
        <v>255</v>
      </c>
      <c r="M176" s="49"/>
      <c r="N176" s="49"/>
      <c r="O176" s="49"/>
      <c r="P176" s="49"/>
      <c r="Q176" s="49"/>
      <c r="R176" s="49"/>
      <c r="S176" s="49"/>
      <c r="T176" s="49"/>
    </row>
    <row r="177">
      <c r="A177" s="49"/>
      <c r="B177" s="49"/>
      <c r="C177" s="49"/>
      <c r="D177" s="49"/>
      <c r="E177" s="49"/>
      <c r="F177" s="49"/>
      <c r="G177" s="49"/>
      <c r="H177" s="49"/>
      <c r="I177" s="49" t="str">
        <f>IFERROR(__xludf.DUMMYFUNCTION("""COMPUTED_VALUE"""),"#VALUE!")</f>
        <v>#VALUE!</v>
      </c>
      <c r="J177" s="49"/>
      <c r="K177" s="49"/>
      <c r="L177" s="49" t="s">
        <v>255</v>
      </c>
      <c r="M177" s="49"/>
      <c r="N177" s="49"/>
      <c r="O177" s="49"/>
      <c r="P177" s="49"/>
      <c r="Q177" s="49"/>
      <c r="R177" s="49"/>
      <c r="S177" s="49"/>
      <c r="T177" s="49"/>
    </row>
    <row r="178">
      <c r="A178" s="49"/>
      <c r="B178" s="49"/>
      <c r="C178" s="49"/>
      <c r="D178" s="49"/>
      <c r="E178" s="49"/>
      <c r="F178" s="49"/>
      <c r="G178" s="49"/>
      <c r="H178" s="49"/>
      <c r="I178" s="49" t="str">
        <f>IFERROR(__xludf.DUMMYFUNCTION("""COMPUTED_VALUE"""),"#VALUE!")</f>
        <v>#VALUE!</v>
      </c>
      <c r="J178" s="49"/>
      <c r="K178" s="49"/>
      <c r="L178" s="49" t="s">
        <v>255</v>
      </c>
      <c r="M178" s="49"/>
      <c r="N178" s="49"/>
      <c r="O178" s="49"/>
      <c r="P178" s="49"/>
      <c r="Q178" s="49"/>
      <c r="R178" s="49"/>
      <c r="S178" s="49"/>
      <c r="T178" s="49"/>
    </row>
    <row r="179">
      <c r="A179" s="49"/>
      <c r="B179" s="49"/>
      <c r="C179" s="49"/>
      <c r="D179" s="49"/>
      <c r="E179" s="49"/>
      <c r="F179" s="49"/>
      <c r="G179" s="49"/>
      <c r="H179" s="49"/>
      <c r="I179" s="49" t="str">
        <f>IFERROR(__xludf.DUMMYFUNCTION("""COMPUTED_VALUE"""),"#VALUE!")</f>
        <v>#VALUE!</v>
      </c>
      <c r="J179" s="49"/>
      <c r="K179" s="49"/>
      <c r="L179" s="49" t="s">
        <v>255</v>
      </c>
      <c r="M179" s="49"/>
      <c r="N179" s="49"/>
      <c r="O179" s="49"/>
      <c r="P179" s="49"/>
      <c r="Q179" s="49"/>
      <c r="R179" s="49"/>
      <c r="S179" s="49"/>
      <c r="T179" s="49"/>
    </row>
    <row r="180">
      <c r="A180" s="49"/>
      <c r="B180" s="49"/>
      <c r="C180" s="49"/>
      <c r="D180" s="49"/>
      <c r="E180" s="49"/>
      <c r="F180" s="49"/>
      <c r="G180" s="49"/>
      <c r="H180" s="49"/>
      <c r="I180" s="49" t="str">
        <f>IFERROR(__xludf.DUMMYFUNCTION("""COMPUTED_VALUE"""),"#VALUE!")</f>
        <v>#VALUE!</v>
      </c>
      <c r="J180" s="49"/>
      <c r="K180" s="49"/>
      <c r="L180" s="49" t="s">
        <v>255</v>
      </c>
      <c r="M180" s="49"/>
      <c r="N180" s="49"/>
      <c r="O180" s="49"/>
      <c r="P180" s="49"/>
      <c r="Q180" s="49"/>
      <c r="R180" s="49"/>
      <c r="S180" s="49"/>
      <c r="T180" s="49"/>
    </row>
    <row r="181">
      <c r="A181" s="49"/>
      <c r="B181" s="49"/>
      <c r="C181" s="49"/>
      <c r="D181" s="49"/>
      <c r="E181" s="49"/>
      <c r="F181" s="49"/>
      <c r="G181" s="49"/>
      <c r="H181" s="49"/>
      <c r="I181" s="49" t="str">
        <f>IFERROR(__xludf.DUMMYFUNCTION("""COMPUTED_VALUE"""),"#VALUE!")</f>
        <v>#VALUE!</v>
      </c>
      <c r="J181" s="49"/>
      <c r="K181" s="49"/>
      <c r="L181" s="49" t="s">
        <v>255</v>
      </c>
      <c r="M181" s="49"/>
      <c r="N181" s="49"/>
      <c r="O181" s="49"/>
      <c r="P181" s="49"/>
      <c r="Q181" s="49"/>
      <c r="R181" s="49"/>
      <c r="S181" s="49"/>
      <c r="T181" s="49"/>
    </row>
    <row r="182">
      <c r="A182" s="49"/>
      <c r="B182" s="49"/>
      <c r="C182" s="49"/>
      <c r="D182" s="49"/>
      <c r="E182" s="49"/>
      <c r="F182" s="49"/>
      <c r="G182" s="49"/>
      <c r="H182" s="49"/>
      <c r="I182" s="49" t="str">
        <f>IFERROR(__xludf.DUMMYFUNCTION("""COMPUTED_VALUE"""),"#VALUE!")</f>
        <v>#VALUE!</v>
      </c>
      <c r="J182" s="49"/>
      <c r="K182" s="49"/>
      <c r="L182" s="49" t="s">
        <v>255</v>
      </c>
      <c r="M182" s="49"/>
      <c r="N182" s="49"/>
      <c r="O182" s="49"/>
      <c r="P182" s="49"/>
      <c r="Q182" s="49"/>
      <c r="R182" s="49"/>
      <c r="S182" s="49"/>
      <c r="T182" s="49"/>
    </row>
    <row r="183">
      <c r="A183" s="49"/>
      <c r="B183" s="49"/>
      <c r="C183" s="49"/>
      <c r="D183" s="49"/>
      <c r="E183" s="49"/>
      <c r="F183" s="49"/>
      <c r="G183" s="49"/>
      <c r="H183" s="49"/>
      <c r="I183" s="49" t="str">
        <f>IFERROR(__xludf.DUMMYFUNCTION("""COMPUTED_VALUE"""),"#VALUE!")</f>
        <v>#VALUE!</v>
      </c>
      <c r="J183" s="49"/>
      <c r="K183" s="49"/>
      <c r="L183" s="49" t="s">
        <v>255</v>
      </c>
      <c r="M183" s="49"/>
      <c r="N183" s="49"/>
      <c r="O183" s="49"/>
      <c r="P183" s="49"/>
      <c r="Q183" s="49"/>
      <c r="R183" s="49"/>
      <c r="S183" s="49"/>
      <c r="T183" s="49"/>
    </row>
    <row r="184">
      <c r="A184" s="49"/>
      <c r="B184" s="49"/>
      <c r="C184" s="49"/>
      <c r="D184" s="49"/>
      <c r="E184" s="49"/>
      <c r="F184" s="49"/>
      <c r="G184" s="49"/>
      <c r="H184" s="49"/>
      <c r="I184" s="49" t="str">
        <f>IFERROR(__xludf.DUMMYFUNCTION("""COMPUTED_VALUE"""),"#VALUE!")</f>
        <v>#VALUE!</v>
      </c>
      <c r="J184" s="49"/>
      <c r="K184" s="49"/>
      <c r="L184" s="49" t="s">
        <v>255</v>
      </c>
      <c r="M184" s="49"/>
      <c r="N184" s="49"/>
      <c r="O184" s="49"/>
      <c r="P184" s="49"/>
      <c r="Q184" s="49"/>
      <c r="R184" s="49"/>
      <c r="S184" s="49"/>
      <c r="T184" s="49"/>
    </row>
    <row r="185">
      <c r="A185" s="49"/>
      <c r="B185" s="49"/>
      <c r="C185" s="49"/>
      <c r="D185" s="49"/>
      <c r="E185" s="49"/>
      <c r="F185" s="49"/>
      <c r="G185" s="49"/>
      <c r="H185" s="49"/>
      <c r="I185" s="49" t="str">
        <f>IFERROR(__xludf.DUMMYFUNCTION("""COMPUTED_VALUE"""),"#VALUE!")</f>
        <v>#VALUE!</v>
      </c>
      <c r="J185" s="49"/>
      <c r="K185" s="49"/>
      <c r="L185" s="49" t="s">
        <v>255</v>
      </c>
      <c r="M185" s="49"/>
      <c r="N185" s="49"/>
      <c r="O185" s="49"/>
      <c r="P185" s="49"/>
      <c r="Q185" s="49"/>
      <c r="R185" s="49"/>
      <c r="S185" s="49"/>
      <c r="T185" s="49"/>
    </row>
    <row r="186">
      <c r="A186" s="49"/>
      <c r="B186" s="49"/>
      <c r="C186" s="49"/>
      <c r="D186" s="49"/>
      <c r="E186" s="49"/>
      <c r="F186" s="49"/>
      <c r="G186" s="49"/>
      <c r="H186" s="49"/>
      <c r="I186" s="49" t="str">
        <f>IFERROR(__xludf.DUMMYFUNCTION("""COMPUTED_VALUE"""),"#VALUE!")</f>
        <v>#VALUE!</v>
      </c>
      <c r="J186" s="49"/>
      <c r="K186" s="49"/>
      <c r="L186" s="49" t="s">
        <v>255</v>
      </c>
      <c r="M186" s="49"/>
      <c r="N186" s="49"/>
      <c r="O186" s="49"/>
      <c r="P186" s="49"/>
      <c r="Q186" s="49"/>
      <c r="R186" s="49"/>
      <c r="S186" s="49"/>
      <c r="T186" s="49"/>
    </row>
    <row r="187">
      <c r="A187" s="49"/>
      <c r="B187" s="49"/>
      <c r="C187" s="49"/>
      <c r="D187" s="49"/>
      <c r="E187" s="49"/>
      <c r="F187" s="49"/>
      <c r="G187" s="49"/>
      <c r="H187" s="49"/>
      <c r="I187" s="49" t="str">
        <f>IFERROR(__xludf.DUMMYFUNCTION("""COMPUTED_VALUE"""),"#VALUE!")</f>
        <v>#VALUE!</v>
      </c>
      <c r="J187" s="49"/>
      <c r="K187" s="49"/>
      <c r="L187" s="49" t="s">
        <v>255</v>
      </c>
      <c r="M187" s="49"/>
      <c r="N187" s="49"/>
      <c r="O187" s="49"/>
      <c r="P187" s="49"/>
      <c r="Q187" s="49"/>
      <c r="R187" s="49"/>
      <c r="S187" s="49"/>
      <c r="T187" s="49"/>
    </row>
    <row r="188">
      <c r="A188" s="49"/>
      <c r="B188" s="49"/>
      <c r="C188" s="49"/>
      <c r="D188" s="49"/>
      <c r="E188" s="49"/>
      <c r="F188" s="49"/>
      <c r="G188" s="49"/>
      <c r="H188" s="49"/>
      <c r="I188" s="49" t="str">
        <f>IFERROR(__xludf.DUMMYFUNCTION("""COMPUTED_VALUE"""),"#VALUE!")</f>
        <v>#VALUE!</v>
      </c>
      <c r="J188" s="49"/>
      <c r="K188" s="49"/>
      <c r="L188" s="49" t="s">
        <v>255</v>
      </c>
      <c r="M188" s="49"/>
      <c r="N188" s="49"/>
      <c r="O188" s="49"/>
      <c r="P188" s="49"/>
      <c r="Q188" s="49"/>
      <c r="R188" s="49"/>
      <c r="S188" s="49"/>
      <c r="T188" s="49"/>
    </row>
    <row r="189">
      <c r="A189" s="49"/>
      <c r="B189" s="49"/>
      <c r="C189" s="49"/>
      <c r="D189" s="49"/>
      <c r="E189" s="49"/>
      <c r="F189" s="49"/>
      <c r="G189" s="49"/>
      <c r="H189" s="49"/>
      <c r="I189" s="49" t="str">
        <f>IFERROR(__xludf.DUMMYFUNCTION("""COMPUTED_VALUE"""),"#VALUE!")</f>
        <v>#VALUE!</v>
      </c>
      <c r="J189" s="49"/>
      <c r="K189" s="49"/>
      <c r="L189" s="49" t="s">
        <v>255</v>
      </c>
      <c r="M189" s="49"/>
      <c r="N189" s="49"/>
      <c r="O189" s="49"/>
      <c r="P189" s="49"/>
      <c r="Q189" s="49"/>
      <c r="R189" s="49"/>
      <c r="S189" s="49"/>
      <c r="T189" s="49"/>
    </row>
    <row r="190">
      <c r="A190" s="49"/>
      <c r="B190" s="49"/>
      <c r="C190" s="49"/>
      <c r="D190" s="49"/>
      <c r="E190" s="49"/>
      <c r="F190" s="49"/>
      <c r="G190" s="49"/>
      <c r="H190" s="49"/>
      <c r="I190" s="49" t="str">
        <f>IFERROR(__xludf.DUMMYFUNCTION("""COMPUTED_VALUE"""),"#VALUE!")</f>
        <v>#VALUE!</v>
      </c>
      <c r="J190" s="49"/>
      <c r="K190" s="49"/>
      <c r="L190" s="49" t="s">
        <v>255</v>
      </c>
      <c r="M190" s="49"/>
      <c r="N190" s="49"/>
      <c r="O190" s="49"/>
      <c r="P190" s="49"/>
      <c r="Q190" s="49"/>
      <c r="R190" s="49"/>
      <c r="S190" s="49"/>
      <c r="T190" s="49"/>
    </row>
    <row r="191">
      <c r="A191" s="49"/>
      <c r="B191" s="49"/>
      <c r="C191" s="49"/>
      <c r="D191" s="49"/>
      <c r="E191" s="49"/>
      <c r="F191" s="49"/>
      <c r="G191" s="49"/>
      <c r="H191" s="49"/>
      <c r="I191" s="49" t="str">
        <f>IFERROR(__xludf.DUMMYFUNCTION("""COMPUTED_VALUE"""),"#VALUE!")</f>
        <v>#VALUE!</v>
      </c>
      <c r="J191" s="49"/>
      <c r="K191" s="49"/>
      <c r="L191" s="49" t="s">
        <v>255</v>
      </c>
      <c r="M191" s="49"/>
      <c r="N191" s="49"/>
      <c r="O191" s="49"/>
      <c r="P191" s="49"/>
      <c r="Q191" s="49"/>
      <c r="R191" s="49"/>
      <c r="S191" s="49"/>
      <c r="T191" s="49"/>
    </row>
    <row r="192">
      <c r="A192" s="49"/>
      <c r="B192" s="49"/>
      <c r="C192" s="49"/>
      <c r="D192" s="49"/>
      <c r="E192" s="49"/>
      <c r="F192" s="49"/>
      <c r="G192" s="49"/>
      <c r="H192" s="49"/>
      <c r="I192" s="49" t="str">
        <f>IFERROR(__xludf.DUMMYFUNCTION("""COMPUTED_VALUE"""),"#VALUE!")</f>
        <v>#VALUE!</v>
      </c>
      <c r="J192" s="49"/>
      <c r="K192" s="49"/>
      <c r="L192" s="49" t="s">
        <v>255</v>
      </c>
      <c r="M192" s="49"/>
      <c r="N192" s="49"/>
      <c r="O192" s="49"/>
      <c r="P192" s="49"/>
      <c r="Q192" s="49"/>
      <c r="R192" s="49"/>
      <c r="S192" s="49"/>
      <c r="T192" s="49"/>
    </row>
    <row r="193">
      <c r="A193" s="49"/>
      <c r="B193" s="49"/>
      <c r="C193" s="49"/>
      <c r="D193" s="49"/>
      <c r="E193" s="49"/>
      <c r="F193" s="49"/>
      <c r="G193" s="49"/>
      <c r="H193" s="49"/>
      <c r="I193" s="49" t="str">
        <f>IFERROR(__xludf.DUMMYFUNCTION("""COMPUTED_VALUE"""),"#VALUE!")</f>
        <v>#VALUE!</v>
      </c>
      <c r="J193" s="49"/>
      <c r="K193" s="49"/>
      <c r="L193" s="49" t="s">
        <v>255</v>
      </c>
      <c r="M193" s="49"/>
      <c r="N193" s="49"/>
      <c r="O193" s="49"/>
      <c r="P193" s="49"/>
      <c r="Q193" s="49"/>
      <c r="R193" s="49"/>
      <c r="S193" s="49"/>
      <c r="T193" s="49"/>
    </row>
    <row r="194">
      <c r="A194" s="49"/>
      <c r="B194" s="49"/>
      <c r="C194" s="49"/>
      <c r="D194" s="49"/>
      <c r="E194" s="49"/>
      <c r="F194" s="49"/>
      <c r="G194" s="49"/>
      <c r="H194" s="49"/>
      <c r="I194" s="49" t="str">
        <f>IFERROR(__xludf.DUMMYFUNCTION("""COMPUTED_VALUE"""),"#VALUE!")</f>
        <v>#VALUE!</v>
      </c>
      <c r="J194" s="49"/>
      <c r="K194" s="49"/>
      <c r="L194" s="49" t="s">
        <v>255</v>
      </c>
      <c r="M194" s="49"/>
      <c r="N194" s="49"/>
      <c r="O194" s="49"/>
      <c r="P194" s="49"/>
      <c r="Q194" s="49"/>
      <c r="R194" s="49"/>
      <c r="S194" s="49"/>
      <c r="T194" s="49"/>
    </row>
    <row r="195">
      <c r="A195" s="49"/>
      <c r="B195" s="49"/>
      <c r="C195" s="49"/>
      <c r="D195" s="49"/>
      <c r="E195" s="49"/>
      <c r="F195" s="49"/>
      <c r="G195" s="49"/>
      <c r="H195" s="49"/>
      <c r="I195" s="49" t="str">
        <f>IFERROR(__xludf.DUMMYFUNCTION("""COMPUTED_VALUE"""),"#VALUE!")</f>
        <v>#VALUE!</v>
      </c>
      <c r="J195" s="49"/>
      <c r="K195" s="49"/>
      <c r="L195" s="49" t="s">
        <v>255</v>
      </c>
      <c r="M195" s="49"/>
      <c r="N195" s="49"/>
      <c r="O195" s="49"/>
      <c r="P195" s="49"/>
      <c r="Q195" s="49"/>
      <c r="R195" s="49"/>
      <c r="S195" s="49"/>
      <c r="T195" s="49"/>
    </row>
    <row r="196">
      <c r="A196" s="49"/>
      <c r="B196" s="49"/>
      <c r="C196" s="49"/>
      <c r="D196" s="49"/>
      <c r="E196" s="49"/>
      <c r="F196" s="49"/>
      <c r="G196" s="49"/>
      <c r="H196" s="49"/>
      <c r="I196" s="49" t="str">
        <f>IFERROR(__xludf.DUMMYFUNCTION("""COMPUTED_VALUE"""),"#VALUE!")</f>
        <v>#VALUE!</v>
      </c>
      <c r="J196" s="49"/>
      <c r="K196" s="49"/>
      <c r="L196" s="49" t="s">
        <v>255</v>
      </c>
      <c r="M196" s="49"/>
      <c r="N196" s="49"/>
      <c r="O196" s="49"/>
      <c r="P196" s="49"/>
      <c r="Q196" s="49"/>
      <c r="R196" s="49"/>
      <c r="S196" s="49"/>
      <c r="T196" s="49"/>
    </row>
    <row r="197">
      <c r="A197" s="49"/>
      <c r="B197" s="49"/>
      <c r="C197" s="49"/>
      <c r="D197" s="49"/>
      <c r="E197" s="49"/>
      <c r="F197" s="49"/>
      <c r="G197" s="49"/>
      <c r="H197" s="49"/>
      <c r="I197" s="49" t="str">
        <f>IFERROR(__xludf.DUMMYFUNCTION("""COMPUTED_VALUE"""),"#VALUE!")</f>
        <v>#VALUE!</v>
      </c>
      <c r="J197" s="49"/>
      <c r="K197" s="49"/>
      <c r="L197" s="49" t="s">
        <v>255</v>
      </c>
      <c r="M197" s="49"/>
      <c r="N197" s="49"/>
      <c r="O197" s="49"/>
      <c r="P197" s="49"/>
      <c r="Q197" s="49"/>
      <c r="R197" s="49"/>
      <c r="S197" s="49"/>
      <c r="T197" s="49"/>
    </row>
    <row r="198">
      <c r="A198" s="49"/>
      <c r="B198" s="49"/>
      <c r="C198" s="49"/>
      <c r="D198" s="49"/>
      <c r="E198" s="49"/>
      <c r="F198" s="49"/>
      <c r="G198" s="49"/>
      <c r="H198" s="49"/>
      <c r="I198" s="49" t="str">
        <f>IFERROR(__xludf.DUMMYFUNCTION("""COMPUTED_VALUE"""),"#VALUE!")</f>
        <v>#VALUE!</v>
      </c>
      <c r="J198" s="49"/>
      <c r="K198" s="49"/>
      <c r="L198" s="49" t="s">
        <v>255</v>
      </c>
      <c r="M198" s="49"/>
      <c r="N198" s="49"/>
      <c r="O198" s="49"/>
      <c r="P198" s="49"/>
      <c r="Q198" s="49"/>
      <c r="R198" s="49"/>
      <c r="S198" s="49"/>
      <c r="T198" s="49"/>
    </row>
    <row r="199">
      <c r="A199" s="49"/>
      <c r="B199" s="49"/>
      <c r="C199" s="49"/>
      <c r="D199" s="49"/>
      <c r="E199" s="49"/>
      <c r="F199" s="49"/>
      <c r="G199" s="49"/>
      <c r="H199" s="49"/>
      <c r="I199" s="49" t="str">
        <f>IFERROR(__xludf.DUMMYFUNCTION("""COMPUTED_VALUE"""),"#VALUE!")</f>
        <v>#VALUE!</v>
      </c>
      <c r="J199" s="49"/>
      <c r="K199" s="49"/>
      <c r="L199" s="49" t="s">
        <v>255</v>
      </c>
      <c r="M199" s="49"/>
      <c r="N199" s="49"/>
      <c r="O199" s="49"/>
      <c r="P199" s="49"/>
      <c r="Q199" s="49"/>
      <c r="R199" s="49"/>
      <c r="S199" s="49"/>
      <c r="T199" s="49"/>
    </row>
    <row r="200">
      <c r="A200" s="49"/>
      <c r="B200" s="49"/>
      <c r="C200" s="49"/>
      <c r="D200" s="49"/>
      <c r="E200" s="49"/>
      <c r="F200" s="49"/>
      <c r="G200" s="49"/>
      <c r="H200" s="49"/>
      <c r="I200" s="49" t="str">
        <f>IFERROR(__xludf.DUMMYFUNCTION("""COMPUTED_VALUE"""),"#VALUE!")</f>
        <v>#VALUE!</v>
      </c>
      <c r="J200" s="49"/>
      <c r="K200" s="49"/>
      <c r="L200" s="49" t="s">
        <v>255</v>
      </c>
      <c r="M200" s="49"/>
      <c r="N200" s="49"/>
      <c r="O200" s="49"/>
      <c r="P200" s="49"/>
      <c r="Q200" s="49"/>
      <c r="R200" s="49"/>
      <c r="S200" s="49"/>
      <c r="T200" s="49"/>
    </row>
    <row r="201">
      <c r="A201" s="49"/>
      <c r="B201" s="49"/>
      <c r="C201" s="49"/>
      <c r="D201" s="49"/>
      <c r="E201" s="49"/>
      <c r="F201" s="49"/>
      <c r="G201" s="49"/>
      <c r="H201" s="49"/>
      <c r="I201" s="49" t="str">
        <f>IFERROR(__xludf.DUMMYFUNCTION("""COMPUTED_VALUE"""),"#VALUE!")</f>
        <v>#VALUE!</v>
      </c>
      <c r="J201" s="49"/>
      <c r="K201" s="49"/>
      <c r="L201" s="49" t="s">
        <v>255</v>
      </c>
      <c r="M201" s="49"/>
      <c r="N201" s="49"/>
      <c r="O201" s="49"/>
      <c r="P201" s="49"/>
      <c r="Q201" s="49"/>
      <c r="R201" s="49"/>
      <c r="S201" s="49"/>
      <c r="T201" s="49"/>
    </row>
    <row r="202">
      <c r="A202" s="49"/>
      <c r="B202" s="49"/>
      <c r="C202" s="49"/>
      <c r="D202" s="49"/>
      <c r="E202" s="49"/>
      <c r="F202" s="49"/>
      <c r="G202" s="49"/>
      <c r="H202" s="49"/>
      <c r="I202" s="49" t="str">
        <f>IFERROR(__xludf.DUMMYFUNCTION("""COMPUTED_VALUE"""),"#VALUE!")</f>
        <v>#VALUE!</v>
      </c>
      <c r="J202" s="49"/>
      <c r="K202" s="49"/>
      <c r="L202" s="49" t="s">
        <v>255</v>
      </c>
      <c r="M202" s="49"/>
      <c r="N202" s="49"/>
      <c r="O202" s="49"/>
      <c r="P202" s="49"/>
      <c r="Q202" s="49"/>
      <c r="R202" s="49"/>
      <c r="S202" s="49"/>
      <c r="T202" s="49"/>
    </row>
    <row r="203">
      <c r="A203" s="49"/>
      <c r="B203" s="49"/>
      <c r="C203" s="49"/>
      <c r="D203" s="49"/>
      <c r="E203" s="49"/>
      <c r="F203" s="49"/>
      <c r="G203" s="49"/>
      <c r="H203" s="49"/>
      <c r="I203" s="49" t="str">
        <f>IFERROR(__xludf.DUMMYFUNCTION("""COMPUTED_VALUE"""),"#VALUE!")</f>
        <v>#VALUE!</v>
      </c>
      <c r="J203" s="49"/>
      <c r="K203" s="49"/>
      <c r="L203" s="49" t="s">
        <v>255</v>
      </c>
      <c r="M203" s="49"/>
      <c r="N203" s="49"/>
      <c r="O203" s="49"/>
      <c r="P203" s="49"/>
      <c r="Q203" s="49"/>
      <c r="R203" s="49"/>
      <c r="S203" s="49"/>
      <c r="T203" s="49"/>
    </row>
    <row r="204">
      <c r="A204" s="49"/>
      <c r="B204" s="49"/>
      <c r="C204" s="49"/>
      <c r="D204" s="49"/>
      <c r="E204" s="49"/>
      <c r="F204" s="49"/>
      <c r="G204" s="49"/>
      <c r="H204" s="49"/>
      <c r="I204" s="49" t="str">
        <f>IFERROR(__xludf.DUMMYFUNCTION("""COMPUTED_VALUE"""),"#VALUE!")</f>
        <v>#VALUE!</v>
      </c>
      <c r="J204" s="49"/>
      <c r="K204" s="49"/>
      <c r="L204" s="49" t="s">
        <v>255</v>
      </c>
      <c r="M204" s="49"/>
      <c r="N204" s="49"/>
      <c r="O204" s="49"/>
      <c r="P204" s="49"/>
      <c r="Q204" s="49"/>
      <c r="R204" s="49"/>
      <c r="S204" s="49"/>
      <c r="T204" s="49"/>
    </row>
    <row r="205">
      <c r="A205" s="49"/>
      <c r="B205" s="49"/>
      <c r="C205" s="49"/>
      <c r="D205" s="49"/>
      <c r="E205" s="49"/>
      <c r="F205" s="49"/>
      <c r="G205" s="49"/>
      <c r="H205" s="49"/>
      <c r="I205" s="49" t="str">
        <f>IFERROR(__xludf.DUMMYFUNCTION("""COMPUTED_VALUE"""),"#VALUE!")</f>
        <v>#VALUE!</v>
      </c>
      <c r="J205" s="49"/>
      <c r="K205" s="49"/>
      <c r="L205" s="49" t="s">
        <v>255</v>
      </c>
      <c r="M205" s="49"/>
      <c r="N205" s="49"/>
      <c r="O205" s="49"/>
      <c r="P205" s="49"/>
      <c r="Q205" s="49"/>
      <c r="R205" s="49"/>
      <c r="S205" s="49"/>
      <c r="T205" s="49"/>
    </row>
    <row r="206">
      <c r="A206" s="49"/>
      <c r="B206" s="49"/>
      <c r="C206" s="49"/>
      <c r="D206" s="49"/>
      <c r="E206" s="49"/>
      <c r="F206" s="49"/>
      <c r="G206" s="49"/>
      <c r="H206" s="49"/>
      <c r="I206" s="49" t="str">
        <f>IFERROR(__xludf.DUMMYFUNCTION("""COMPUTED_VALUE"""),"#VALUE!")</f>
        <v>#VALUE!</v>
      </c>
      <c r="J206" s="49"/>
      <c r="K206" s="49"/>
      <c r="L206" s="49" t="s">
        <v>255</v>
      </c>
      <c r="M206" s="49"/>
      <c r="N206" s="49"/>
      <c r="O206" s="49"/>
      <c r="P206" s="49"/>
      <c r="Q206" s="49"/>
      <c r="R206" s="49"/>
      <c r="S206" s="49"/>
      <c r="T206" s="49"/>
    </row>
    <row r="207">
      <c r="A207" s="49"/>
      <c r="B207" s="49"/>
      <c r="C207" s="49"/>
      <c r="D207" s="49"/>
      <c r="E207" s="49"/>
      <c r="F207" s="49"/>
      <c r="G207" s="49"/>
      <c r="H207" s="49"/>
      <c r="I207" s="49" t="str">
        <f>IFERROR(__xludf.DUMMYFUNCTION("""COMPUTED_VALUE"""),"#VALUE!")</f>
        <v>#VALUE!</v>
      </c>
      <c r="J207" s="49"/>
      <c r="K207" s="49"/>
      <c r="L207" s="49" t="s">
        <v>255</v>
      </c>
      <c r="M207" s="49"/>
      <c r="N207" s="49"/>
      <c r="O207" s="49"/>
      <c r="P207" s="49"/>
      <c r="Q207" s="49"/>
      <c r="R207" s="49"/>
      <c r="S207" s="49"/>
      <c r="T207" s="49"/>
    </row>
    <row r="208">
      <c r="A208" s="49"/>
      <c r="B208" s="49"/>
      <c r="C208" s="49"/>
      <c r="D208" s="49"/>
      <c r="E208" s="49"/>
      <c r="F208" s="49"/>
      <c r="G208" s="49"/>
      <c r="H208" s="49"/>
      <c r="I208" s="49" t="str">
        <f>IFERROR(__xludf.DUMMYFUNCTION("""COMPUTED_VALUE"""),"#VALUE!")</f>
        <v>#VALUE!</v>
      </c>
      <c r="J208" s="49"/>
      <c r="K208" s="49"/>
      <c r="L208" s="49" t="s">
        <v>255</v>
      </c>
      <c r="M208" s="49"/>
      <c r="N208" s="49"/>
      <c r="O208" s="49"/>
      <c r="P208" s="49"/>
      <c r="Q208" s="49"/>
      <c r="R208" s="49"/>
      <c r="S208" s="49"/>
      <c r="T208" s="49"/>
    </row>
    <row r="209">
      <c r="A209" s="49"/>
      <c r="B209" s="49"/>
      <c r="C209" s="49"/>
      <c r="D209" s="49"/>
      <c r="E209" s="49"/>
      <c r="F209" s="49"/>
      <c r="G209" s="49"/>
      <c r="H209" s="49"/>
      <c r="I209" s="49" t="str">
        <f>IFERROR(__xludf.DUMMYFUNCTION("""COMPUTED_VALUE"""),"#VALUE!")</f>
        <v>#VALUE!</v>
      </c>
      <c r="J209" s="49"/>
      <c r="K209" s="49"/>
      <c r="L209" s="49" t="s">
        <v>255</v>
      </c>
      <c r="M209" s="49"/>
      <c r="N209" s="49"/>
      <c r="O209" s="49"/>
      <c r="P209" s="49"/>
      <c r="Q209" s="49"/>
      <c r="R209" s="49"/>
      <c r="S209" s="49"/>
      <c r="T209" s="49"/>
    </row>
    <row r="210">
      <c r="A210" s="49"/>
      <c r="B210" s="49"/>
      <c r="C210" s="49"/>
      <c r="D210" s="49"/>
      <c r="E210" s="49"/>
      <c r="F210" s="49"/>
      <c r="G210" s="49"/>
      <c r="H210" s="49"/>
      <c r="I210" s="49" t="str">
        <f>IFERROR(__xludf.DUMMYFUNCTION("""COMPUTED_VALUE"""),"#VALUE!")</f>
        <v>#VALUE!</v>
      </c>
      <c r="J210" s="49"/>
      <c r="K210" s="49"/>
      <c r="L210" s="49" t="s">
        <v>255</v>
      </c>
      <c r="M210" s="49"/>
      <c r="N210" s="49"/>
      <c r="O210" s="49"/>
      <c r="P210" s="49"/>
      <c r="Q210" s="49"/>
      <c r="R210" s="49"/>
      <c r="S210" s="49"/>
      <c r="T210" s="49"/>
    </row>
    <row r="211">
      <c r="A211" s="49"/>
      <c r="B211" s="49"/>
      <c r="C211" s="49"/>
      <c r="D211" s="49"/>
      <c r="E211" s="49"/>
      <c r="F211" s="49"/>
      <c r="G211" s="49"/>
      <c r="H211" s="49"/>
      <c r="I211" s="49" t="str">
        <f>IFERROR(__xludf.DUMMYFUNCTION("""COMPUTED_VALUE"""),"#VALUE!")</f>
        <v>#VALUE!</v>
      </c>
      <c r="J211" s="49"/>
      <c r="K211" s="49"/>
      <c r="L211" s="49" t="s">
        <v>255</v>
      </c>
      <c r="M211" s="49"/>
      <c r="N211" s="49"/>
      <c r="O211" s="49"/>
      <c r="P211" s="49"/>
      <c r="Q211" s="49"/>
      <c r="R211" s="49"/>
      <c r="S211" s="49"/>
      <c r="T211" s="49"/>
    </row>
    <row r="212">
      <c r="A212" s="49"/>
      <c r="B212" s="49"/>
      <c r="C212" s="49"/>
      <c r="D212" s="49"/>
      <c r="E212" s="49"/>
      <c r="F212" s="49"/>
      <c r="G212" s="49"/>
      <c r="H212" s="49"/>
      <c r="I212" s="49" t="str">
        <f>IFERROR(__xludf.DUMMYFUNCTION("""COMPUTED_VALUE"""),"#VALUE!")</f>
        <v>#VALUE!</v>
      </c>
      <c r="J212" s="49"/>
      <c r="K212" s="49"/>
      <c r="L212" s="49" t="s">
        <v>255</v>
      </c>
      <c r="M212" s="49"/>
      <c r="N212" s="49"/>
      <c r="O212" s="49"/>
      <c r="P212" s="49"/>
      <c r="Q212" s="49"/>
      <c r="R212" s="49"/>
      <c r="S212" s="49"/>
      <c r="T212" s="49"/>
    </row>
    <row r="213">
      <c r="A213" s="49"/>
      <c r="B213" s="49"/>
      <c r="C213" s="49"/>
      <c r="D213" s="49"/>
      <c r="E213" s="49"/>
      <c r="F213" s="49"/>
      <c r="G213" s="49"/>
      <c r="H213" s="49"/>
      <c r="I213" s="49" t="str">
        <f>IFERROR(__xludf.DUMMYFUNCTION("""COMPUTED_VALUE"""),"#VALUE!")</f>
        <v>#VALUE!</v>
      </c>
      <c r="J213" s="49"/>
      <c r="K213" s="49"/>
      <c r="L213" s="49" t="s">
        <v>255</v>
      </c>
      <c r="M213" s="49"/>
      <c r="N213" s="49"/>
      <c r="O213" s="49"/>
      <c r="P213" s="49"/>
      <c r="Q213" s="49"/>
      <c r="R213" s="49"/>
      <c r="S213" s="49"/>
      <c r="T213" s="49"/>
    </row>
    <row r="214">
      <c r="A214" s="49"/>
      <c r="B214" s="49"/>
      <c r="C214" s="49"/>
      <c r="D214" s="49"/>
      <c r="E214" s="49"/>
      <c r="F214" s="49"/>
      <c r="G214" s="49"/>
      <c r="H214" s="49"/>
      <c r="I214" s="49" t="str">
        <f>IFERROR(__xludf.DUMMYFUNCTION("""COMPUTED_VALUE"""),"#VALUE!")</f>
        <v>#VALUE!</v>
      </c>
      <c r="J214" s="49"/>
      <c r="K214" s="49"/>
      <c r="L214" s="49" t="s">
        <v>255</v>
      </c>
      <c r="M214" s="49"/>
      <c r="N214" s="49"/>
      <c r="O214" s="49"/>
      <c r="P214" s="49"/>
      <c r="Q214" s="49"/>
      <c r="R214" s="49"/>
      <c r="S214" s="49"/>
      <c r="T214" s="49"/>
    </row>
    <row r="215">
      <c r="A215" s="49"/>
      <c r="B215" s="49"/>
      <c r="C215" s="49"/>
      <c r="D215" s="49"/>
      <c r="E215" s="49"/>
      <c r="F215" s="49"/>
      <c r="G215" s="49"/>
      <c r="H215" s="49"/>
      <c r="I215" s="49" t="str">
        <f>IFERROR(__xludf.DUMMYFUNCTION("""COMPUTED_VALUE"""),"#VALUE!")</f>
        <v>#VALUE!</v>
      </c>
      <c r="J215" s="49"/>
      <c r="K215" s="49"/>
      <c r="L215" s="49" t="s">
        <v>255</v>
      </c>
      <c r="M215" s="49"/>
      <c r="N215" s="49"/>
      <c r="O215" s="49"/>
      <c r="P215" s="49"/>
      <c r="Q215" s="49"/>
      <c r="R215" s="49"/>
      <c r="S215" s="49"/>
      <c r="T215" s="49"/>
    </row>
    <row r="216">
      <c r="A216" s="49"/>
      <c r="B216" s="49"/>
      <c r="C216" s="49"/>
      <c r="D216" s="49"/>
      <c r="E216" s="49"/>
      <c r="F216" s="49"/>
      <c r="G216" s="49"/>
      <c r="H216" s="49"/>
      <c r="I216" s="49" t="str">
        <f>IFERROR(__xludf.DUMMYFUNCTION("""COMPUTED_VALUE"""),"#VALUE!")</f>
        <v>#VALUE!</v>
      </c>
      <c r="J216" s="49"/>
      <c r="K216" s="49"/>
      <c r="L216" s="49" t="s">
        <v>255</v>
      </c>
      <c r="M216" s="49"/>
      <c r="N216" s="49"/>
      <c r="O216" s="49"/>
      <c r="P216" s="49"/>
      <c r="Q216" s="49"/>
      <c r="R216" s="49"/>
      <c r="S216" s="49"/>
      <c r="T216" s="49"/>
    </row>
    <row r="217">
      <c r="A217" s="49"/>
      <c r="B217" s="49"/>
      <c r="C217" s="49"/>
      <c r="D217" s="49"/>
      <c r="E217" s="49"/>
      <c r="F217" s="49"/>
      <c r="G217" s="49"/>
      <c r="H217" s="49"/>
      <c r="I217" s="49" t="str">
        <f>IFERROR(__xludf.DUMMYFUNCTION("""COMPUTED_VALUE"""),"#VALUE!")</f>
        <v>#VALUE!</v>
      </c>
      <c r="J217" s="49"/>
      <c r="K217" s="49"/>
      <c r="L217" s="49" t="s">
        <v>255</v>
      </c>
      <c r="M217" s="49"/>
      <c r="N217" s="49"/>
      <c r="O217" s="49"/>
      <c r="P217" s="49"/>
      <c r="Q217" s="49"/>
      <c r="R217" s="49"/>
      <c r="S217" s="49"/>
      <c r="T217" s="49"/>
    </row>
    <row r="218">
      <c r="A218" s="49"/>
      <c r="B218" s="49"/>
      <c r="C218" s="49"/>
      <c r="D218" s="49"/>
      <c r="E218" s="49"/>
      <c r="F218" s="49"/>
      <c r="G218" s="49"/>
      <c r="H218" s="49"/>
      <c r="I218" s="49" t="str">
        <f>IFERROR(__xludf.DUMMYFUNCTION("""COMPUTED_VALUE"""),"#VALUE!")</f>
        <v>#VALUE!</v>
      </c>
      <c r="J218" s="49"/>
      <c r="K218" s="49"/>
      <c r="L218" s="49" t="s">
        <v>255</v>
      </c>
      <c r="M218" s="49"/>
      <c r="N218" s="49"/>
      <c r="O218" s="49"/>
      <c r="P218" s="49"/>
      <c r="Q218" s="49"/>
      <c r="R218" s="49"/>
      <c r="S218" s="49"/>
      <c r="T218" s="49"/>
    </row>
    <row r="219">
      <c r="A219" s="49"/>
      <c r="B219" s="49"/>
      <c r="C219" s="49"/>
      <c r="D219" s="49"/>
      <c r="E219" s="49"/>
      <c r="F219" s="49"/>
      <c r="G219" s="49"/>
      <c r="H219" s="49"/>
      <c r="I219" s="49" t="str">
        <f>IFERROR(__xludf.DUMMYFUNCTION("""COMPUTED_VALUE"""),"#VALUE!")</f>
        <v>#VALUE!</v>
      </c>
      <c r="J219" s="49"/>
      <c r="K219" s="49"/>
      <c r="L219" s="49" t="s">
        <v>255</v>
      </c>
      <c r="M219" s="49"/>
      <c r="N219" s="49"/>
      <c r="O219" s="49"/>
      <c r="P219" s="49"/>
      <c r="Q219" s="49"/>
      <c r="R219" s="49"/>
      <c r="S219" s="49"/>
      <c r="T219" s="49"/>
    </row>
    <row r="220">
      <c r="A220" s="49"/>
      <c r="B220" s="49"/>
      <c r="C220" s="49"/>
      <c r="D220" s="49"/>
      <c r="E220" s="49"/>
      <c r="F220" s="49"/>
      <c r="G220" s="49"/>
      <c r="H220" s="49"/>
      <c r="I220" s="49" t="str">
        <f>IFERROR(__xludf.DUMMYFUNCTION("""COMPUTED_VALUE"""),"#VALUE!")</f>
        <v>#VALUE!</v>
      </c>
      <c r="J220" s="49"/>
      <c r="K220" s="49"/>
      <c r="L220" s="49" t="s">
        <v>255</v>
      </c>
      <c r="M220" s="49"/>
      <c r="N220" s="49"/>
      <c r="O220" s="49"/>
      <c r="P220" s="49"/>
      <c r="Q220" s="49"/>
      <c r="R220" s="49"/>
      <c r="S220" s="49"/>
      <c r="T220" s="49"/>
    </row>
    <row r="221">
      <c r="A221" s="49"/>
      <c r="B221" s="49"/>
      <c r="C221" s="49"/>
      <c r="D221" s="49"/>
      <c r="E221" s="49"/>
      <c r="F221" s="49"/>
      <c r="G221" s="49"/>
      <c r="H221" s="49"/>
      <c r="I221" s="49" t="str">
        <f>IFERROR(__xludf.DUMMYFUNCTION("""COMPUTED_VALUE"""),"#VALUE!")</f>
        <v>#VALUE!</v>
      </c>
      <c r="J221" s="49"/>
      <c r="K221" s="49"/>
      <c r="L221" s="49" t="s">
        <v>255</v>
      </c>
      <c r="M221" s="49"/>
      <c r="N221" s="49"/>
      <c r="O221" s="49"/>
      <c r="P221" s="49"/>
      <c r="Q221" s="49"/>
      <c r="R221" s="49"/>
      <c r="S221" s="49"/>
      <c r="T221" s="49"/>
    </row>
    <row r="222">
      <c r="A222" s="49"/>
      <c r="B222" s="49"/>
      <c r="C222" s="49"/>
      <c r="D222" s="49"/>
      <c r="E222" s="49"/>
      <c r="F222" s="49"/>
      <c r="G222" s="49"/>
      <c r="H222" s="49"/>
      <c r="I222" s="49" t="str">
        <f>IFERROR(__xludf.DUMMYFUNCTION("""COMPUTED_VALUE"""),"#VALUE!")</f>
        <v>#VALUE!</v>
      </c>
      <c r="J222" s="49"/>
      <c r="K222" s="49"/>
      <c r="L222" s="49" t="s">
        <v>255</v>
      </c>
      <c r="M222" s="49"/>
      <c r="N222" s="49"/>
      <c r="O222" s="49"/>
      <c r="P222" s="49"/>
      <c r="Q222" s="49"/>
      <c r="R222" s="49"/>
      <c r="S222" s="49"/>
      <c r="T222" s="49"/>
    </row>
    <row r="223">
      <c r="A223" s="49"/>
      <c r="B223" s="49"/>
      <c r="C223" s="49"/>
      <c r="D223" s="49"/>
      <c r="E223" s="49"/>
      <c r="F223" s="49"/>
      <c r="G223" s="49"/>
      <c r="H223" s="49"/>
      <c r="I223" s="49" t="str">
        <f>IFERROR(__xludf.DUMMYFUNCTION("""COMPUTED_VALUE"""),"#VALUE!")</f>
        <v>#VALUE!</v>
      </c>
      <c r="J223" s="49"/>
      <c r="K223" s="49"/>
      <c r="L223" s="49" t="s">
        <v>255</v>
      </c>
      <c r="M223" s="49"/>
      <c r="N223" s="49"/>
      <c r="O223" s="49"/>
      <c r="P223" s="49"/>
      <c r="Q223" s="49"/>
      <c r="R223" s="49"/>
      <c r="S223" s="49"/>
      <c r="T223" s="49"/>
    </row>
    <row r="224">
      <c r="A224" s="49"/>
      <c r="B224" s="49"/>
      <c r="C224" s="49"/>
      <c r="D224" s="49"/>
      <c r="E224" s="49"/>
      <c r="F224" s="49"/>
      <c r="G224" s="49"/>
      <c r="H224" s="49"/>
      <c r="I224" s="49" t="str">
        <f>IFERROR(__xludf.DUMMYFUNCTION("""COMPUTED_VALUE"""),"#VALUE!")</f>
        <v>#VALUE!</v>
      </c>
      <c r="J224" s="49"/>
      <c r="K224" s="49"/>
      <c r="L224" s="49" t="s">
        <v>255</v>
      </c>
      <c r="M224" s="49"/>
      <c r="N224" s="49"/>
      <c r="O224" s="49"/>
      <c r="P224" s="49"/>
      <c r="Q224" s="49"/>
      <c r="R224" s="49"/>
      <c r="S224" s="49"/>
      <c r="T224" s="49"/>
    </row>
    <row r="225">
      <c r="A225" s="49"/>
      <c r="B225" s="49"/>
      <c r="C225" s="49"/>
      <c r="D225" s="49"/>
      <c r="E225" s="49"/>
      <c r="F225" s="49"/>
      <c r="G225" s="49"/>
      <c r="H225" s="49"/>
      <c r="I225" s="49" t="str">
        <f>IFERROR(__xludf.DUMMYFUNCTION("""COMPUTED_VALUE"""),"#VALUE!")</f>
        <v>#VALUE!</v>
      </c>
      <c r="J225" s="49"/>
      <c r="K225" s="49"/>
      <c r="L225" s="49" t="s">
        <v>255</v>
      </c>
      <c r="M225" s="49"/>
      <c r="N225" s="49"/>
      <c r="O225" s="49"/>
      <c r="P225" s="49"/>
      <c r="Q225" s="49"/>
      <c r="R225" s="49"/>
      <c r="S225" s="49"/>
      <c r="T225" s="49"/>
    </row>
    <row r="226">
      <c r="A226" s="49"/>
      <c r="B226" s="49"/>
      <c r="C226" s="49"/>
      <c r="D226" s="49"/>
      <c r="E226" s="49"/>
      <c r="F226" s="49"/>
      <c r="G226" s="49"/>
      <c r="H226" s="49"/>
      <c r="I226" s="49" t="str">
        <f>IFERROR(__xludf.DUMMYFUNCTION("""COMPUTED_VALUE"""),"#VALUE!")</f>
        <v>#VALUE!</v>
      </c>
      <c r="J226" s="49"/>
      <c r="K226" s="49"/>
      <c r="L226" s="49" t="s">
        <v>255</v>
      </c>
      <c r="M226" s="49"/>
      <c r="N226" s="49"/>
      <c r="O226" s="49"/>
      <c r="P226" s="49"/>
      <c r="Q226" s="49"/>
      <c r="R226" s="49"/>
      <c r="S226" s="49"/>
      <c r="T226" s="49"/>
    </row>
    <row r="227">
      <c r="A227" s="49"/>
      <c r="B227" s="49"/>
      <c r="C227" s="49"/>
      <c r="D227" s="49"/>
      <c r="E227" s="49"/>
      <c r="F227" s="49"/>
      <c r="G227" s="49"/>
      <c r="H227" s="49"/>
      <c r="I227" s="49" t="str">
        <f>IFERROR(__xludf.DUMMYFUNCTION("""COMPUTED_VALUE"""),"#VALUE!")</f>
        <v>#VALUE!</v>
      </c>
      <c r="J227" s="49"/>
      <c r="K227" s="49"/>
      <c r="L227" s="49" t="s">
        <v>255</v>
      </c>
      <c r="M227" s="49"/>
      <c r="N227" s="49"/>
      <c r="O227" s="49"/>
      <c r="P227" s="49"/>
      <c r="Q227" s="49"/>
      <c r="R227" s="49"/>
      <c r="S227" s="49"/>
      <c r="T227" s="49"/>
    </row>
    <row r="228">
      <c r="A228" s="49"/>
      <c r="B228" s="49"/>
      <c r="C228" s="49"/>
      <c r="D228" s="49"/>
      <c r="E228" s="49"/>
      <c r="F228" s="49"/>
      <c r="G228" s="49"/>
      <c r="H228" s="49"/>
      <c r="I228" s="49" t="str">
        <f>IFERROR(__xludf.DUMMYFUNCTION("""COMPUTED_VALUE"""),"#VALUE!")</f>
        <v>#VALUE!</v>
      </c>
      <c r="J228" s="49"/>
      <c r="K228" s="49"/>
      <c r="L228" s="49" t="s">
        <v>255</v>
      </c>
      <c r="M228" s="49"/>
      <c r="N228" s="49"/>
      <c r="O228" s="49"/>
      <c r="P228" s="49"/>
      <c r="Q228" s="49"/>
      <c r="R228" s="49"/>
      <c r="S228" s="49"/>
      <c r="T228" s="49"/>
    </row>
    <row r="229">
      <c r="A229" s="49"/>
      <c r="B229" s="49"/>
      <c r="C229" s="49"/>
      <c r="D229" s="49"/>
      <c r="E229" s="49"/>
      <c r="F229" s="49"/>
      <c r="G229" s="49"/>
      <c r="H229" s="49"/>
      <c r="I229" s="49" t="str">
        <f>IFERROR(__xludf.DUMMYFUNCTION("""COMPUTED_VALUE"""),"#VALUE!")</f>
        <v>#VALUE!</v>
      </c>
      <c r="J229" s="49"/>
      <c r="K229" s="49"/>
      <c r="L229" s="49" t="s">
        <v>255</v>
      </c>
      <c r="M229" s="49"/>
      <c r="N229" s="49"/>
      <c r="O229" s="49"/>
      <c r="P229" s="49"/>
      <c r="Q229" s="49"/>
      <c r="R229" s="49"/>
      <c r="S229" s="49"/>
      <c r="T229" s="49"/>
    </row>
    <row r="230">
      <c r="A230" s="49"/>
      <c r="B230" s="49"/>
      <c r="C230" s="49"/>
      <c r="D230" s="49"/>
      <c r="E230" s="49"/>
      <c r="F230" s="49"/>
      <c r="G230" s="49"/>
      <c r="H230" s="49"/>
      <c r="I230" s="49" t="str">
        <f>IFERROR(__xludf.DUMMYFUNCTION("""COMPUTED_VALUE"""),"#VALUE!")</f>
        <v>#VALUE!</v>
      </c>
      <c r="J230" s="49"/>
      <c r="K230" s="49"/>
      <c r="L230" s="49" t="s">
        <v>255</v>
      </c>
      <c r="M230" s="49"/>
      <c r="N230" s="49"/>
      <c r="O230" s="49"/>
      <c r="P230" s="49"/>
      <c r="Q230" s="49"/>
      <c r="R230" s="49"/>
      <c r="S230" s="49"/>
      <c r="T230" s="49"/>
    </row>
    <row r="231">
      <c r="A231" s="49"/>
      <c r="B231" s="49"/>
      <c r="C231" s="49"/>
      <c r="D231" s="49"/>
      <c r="E231" s="49"/>
      <c r="F231" s="49"/>
      <c r="G231" s="49"/>
      <c r="H231" s="49"/>
      <c r="I231" s="49" t="str">
        <f>IFERROR(__xludf.DUMMYFUNCTION("""COMPUTED_VALUE"""),"#VALUE!")</f>
        <v>#VALUE!</v>
      </c>
      <c r="J231" s="49"/>
      <c r="K231" s="49"/>
      <c r="L231" s="49" t="s">
        <v>255</v>
      </c>
      <c r="M231" s="49"/>
      <c r="N231" s="49"/>
      <c r="O231" s="49"/>
      <c r="P231" s="49"/>
      <c r="Q231" s="49"/>
      <c r="R231" s="49"/>
      <c r="S231" s="49"/>
      <c r="T231" s="49"/>
    </row>
    <row r="232">
      <c r="A232" s="49"/>
      <c r="B232" s="49"/>
      <c r="C232" s="49"/>
      <c r="D232" s="49"/>
      <c r="E232" s="49"/>
      <c r="F232" s="49"/>
      <c r="G232" s="49"/>
      <c r="H232" s="49"/>
      <c r="I232" s="49" t="str">
        <f>IFERROR(__xludf.DUMMYFUNCTION("""COMPUTED_VALUE"""),"#VALUE!")</f>
        <v>#VALUE!</v>
      </c>
      <c r="J232" s="49"/>
      <c r="K232" s="49"/>
      <c r="L232" s="49" t="s">
        <v>255</v>
      </c>
      <c r="M232" s="49"/>
      <c r="N232" s="49"/>
      <c r="O232" s="49"/>
      <c r="P232" s="49"/>
      <c r="Q232" s="49"/>
      <c r="R232" s="49"/>
      <c r="S232" s="49"/>
      <c r="T232" s="49"/>
    </row>
    <row r="233">
      <c r="A233" s="49"/>
      <c r="B233" s="49"/>
      <c r="C233" s="49"/>
      <c r="D233" s="49"/>
      <c r="E233" s="49"/>
      <c r="F233" s="49"/>
      <c r="G233" s="49"/>
      <c r="H233" s="49"/>
      <c r="I233" s="49" t="str">
        <f>IFERROR(__xludf.DUMMYFUNCTION("""COMPUTED_VALUE"""),"#VALUE!")</f>
        <v>#VALUE!</v>
      </c>
      <c r="J233" s="49"/>
      <c r="K233" s="49"/>
      <c r="L233" s="49" t="s">
        <v>255</v>
      </c>
      <c r="M233" s="49"/>
      <c r="N233" s="49"/>
      <c r="O233" s="49"/>
      <c r="P233" s="49"/>
      <c r="Q233" s="49"/>
      <c r="R233" s="49"/>
      <c r="S233" s="49"/>
      <c r="T233" s="49"/>
    </row>
    <row r="234">
      <c r="A234" s="49"/>
      <c r="B234" s="49"/>
      <c r="C234" s="49"/>
      <c r="D234" s="49"/>
      <c r="E234" s="49"/>
      <c r="F234" s="49"/>
      <c r="G234" s="49"/>
      <c r="H234" s="49"/>
      <c r="I234" s="49" t="str">
        <f>IFERROR(__xludf.DUMMYFUNCTION("""COMPUTED_VALUE"""),"#VALUE!")</f>
        <v>#VALUE!</v>
      </c>
      <c r="J234" s="49"/>
      <c r="K234" s="49"/>
      <c r="L234" s="49" t="s">
        <v>255</v>
      </c>
      <c r="M234" s="49"/>
      <c r="N234" s="49"/>
      <c r="O234" s="49"/>
      <c r="P234" s="49"/>
      <c r="Q234" s="49"/>
      <c r="R234" s="49"/>
      <c r="S234" s="49"/>
      <c r="T234" s="49"/>
    </row>
    <row r="235">
      <c r="A235" s="49"/>
      <c r="B235" s="49"/>
      <c r="C235" s="49"/>
      <c r="D235" s="49"/>
      <c r="E235" s="49"/>
      <c r="F235" s="49"/>
      <c r="G235" s="49"/>
      <c r="H235" s="49"/>
      <c r="I235" s="49" t="str">
        <f>IFERROR(__xludf.DUMMYFUNCTION("""COMPUTED_VALUE"""),"#VALUE!")</f>
        <v>#VALUE!</v>
      </c>
      <c r="J235" s="49"/>
      <c r="K235" s="49"/>
      <c r="L235" s="49" t="s">
        <v>255</v>
      </c>
      <c r="M235" s="49"/>
      <c r="N235" s="49"/>
      <c r="O235" s="49"/>
      <c r="P235" s="49"/>
      <c r="Q235" s="49"/>
      <c r="R235" s="49"/>
      <c r="S235" s="49"/>
      <c r="T235" s="49"/>
    </row>
    <row r="236">
      <c r="A236" s="49"/>
      <c r="B236" s="49"/>
      <c r="C236" s="49"/>
      <c r="D236" s="49"/>
      <c r="E236" s="49"/>
      <c r="F236" s="49"/>
      <c r="G236" s="49"/>
      <c r="H236" s="49"/>
      <c r="I236" s="49" t="str">
        <f>IFERROR(__xludf.DUMMYFUNCTION("""COMPUTED_VALUE"""),"#VALUE!")</f>
        <v>#VALUE!</v>
      </c>
      <c r="J236" s="49"/>
      <c r="K236" s="49"/>
      <c r="L236" s="49" t="s">
        <v>255</v>
      </c>
      <c r="M236" s="49"/>
      <c r="N236" s="49"/>
      <c r="O236" s="49"/>
      <c r="P236" s="49"/>
      <c r="Q236" s="49"/>
      <c r="R236" s="49"/>
      <c r="S236" s="49"/>
      <c r="T236" s="49"/>
    </row>
    <row r="237">
      <c r="A237" s="49"/>
      <c r="B237" s="49"/>
      <c r="C237" s="49"/>
      <c r="D237" s="49"/>
      <c r="E237" s="49"/>
      <c r="F237" s="49"/>
      <c r="G237" s="49"/>
      <c r="H237" s="49"/>
      <c r="I237" s="49" t="str">
        <f>IFERROR(__xludf.DUMMYFUNCTION("""COMPUTED_VALUE"""),"#VALUE!")</f>
        <v>#VALUE!</v>
      </c>
      <c r="J237" s="49"/>
      <c r="K237" s="49"/>
      <c r="L237" s="49" t="s">
        <v>255</v>
      </c>
      <c r="M237" s="49"/>
      <c r="N237" s="49"/>
      <c r="O237" s="49"/>
      <c r="P237" s="49"/>
      <c r="Q237" s="49"/>
      <c r="R237" s="49"/>
      <c r="S237" s="49"/>
      <c r="T237" s="49"/>
    </row>
    <row r="238">
      <c r="A238" s="49"/>
      <c r="B238" s="49"/>
      <c r="C238" s="49"/>
      <c r="D238" s="49"/>
      <c r="E238" s="49"/>
      <c r="F238" s="49"/>
      <c r="G238" s="49"/>
      <c r="H238" s="49"/>
      <c r="I238" s="49" t="str">
        <f>IFERROR(__xludf.DUMMYFUNCTION("""COMPUTED_VALUE"""),"#VALUE!")</f>
        <v>#VALUE!</v>
      </c>
      <c r="J238" s="49"/>
      <c r="K238" s="49"/>
      <c r="L238" s="49" t="s">
        <v>255</v>
      </c>
      <c r="M238" s="49"/>
      <c r="N238" s="49"/>
      <c r="O238" s="49"/>
      <c r="P238" s="49"/>
      <c r="Q238" s="49"/>
      <c r="R238" s="49"/>
      <c r="S238" s="49"/>
      <c r="T238" s="49"/>
    </row>
    <row r="239">
      <c r="A239" s="49"/>
      <c r="B239" s="49"/>
      <c r="C239" s="49"/>
      <c r="D239" s="49"/>
      <c r="E239" s="49"/>
      <c r="F239" s="49"/>
      <c r="G239" s="49"/>
      <c r="H239" s="49"/>
      <c r="I239" s="49" t="str">
        <f>IFERROR(__xludf.DUMMYFUNCTION("""COMPUTED_VALUE"""),"#VALUE!")</f>
        <v>#VALUE!</v>
      </c>
      <c r="J239" s="49"/>
      <c r="K239" s="49"/>
      <c r="L239" s="49" t="s">
        <v>255</v>
      </c>
      <c r="M239" s="49"/>
      <c r="N239" s="49"/>
      <c r="O239" s="49"/>
      <c r="P239" s="49"/>
      <c r="Q239" s="49"/>
      <c r="R239" s="49"/>
      <c r="S239" s="49"/>
      <c r="T239" s="49"/>
    </row>
    <row r="240">
      <c r="A240" s="49"/>
      <c r="B240" s="49"/>
      <c r="C240" s="49"/>
      <c r="D240" s="49"/>
      <c r="E240" s="49"/>
      <c r="F240" s="49"/>
      <c r="G240" s="49"/>
      <c r="H240" s="49"/>
      <c r="I240" s="49" t="str">
        <f>IFERROR(__xludf.DUMMYFUNCTION("""COMPUTED_VALUE"""),"#VALUE!")</f>
        <v>#VALUE!</v>
      </c>
      <c r="J240" s="49"/>
      <c r="K240" s="49"/>
      <c r="L240" s="49" t="s">
        <v>255</v>
      </c>
      <c r="M240" s="49"/>
      <c r="N240" s="49"/>
      <c r="O240" s="49"/>
      <c r="P240" s="49"/>
      <c r="Q240" s="49"/>
      <c r="R240" s="49"/>
      <c r="S240" s="49"/>
      <c r="T240" s="49"/>
    </row>
    <row r="241">
      <c r="A241" s="49"/>
      <c r="B241" s="49"/>
      <c r="C241" s="49"/>
      <c r="D241" s="49"/>
      <c r="E241" s="49"/>
      <c r="F241" s="49"/>
      <c r="G241" s="49"/>
      <c r="H241" s="49"/>
      <c r="I241" s="49" t="str">
        <f>IFERROR(__xludf.DUMMYFUNCTION("""COMPUTED_VALUE"""),"#VALUE!")</f>
        <v>#VALUE!</v>
      </c>
      <c r="J241" s="49"/>
      <c r="K241" s="49"/>
      <c r="L241" s="49" t="s">
        <v>255</v>
      </c>
      <c r="M241" s="49"/>
      <c r="N241" s="49"/>
      <c r="O241" s="49"/>
      <c r="P241" s="49"/>
      <c r="Q241" s="49"/>
      <c r="R241" s="49"/>
      <c r="S241" s="49"/>
      <c r="T241" s="49"/>
    </row>
    <row r="242">
      <c r="A242" s="49"/>
      <c r="B242" s="49"/>
      <c r="C242" s="49"/>
      <c r="D242" s="49"/>
      <c r="E242" s="49"/>
      <c r="F242" s="49"/>
      <c r="G242" s="49"/>
      <c r="H242" s="49"/>
      <c r="I242" s="49" t="str">
        <f>IFERROR(__xludf.DUMMYFUNCTION("""COMPUTED_VALUE"""),"#VALUE!")</f>
        <v>#VALUE!</v>
      </c>
      <c r="J242" s="49"/>
      <c r="K242" s="49"/>
      <c r="L242" s="49" t="s">
        <v>255</v>
      </c>
      <c r="M242" s="49"/>
      <c r="N242" s="49"/>
      <c r="O242" s="49"/>
      <c r="P242" s="49"/>
      <c r="Q242" s="49"/>
      <c r="R242" s="49"/>
      <c r="S242" s="49"/>
      <c r="T242" s="49"/>
    </row>
    <row r="243">
      <c r="A243" s="49"/>
      <c r="B243" s="49"/>
      <c r="C243" s="49"/>
      <c r="D243" s="49"/>
      <c r="E243" s="49"/>
      <c r="F243" s="49"/>
      <c r="G243" s="49"/>
      <c r="H243" s="49"/>
      <c r="I243" s="49" t="str">
        <f>IFERROR(__xludf.DUMMYFUNCTION("""COMPUTED_VALUE"""),"#VALUE!")</f>
        <v>#VALUE!</v>
      </c>
      <c r="J243" s="49"/>
      <c r="K243" s="49"/>
      <c r="L243" s="49" t="s">
        <v>255</v>
      </c>
      <c r="M243" s="49"/>
      <c r="N243" s="49"/>
      <c r="O243" s="49"/>
      <c r="P243" s="49"/>
      <c r="Q243" s="49"/>
      <c r="R243" s="49"/>
      <c r="S243" s="49"/>
      <c r="T243" s="49"/>
    </row>
    <row r="244">
      <c r="A244" s="49"/>
      <c r="B244" s="49"/>
      <c r="C244" s="49"/>
      <c r="D244" s="49"/>
      <c r="E244" s="49"/>
      <c r="F244" s="49"/>
      <c r="G244" s="49"/>
      <c r="H244" s="49"/>
      <c r="I244" s="49" t="str">
        <f>IFERROR(__xludf.DUMMYFUNCTION("""COMPUTED_VALUE"""),"#VALUE!")</f>
        <v>#VALUE!</v>
      </c>
      <c r="J244" s="49"/>
      <c r="K244" s="49"/>
      <c r="L244" s="49" t="s">
        <v>255</v>
      </c>
      <c r="M244" s="49"/>
      <c r="N244" s="49"/>
      <c r="O244" s="49"/>
      <c r="P244" s="49"/>
      <c r="Q244" s="49"/>
      <c r="R244" s="49"/>
      <c r="S244" s="49"/>
      <c r="T244" s="49"/>
    </row>
    <row r="245">
      <c r="A245" s="49"/>
      <c r="B245" s="49"/>
      <c r="C245" s="49"/>
      <c r="D245" s="49"/>
      <c r="E245" s="49"/>
      <c r="F245" s="49"/>
      <c r="G245" s="49"/>
      <c r="H245" s="49"/>
      <c r="I245" s="49" t="str">
        <f>IFERROR(__xludf.DUMMYFUNCTION("""COMPUTED_VALUE"""),"#VALUE!")</f>
        <v>#VALUE!</v>
      </c>
      <c r="J245" s="49"/>
      <c r="K245" s="49"/>
      <c r="L245" s="49" t="s">
        <v>255</v>
      </c>
      <c r="M245" s="49"/>
      <c r="N245" s="49"/>
      <c r="O245" s="49"/>
      <c r="P245" s="49"/>
      <c r="Q245" s="49"/>
      <c r="R245" s="49"/>
      <c r="S245" s="49"/>
      <c r="T245" s="49"/>
    </row>
    <row r="246">
      <c r="A246" s="49"/>
      <c r="B246" s="49"/>
      <c r="C246" s="49"/>
      <c r="D246" s="49"/>
      <c r="E246" s="49"/>
      <c r="F246" s="49"/>
      <c r="G246" s="49"/>
      <c r="H246" s="49"/>
      <c r="I246" s="49" t="str">
        <f>IFERROR(__xludf.DUMMYFUNCTION("""COMPUTED_VALUE"""),"#VALUE!")</f>
        <v>#VALUE!</v>
      </c>
      <c r="J246" s="49"/>
      <c r="K246" s="49"/>
      <c r="L246" s="49" t="s">
        <v>255</v>
      </c>
      <c r="M246" s="49"/>
      <c r="N246" s="49"/>
      <c r="O246" s="49"/>
      <c r="P246" s="49"/>
      <c r="Q246" s="49"/>
      <c r="R246" s="49"/>
      <c r="S246" s="49"/>
      <c r="T246" s="49"/>
    </row>
    <row r="247">
      <c r="A247" s="49"/>
      <c r="B247" s="49"/>
      <c r="C247" s="49"/>
      <c r="D247" s="49"/>
      <c r="E247" s="49"/>
      <c r="F247" s="49"/>
      <c r="G247" s="49"/>
      <c r="H247" s="49"/>
      <c r="I247" s="49" t="str">
        <f>IFERROR(__xludf.DUMMYFUNCTION("""COMPUTED_VALUE"""),"#VALUE!")</f>
        <v>#VALUE!</v>
      </c>
      <c r="J247" s="49"/>
      <c r="K247" s="49"/>
      <c r="L247" s="49" t="s">
        <v>255</v>
      </c>
      <c r="M247" s="49"/>
      <c r="N247" s="49"/>
      <c r="O247" s="49"/>
      <c r="P247" s="49"/>
      <c r="Q247" s="49"/>
      <c r="R247" s="49"/>
      <c r="S247" s="49"/>
      <c r="T247" s="49"/>
    </row>
    <row r="248">
      <c r="A248" s="49"/>
      <c r="B248" s="49"/>
      <c r="C248" s="49"/>
      <c r="D248" s="49"/>
      <c r="E248" s="49"/>
      <c r="F248" s="49"/>
      <c r="G248" s="49"/>
      <c r="H248" s="49"/>
      <c r="I248" s="49" t="str">
        <f>IFERROR(__xludf.DUMMYFUNCTION("""COMPUTED_VALUE"""),"#VALUE!")</f>
        <v>#VALUE!</v>
      </c>
      <c r="J248" s="49"/>
      <c r="K248" s="49"/>
      <c r="L248" s="49" t="s">
        <v>255</v>
      </c>
      <c r="M248" s="49"/>
      <c r="N248" s="49"/>
      <c r="O248" s="49"/>
      <c r="P248" s="49"/>
      <c r="Q248" s="49"/>
      <c r="R248" s="49"/>
      <c r="S248" s="49"/>
      <c r="T248" s="49"/>
    </row>
    <row r="249">
      <c r="A249" s="49"/>
      <c r="B249" s="49"/>
      <c r="C249" s="49"/>
      <c r="D249" s="49"/>
      <c r="E249" s="49"/>
      <c r="F249" s="49"/>
      <c r="G249" s="49"/>
      <c r="H249" s="49"/>
      <c r="I249" s="49" t="str">
        <f>IFERROR(__xludf.DUMMYFUNCTION("""COMPUTED_VALUE"""),"#VALUE!")</f>
        <v>#VALUE!</v>
      </c>
      <c r="J249" s="49"/>
      <c r="K249" s="49"/>
      <c r="L249" s="49" t="s">
        <v>255</v>
      </c>
      <c r="M249" s="49"/>
      <c r="N249" s="49"/>
      <c r="O249" s="49"/>
      <c r="P249" s="49"/>
      <c r="Q249" s="49"/>
      <c r="R249" s="49"/>
      <c r="S249" s="49"/>
      <c r="T249" s="49"/>
    </row>
    <row r="250">
      <c r="A250" s="49"/>
      <c r="B250" s="49"/>
      <c r="C250" s="49"/>
      <c r="D250" s="49"/>
      <c r="E250" s="49"/>
      <c r="F250" s="49"/>
      <c r="G250" s="49"/>
      <c r="H250" s="49"/>
      <c r="I250" s="49" t="str">
        <f>IFERROR(__xludf.DUMMYFUNCTION("""COMPUTED_VALUE"""),"#VALUE!")</f>
        <v>#VALUE!</v>
      </c>
      <c r="J250" s="49"/>
      <c r="K250" s="49"/>
      <c r="L250" s="49" t="s">
        <v>255</v>
      </c>
      <c r="M250" s="49"/>
      <c r="N250" s="49"/>
      <c r="O250" s="49"/>
      <c r="P250" s="49"/>
      <c r="Q250" s="49"/>
      <c r="R250" s="49"/>
      <c r="S250" s="49"/>
      <c r="T250" s="49"/>
    </row>
    <row r="251">
      <c r="A251" s="49"/>
      <c r="B251" s="49"/>
      <c r="C251" s="49"/>
      <c r="D251" s="49"/>
      <c r="E251" s="49"/>
      <c r="F251" s="49"/>
      <c r="G251" s="49"/>
      <c r="H251" s="49"/>
      <c r="I251" s="49" t="str">
        <f>IFERROR(__xludf.DUMMYFUNCTION("""COMPUTED_VALUE"""),"#VALUE!")</f>
        <v>#VALUE!</v>
      </c>
      <c r="J251" s="49"/>
      <c r="K251" s="49"/>
      <c r="L251" s="49" t="s">
        <v>255</v>
      </c>
      <c r="M251" s="49"/>
      <c r="N251" s="49"/>
      <c r="O251" s="49"/>
      <c r="P251" s="49"/>
      <c r="Q251" s="49"/>
      <c r="R251" s="49"/>
      <c r="S251" s="49"/>
      <c r="T251" s="49"/>
    </row>
    <row r="252">
      <c r="A252" s="49"/>
      <c r="B252" s="49"/>
      <c r="C252" s="49"/>
      <c r="D252" s="49"/>
      <c r="E252" s="49"/>
      <c r="F252" s="49"/>
      <c r="G252" s="49"/>
      <c r="H252" s="49"/>
      <c r="I252" s="49" t="str">
        <f>IFERROR(__xludf.DUMMYFUNCTION("""COMPUTED_VALUE"""),"#VALUE!")</f>
        <v>#VALUE!</v>
      </c>
      <c r="J252" s="49"/>
      <c r="K252" s="49"/>
      <c r="L252" s="49" t="s">
        <v>255</v>
      </c>
      <c r="M252" s="49"/>
      <c r="N252" s="49"/>
      <c r="O252" s="49"/>
      <c r="P252" s="49"/>
      <c r="Q252" s="49"/>
      <c r="R252" s="49"/>
      <c r="S252" s="49"/>
      <c r="T252" s="49"/>
    </row>
    <row r="253">
      <c r="A253" s="49"/>
      <c r="B253" s="49"/>
      <c r="C253" s="49"/>
      <c r="D253" s="49"/>
      <c r="E253" s="49"/>
      <c r="F253" s="49"/>
      <c r="G253" s="49"/>
      <c r="H253" s="49"/>
      <c r="I253" s="49" t="str">
        <f>IFERROR(__xludf.DUMMYFUNCTION("""COMPUTED_VALUE"""),"#VALUE!")</f>
        <v>#VALUE!</v>
      </c>
      <c r="J253" s="49"/>
      <c r="K253" s="49"/>
      <c r="L253" s="49" t="s">
        <v>255</v>
      </c>
      <c r="M253" s="49"/>
      <c r="N253" s="49"/>
      <c r="O253" s="49"/>
      <c r="P253" s="49"/>
      <c r="Q253" s="49"/>
      <c r="R253" s="49"/>
      <c r="S253" s="49"/>
      <c r="T253" s="49"/>
    </row>
    <row r="254">
      <c r="A254" s="49"/>
      <c r="B254" s="49"/>
      <c r="C254" s="49"/>
      <c r="D254" s="49"/>
      <c r="E254" s="49"/>
      <c r="F254" s="49"/>
      <c r="G254" s="49"/>
      <c r="H254" s="49"/>
      <c r="I254" s="49" t="str">
        <f>IFERROR(__xludf.DUMMYFUNCTION("""COMPUTED_VALUE"""),"#VALUE!")</f>
        <v>#VALUE!</v>
      </c>
      <c r="J254" s="49"/>
      <c r="K254" s="49"/>
      <c r="L254" s="49" t="s">
        <v>255</v>
      </c>
      <c r="M254" s="49"/>
      <c r="N254" s="49"/>
      <c r="O254" s="49"/>
      <c r="P254" s="49"/>
      <c r="Q254" s="49"/>
      <c r="R254" s="49"/>
      <c r="S254" s="49"/>
      <c r="T254" s="49"/>
    </row>
    <row r="255">
      <c r="A255" s="49"/>
      <c r="B255" s="49"/>
      <c r="C255" s="49"/>
      <c r="D255" s="49"/>
      <c r="E255" s="49"/>
      <c r="F255" s="49"/>
      <c r="G255" s="49"/>
      <c r="H255" s="49"/>
      <c r="I255" s="49" t="str">
        <f>IFERROR(__xludf.DUMMYFUNCTION("""COMPUTED_VALUE"""),"#VALUE!")</f>
        <v>#VALUE!</v>
      </c>
      <c r="J255" s="49"/>
      <c r="K255" s="49"/>
      <c r="L255" s="49" t="s">
        <v>255</v>
      </c>
      <c r="M255" s="49"/>
      <c r="N255" s="49"/>
      <c r="O255" s="49"/>
      <c r="P255" s="49"/>
      <c r="Q255" s="49"/>
      <c r="R255" s="49"/>
      <c r="S255" s="49"/>
      <c r="T255" s="49"/>
    </row>
    <row r="256">
      <c r="A256" s="49"/>
      <c r="B256" s="49"/>
      <c r="C256" s="49"/>
      <c r="D256" s="49"/>
      <c r="E256" s="49"/>
      <c r="F256" s="49"/>
      <c r="G256" s="49"/>
      <c r="H256" s="49"/>
      <c r="I256" s="49" t="str">
        <f>IFERROR(__xludf.DUMMYFUNCTION("""COMPUTED_VALUE"""),"#VALUE!")</f>
        <v>#VALUE!</v>
      </c>
      <c r="J256" s="49"/>
      <c r="K256" s="49"/>
      <c r="L256" s="49" t="s">
        <v>255</v>
      </c>
      <c r="M256" s="49"/>
      <c r="N256" s="49"/>
      <c r="O256" s="49"/>
      <c r="P256" s="49"/>
      <c r="Q256" s="49"/>
      <c r="R256" s="49"/>
      <c r="S256" s="49"/>
      <c r="T256" s="49"/>
    </row>
    <row r="257">
      <c r="A257" s="49"/>
      <c r="B257" s="49"/>
      <c r="C257" s="49"/>
      <c r="D257" s="49"/>
      <c r="E257" s="49"/>
      <c r="F257" s="49"/>
      <c r="G257" s="49"/>
      <c r="H257" s="49"/>
      <c r="I257" s="49" t="str">
        <f>IFERROR(__xludf.DUMMYFUNCTION("""COMPUTED_VALUE"""),"#VALUE!")</f>
        <v>#VALUE!</v>
      </c>
      <c r="J257" s="49"/>
      <c r="K257" s="49"/>
      <c r="L257" s="49" t="s">
        <v>255</v>
      </c>
      <c r="M257" s="49"/>
      <c r="N257" s="49"/>
      <c r="O257" s="49"/>
      <c r="P257" s="49"/>
      <c r="Q257" s="49"/>
      <c r="R257" s="49"/>
      <c r="S257" s="49"/>
      <c r="T257" s="49"/>
    </row>
    <row r="258">
      <c r="A258" s="49"/>
      <c r="B258" s="49"/>
      <c r="C258" s="49"/>
      <c r="D258" s="49"/>
      <c r="E258" s="49"/>
      <c r="F258" s="49"/>
      <c r="G258" s="49"/>
      <c r="H258" s="49"/>
      <c r="I258" s="49" t="str">
        <f>IFERROR(__xludf.DUMMYFUNCTION("""COMPUTED_VALUE"""),"#VALUE!")</f>
        <v>#VALUE!</v>
      </c>
      <c r="J258" s="49"/>
      <c r="K258" s="49"/>
      <c r="L258" s="49" t="s">
        <v>255</v>
      </c>
      <c r="M258" s="49"/>
      <c r="N258" s="49"/>
      <c r="O258" s="49"/>
      <c r="P258" s="49"/>
      <c r="Q258" s="49"/>
      <c r="R258" s="49"/>
      <c r="S258" s="49"/>
      <c r="T258" s="49"/>
    </row>
    <row r="259">
      <c r="A259" s="49"/>
      <c r="B259" s="49"/>
      <c r="C259" s="49"/>
      <c r="D259" s="49"/>
      <c r="E259" s="49"/>
      <c r="F259" s="49"/>
      <c r="G259" s="49"/>
      <c r="H259" s="49"/>
      <c r="I259" s="49" t="str">
        <f>IFERROR(__xludf.DUMMYFUNCTION("""COMPUTED_VALUE"""),"#VALUE!")</f>
        <v>#VALUE!</v>
      </c>
      <c r="J259" s="49"/>
      <c r="K259" s="49"/>
      <c r="L259" s="49" t="s">
        <v>255</v>
      </c>
      <c r="M259" s="49"/>
      <c r="N259" s="49"/>
      <c r="O259" s="49"/>
      <c r="P259" s="49"/>
      <c r="Q259" s="49"/>
      <c r="R259" s="49"/>
      <c r="S259" s="49"/>
      <c r="T259" s="49"/>
    </row>
    <row r="260">
      <c r="A260" s="49"/>
      <c r="B260" s="49"/>
      <c r="C260" s="49"/>
      <c r="D260" s="49"/>
      <c r="E260" s="49"/>
      <c r="F260" s="49"/>
      <c r="G260" s="49"/>
      <c r="H260" s="49"/>
      <c r="I260" s="49" t="str">
        <f>IFERROR(__xludf.DUMMYFUNCTION("""COMPUTED_VALUE"""),"#VALUE!")</f>
        <v>#VALUE!</v>
      </c>
      <c r="J260" s="49"/>
      <c r="K260" s="49"/>
      <c r="L260" s="49" t="s">
        <v>255</v>
      </c>
      <c r="M260" s="49"/>
      <c r="N260" s="49"/>
      <c r="O260" s="49"/>
      <c r="P260" s="49"/>
      <c r="Q260" s="49"/>
      <c r="R260" s="49"/>
      <c r="S260" s="49"/>
      <c r="T260" s="49"/>
    </row>
    <row r="261">
      <c r="A261" s="49"/>
      <c r="B261" s="49"/>
      <c r="C261" s="49"/>
      <c r="D261" s="49"/>
      <c r="E261" s="49"/>
      <c r="F261" s="49"/>
      <c r="G261" s="49"/>
      <c r="H261" s="49"/>
      <c r="I261" s="49" t="str">
        <f>IFERROR(__xludf.DUMMYFUNCTION("""COMPUTED_VALUE"""),"#VALUE!")</f>
        <v>#VALUE!</v>
      </c>
      <c r="J261" s="49"/>
      <c r="K261" s="49"/>
      <c r="L261" s="49" t="s">
        <v>255</v>
      </c>
      <c r="M261" s="49"/>
      <c r="N261" s="49"/>
      <c r="O261" s="49"/>
      <c r="P261" s="49"/>
      <c r="Q261" s="49"/>
      <c r="R261" s="49"/>
      <c r="S261" s="49"/>
      <c r="T261" s="49"/>
    </row>
    <row r="262">
      <c r="A262" s="49"/>
      <c r="B262" s="49"/>
      <c r="C262" s="49"/>
      <c r="D262" s="49"/>
      <c r="E262" s="49"/>
      <c r="F262" s="49"/>
      <c r="G262" s="49"/>
      <c r="H262" s="49"/>
      <c r="I262" s="49" t="str">
        <f>IFERROR(__xludf.DUMMYFUNCTION("""COMPUTED_VALUE"""),"#VALUE!")</f>
        <v>#VALUE!</v>
      </c>
      <c r="J262" s="49"/>
      <c r="K262" s="49"/>
      <c r="L262" s="49" t="s">
        <v>255</v>
      </c>
      <c r="M262" s="49"/>
      <c r="N262" s="49"/>
      <c r="O262" s="49"/>
      <c r="P262" s="49"/>
      <c r="Q262" s="49"/>
      <c r="R262" s="49"/>
      <c r="S262" s="49"/>
      <c r="T262" s="49"/>
    </row>
    <row r="263">
      <c r="A263" s="49"/>
      <c r="B263" s="49"/>
      <c r="C263" s="49"/>
      <c r="D263" s="49"/>
      <c r="E263" s="49"/>
      <c r="F263" s="49"/>
      <c r="G263" s="49"/>
      <c r="H263" s="49"/>
      <c r="I263" s="49" t="str">
        <f>IFERROR(__xludf.DUMMYFUNCTION("""COMPUTED_VALUE"""),"#VALUE!")</f>
        <v>#VALUE!</v>
      </c>
      <c r="J263" s="49"/>
      <c r="K263" s="49"/>
      <c r="L263" s="49" t="s">
        <v>255</v>
      </c>
      <c r="M263" s="49"/>
      <c r="N263" s="49"/>
      <c r="O263" s="49"/>
      <c r="P263" s="49"/>
      <c r="Q263" s="49"/>
      <c r="R263" s="49"/>
      <c r="S263" s="49"/>
      <c r="T263" s="49"/>
    </row>
    <row r="264">
      <c r="A264" s="49"/>
      <c r="B264" s="49"/>
      <c r="C264" s="49"/>
      <c r="D264" s="49"/>
      <c r="E264" s="49"/>
      <c r="F264" s="49"/>
      <c r="G264" s="49"/>
      <c r="H264" s="49"/>
      <c r="I264" s="49" t="str">
        <f>IFERROR(__xludf.DUMMYFUNCTION("""COMPUTED_VALUE"""),"#VALUE!")</f>
        <v>#VALUE!</v>
      </c>
      <c r="J264" s="49"/>
      <c r="K264" s="49"/>
      <c r="L264" s="49" t="s">
        <v>255</v>
      </c>
      <c r="M264" s="49"/>
      <c r="N264" s="49"/>
      <c r="O264" s="49"/>
      <c r="P264" s="49"/>
      <c r="Q264" s="49"/>
      <c r="R264" s="49"/>
      <c r="S264" s="49"/>
      <c r="T264" s="49"/>
    </row>
    <row r="265">
      <c r="A265" s="49"/>
      <c r="B265" s="49"/>
      <c r="C265" s="49"/>
      <c r="D265" s="49"/>
      <c r="E265" s="49"/>
      <c r="F265" s="49"/>
      <c r="G265" s="49"/>
      <c r="H265" s="49"/>
      <c r="I265" s="49" t="str">
        <f>IFERROR(__xludf.DUMMYFUNCTION("""COMPUTED_VALUE"""),"#VALUE!")</f>
        <v>#VALUE!</v>
      </c>
      <c r="J265" s="49"/>
      <c r="K265" s="49"/>
      <c r="L265" s="49" t="s">
        <v>255</v>
      </c>
      <c r="M265" s="49"/>
      <c r="N265" s="49"/>
      <c r="O265" s="49"/>
      <c r="P265" s="49"/>
      <c r="Q265" s="49"/>
      <c r="R265" s="49"/>
      <c r="S265" s="49"/>
      <c r="T265" s="49"/>
    </row>
    <row r="266">
      <c r="A266" s="49"/>
      <c r="B266" s="49"/>
      <c r="C266" s="49"/>
      <c r="D266" s="49"/>
      <c r="E266" s="49"/>
      <c r="F266" s="49"/>
      <c r="G266" s="49"/>
      <c r="H266" s="49"/>
      <c r="I266" s="49" t="str">
        <f>IFERROR(__xludf.DUMMYFUNCTION("""COMPUTED_VALUE"""),"#VALUE!")</f>
        <v>#VALUE!</v>
      </c>
      <c r="J266" s="49"/>
      <c r="K266" s="49"/>
      <c r="L266" s="49" t="s">
        <v>255</v>
      </c>
      <c r="M266" s="49"/>
      <c r="N266" s="49"/>
      <c r="O266" s="49"/>
      <c r="P266" s="49"/>
      <c r="Q266" s="49"/>
      <c r="R266" s="49"/>
      <c r="S266" s="49"/>
      <c r="T266" s="49"/>
    </row>
    <row r="267">
      <c r="A267" s="49"/>
      <c r="B267" s="49"/>
      <c r="C267" s="49"/>
      <c r="D267" s="49"/>
      <c r="E267" s="49"/>
      <c r="F267" s="49"/>
      <c r="G267" s="49"/>
      <c r="H267" s="49"/>
      <c r="I267" s="49" t="str">
        <f>IFERROR(__xludf.DUMMYFUNCTION("""COMPUTED_VALUE"""),"#VALUE!")</f>
        <v>#VALUE!</v>
      </c>
      <c r="J267" s="49"/>
      <c r="K267" s="49"/>
      <c r="L267" s="49" t="s">
        <v>255</v>
      </c>
      <c r="M267" s="49"/>
      <c r="N267" s="49"/>
      <c r="O267" s="49"/>
      <c r="P267" s="49"/>
      <c r="Q267" s="49"/>
      <c r="R267" s="49"/>
      <c r="S267" s="49"/>
      <c r="T267" s="49"/>
    </row>
    <row r="268">
      <c r="A268" s="49"/>
      <c r="B268" s="49"/>
      <c r="C268" s="49"/>
      <c r="D268" s="49"/>
      <c r="E268" s="49"/>
      <c r="F268" s="49"/>
      <c r="G268" s="49"/>
      <c r="H268" s="49"/>
      <c r="I268" s="49" t="str">
        <f>IFERROR(__xludf.DUMMYFUNCTION("""COMPUTED_VALUE"""),"#VALUE!")</f>
        <v>#VALUE!</v>
      </c>
      <c r="J268" s="49"/>
      <c r="K268" s="49"/>
      <c r="L268" s="49" t="s">
        <v>255</v>
      </c>
      <c r="M268" s="49"/>
      <c r="N268" s="49"/>
      <c r="O268" s="49"/>
      <c r="P268" s="49"/>
      <c r="Q268" s="49"/>
      <c r="R268" s="49"/>
      <c r="S268" s="49"/>
      <c r="T268" s="49"/>
    </row>
    <row r="269">
      <c r="A269" s="49"/>
      <c r="B269" s="49"/>
      <c r="C269" s="49"/>
      <c r="D269" s="49"/>
      <c r="E269" s="49"/>
      <c r="F269" s="49"/>
      <c r="G269" s="49"/>
      <c r="H269" s="49"/>
      <c r="I269" s="49" t="str">
        <f>IFERROR(__xludf.DUMMYFUNCTION("""COMPUTED_VALUE"""),"#VALUE!")</f>
        <v>#VALUE!</v>
      </c>
      <c r="J269" s="49"/>
      <c r="K269" s="49"/>
      <c r="L269" s="49" t="s">
        <v>255</v>
      </c>
      <c r="M269" s="49"/>
      <c r="N269" s="49"/>
      <c r="O269" s="49"/>
      <c r="P269" s="49"/>
      <c r="Q269" s="49"/>
      <c r="R269" s="49"/>
      <c r="S269" s="49"/>
      <c r="T269" s="49"/>
    </row>
    <row r="270">
      <c r="A270" s="49"/>
      <c r="B270" s="49"/>
      <c r="C270" s="49"/>
      <c r="D270" s="49"/>
      <c r="E270" s="49"/>
      <c r="F270" s="49"/>
      <c r="G270" s="49"/>
      <c r="H270" s="49"/>
      <c r="I270" s="49" t="str">
        <f>IFERROR(__xludf.DUMMYFUNCTION("""COMPUTED_VALUE"""),"#VALUE!")</f>
        <v>#VALUE!</v>
      </c>
      <c r="J270" s="49"/>
      <c r="K270" s="49"/>
      <c r="L270" s="49" t="s">
        <v>255</v>
      </c>
      <c r="M270" s="49"/>
      <c r="N270" s="49"/>
      <c r="O270" s="49"/>
      <c r="P270" s="49"/>
      <c r="Q270" s="49"/>
      <c r="R270" s="49"/>
      <c r="S270" s="49"/>
      <c r="T270" s="49"/>
    </row>
    <row r="271">
      <c r="A271" s="49"/>
      <c r="B271" s="49"/>
      <c r="C271" s="49"/>
      <c r="D271" s="49"/>
      <c r="E271" s="49"/>
      <c r="F271" s="49"/>
      <c r="G271" s="49"/>
      <c r="H271" s="49"/>
      <c r="I271" s="49" t="str">
        <f>IFERROR(__xludf.DUMMYFUNCTION("""COMPUTED_VALUE"""),"#VALUE!")</f>
        <v>#VALUE!</v>
      </c>
      <c r="J271" s="49"/>
      <c r="K271" s="49"/>
      <c r="L271" s="49" t="s">
        <v>255</v>
      </c>
      <c r="M271" s="49"/>
      <c r="N271" s="49"/>
      <c r="O271" s="49"/>
      <c r="P271" s="49"/>
      <c r="Q271" s="49"/>
      <c r="R271" s="49"/>
      <c r="S271" s="49"/>
      <c r="T271" s="49"/>
    </row>
    <row r="272">
      <c r="A272" s="49"/>
      <c r="B272" s="49"/>
      <c r="C272" s="49"/>
      <c r="D272" s="49"/>
      <c r="E272" s="49"/>
      <c r="F272" s="49"/>
      <c r="G272" s="49"/>
      <c r="H272" s="49"/>
      <c r="I272" s="49" t="str">
        <f>IFERROR(__xludf.DUMMYFUNCTION("""COMPUTED_VALUE"""),"#VALUE!")</f>
        <v>#VALUE!</v>
      </c>
      <c r="J272" s="49"/>
      <c r="K272" s="49"/>
      <c r="L272" s="49" t="s">
        <v>255</v>
      </c>
      <c r="M272" s="49"/>
      <c r="N272" s="49"/>
      <c r="O272" s="49"/>
      <c r="P272" s="49"/>
      <c r="Q272" s="49"/>
      <c r="R272" s="49"/>
      <c r="S272" s="49"/>
      <c r="T272" s="49"/>
    </row>
    <row r="273">
      <c r="A273" s="49"/>
      <c r="B273" s="49"/>
      <c r="C273" s="49"/>
      <c r="D273" s="49"/>
      <c r="E273" s="49"/>
      <c r="F273" s="49"/>
      <c r="G273" s="49"/>
      <c r="H273" s="49"/>
      <c r="I273" s="49" t="str">
        <f>IFERROR(__xludf.DUMMYFUNCTION("""COMPUTED_VALUE"""),"#VALUE!")</f>
        <v>#VALUE!</v>
      </c>
      <c r="J273" s="49"/>
      <c r="K273" s="49"/>
      <c r="L273" s="49" t="s">
        <v>255</v>
      </c>
      <c r="M273" s="49"/>
      <c r="N273" s="49"/>
      <c r="O273" s="49"/>
      <c r="P273" s="49"/>
      <c r="Q273" s="49"/>
      <c r="R273" s="49"/>
      <c r="S273" s="49"/>
      <c r="T273" s="49"/>
    </row>
    <row r="274">
      <c r="A274" s="49"/>
      <c r="B274" s="49"/>
      <c r="C274" s="49"/>
      <c r="D274" s="49"/>
      <c r="E274" s="49"/>
      <c r="F274" s="49"/>
      <c r="G274" s="49"/>
      <c r="H274" s="49"/>
      <c r="I274" s="49" t="str">
        <f>IFERROR(__xludf.DUMMYFUNCTION("""COMPUTED_VALUE"""),"#VALUE!")</f>
        <v>#VALUE!</v>
      </c>
      <c r="J274" s="49"/>
      <c r="K274" s="49"/>
      <c r="L274" s="49" t="s">
        <v>255</v>
      </c>
      <c r="M274" s="49"/>
      <c r="N274" s="49"/>
      <c r="O274" s="49"/>
      <c r="P274" s="49"/>
      <c r="Q274" s="49"/>
      <c r="R274" s="49"/>
      <c r="S274" s="49"/>
      <c r="T274" s="49"/>
    </row>
    <row r="275">
      <c r="A275" s="49"/>
      <c r="B275" s="49"/>
      <c r="C275" s="49"/>
      <c r="D275" s="49"/>
      <c r="E275" s="49"/>
      <c r="F275" s="49"/>
      <c r="G275" s="49"/>
      <c r="H275" s="49"/>
      <c r="I275" s="49" t="str">
        <f>IFERROR(__xludf.DUMMYFUNCTION("""COMPUTED_VALUE"""),"#VALUE!")</f>
        <v>#VALUE!</v>
      </c>
      <c r="J275" s="49"/>
      <c r="K275" s="49"/>
      <c r="L275" s="49" t="s">
        <v>255</v>
      </c>
      <c r="M275" s="49"/>
      <c r="N275" s="49"/>
      <c r="O275" s="49"/>
      <c r="P275" s="49"/>
      <c r="Q275" s="49"/>
      <c r="R275" s="49"/>
      <c r="S275" s="49"/>
      <c r="T275" s="49"/>
    </row>
    <row r="276">
      <c r="A276" s="49"/>
      <c r="B276" s="49"/>
      <c r="C276" s="49"/>
      <c r="D276" s="49"/>
      <c r="E276" s="49"/>
      <c r="F276" s="49"/>
      <c r="G276" s="49"/>
      <c r="H276" s="49"/>
      <c r="I276" s="49" t="str">
        <f>IFERROR(__xludf.DUMMYFUNCTION("""COMPUTED_VALUE"""),"#VALUE!")</f>
        <v>#VALUE!</v>
      </c>
      <c r="J276" s="49"/>
      <c r="K276" s="49"/>
      <c r="L276" s="49" t="s">
        <v>255</v>
      </c>
      <c r="M276" s="49"/>
      <c r="N276" s="49"/>
      <c r="O276" s="49"/>
      <c r="P276" s="49"/>
      <c r="Q276" s="49"/>
      <c r="R276" s="49"/>
      <c r="S276" s="49"/>
      <c r="T276" s="49"/>
    </row>
    <row r="277">
      <c r="A277" s="49"/>
      <c r="B277" s="49"/>
      <c r="C277" s="49"/>
      <c r="D277" s="49"/>
      <c r="E277" s="49"/>
      <c r="F277" s="49"/>
      <c r="G277" s="49"/>
      <c r="H277" s="49"/>
      <c r="I277" s="49" t="str">
        <f>IFERROR(__xludf.DUMMYFUNCTION("""COMPUTED_VALUE"""),"#VALUE!")</f>
        <v>#VALUE!</v>
      </c>
      <c r="J277" s="49"/>
      <c r="K277" s="49"/>
      <c r="L277" s="49" t="s">
        <v>255</v>
      </c>
      <c r="M277" s="49"/>
      <c r="N277" s="49"/>
      <c r="O277" s="49"/>
      <c r="P277" s="49"/>
      <c r="Q277" s="49"/>
      <c r="R277" s="49"/>
      <c r="S277" s="49"/>
      <c r="T277" s="49"/>
    </row>
    <row r="278">
      <c r="A278" s="49"/>
      <c r="B278" s="49"/>
      <c r="C278" s="49"/>
      <c r="D278" s="49"/>
      <c r="E278" s="49"/>
      <c r="F278" s="49"/>
      <c r="G278" s="49"/>
      <c r="H278" s="49"/>
      <c r="I278" s="49" t="str">
        <f>IFERROR(__xludf.DUMMYFUNCTION("""COMPUTED_VALUE"""),"#VALUE!")</f>
        <v>#VALUE!</v>
      </c>
      <c r="J278" s="49"/>
      <c r="K278" s="49"/>
      <c r="L278" s="49" t="s">
        <v>255</v>
      </c>
      <c r="M278" s="49"/>
      <c r="N278" s="49"/>
      <c r="O278" s="49"/>
      <c r="P278" s="49"/>
      <c r="Q278" s="49"/>
      <c r="R278" s="49"/>
      <c r="S278" s="49"/>
      <c r="T278" s="49"/>
    </row>
    <row r="279">
      <c r="A279" s="49"/>
      <c r="B279" s="49"/>
      <c r="C279" s="49"/>
      <c r="D279" s="49"/>
      <c r="E279" s="49"/>
      <c r="F279" s="49"/>
      <c r="G279" s="49"/>
      <c r="H279" s="49"/>
      <c r="I279" s="49" t="str">
        <f>IFERROR(__xludf.DUMMYFUNCTION("""COMPUTED_VALUE"""),"#VALUE!")</f>
        <v>#VALUE!</v>
      </c>
      <c r="J279" s="49"/>
      <c r="K279" s="49"/>
      <c r="L279" s="49" t="s">
        <v>255</v>
      </c>
      <c r="M279" s="49"/>
      <c r="N279" s="49"/>
      <c r="O279" s="49"/>
      <c r="P279" s="49"/>
      <c r="Q279" s="49"/>
      <c r="R279" s="49"/>
      <c r="S279" s="49"/>
      <c r="T279" s="49"/>
    </row>
    <row r="280">
      <c r="A280" s="49"/>
      <c r="B280" s="49"/>
      <c r="C280" s="49"/>
      <c r="D280" s="49"/>
      <c r="E280" s="49"/>
      <c r="F280" s="49"/>
      <c r="G280" s="49"/>
      <c r="H280" s="49"/>
      <c r="I280" s="49" t="str">
        <f>IFERROR(__xludf.DUMMYFUNCTION("""COMPUTED_VALUE"""),"#VALUE!")</f>
        <v>#VALUE!</v>
      </c>
      <c r="J280" s="49"/>
      <c r="K280" s="49"/>
      <c r="L280" s="49" t="s">
        <v>255</v>
      </c>
      <c r="M280" s="49"/>
      <c r="N280" s="49"/>
      <c r="O280" s="49"/>
      <c r="P280" s="49"/>
      <c r="Q280" s="49"/>
      <c r="R280" s="49"/>
      <c r="S280" s="49"/>
      <c r="T280" s="49"/>
    </row>
    <row r="281">
      <c r="A281" s="49"/>
      <c r="B281" s="49"/>
      <c r="C281" s="49"/>
      <c r="D281" s="49"/>
      <c r="E281" s="49"/>
      <c r="F281" s="49"/>
      <c r="G281" s="49"/>
      <c r="H281" s="49"/>
      <c r="I281" s="49" t="str">
        <f>IFERROR(__xludf.DUMMYFUNCTION("""COMPUTED_VALUE"""),"#VALUE!")</f>
        <v>#VALUE!</v>
      </c>
      <c r="J281" s="49"/>
      <c r="K281" s="49"/>
      <c r="L281" s="49" t="s">
        <v>255</v>
      </c>
      <c r="M281" s="49"/>
      <c r="N281" s="49"/>
      <c r="O281" s="49"/>
      <c r="P281" s="49"/>
      <c r="Q281" s="49"/>
      <c r="R281" s="49"/>
      <c r="S281" s="49"/>
      <c r="T281" s="49"/>
    </row>
    <row r="282">
      <c r="A282" s="49"/>
      <c r="B282" s="49"/>
      <c r="C282" s="49"/>
      <c r="D282" s="49"/>
      <c r="E282" s="49"/>
      <c r="F282" s="49"/>
      <c r="G282" s="49"/>
      <c r="H282" s="49"/>
      <c r="I282" s="49" t="str">
        <f>IFERROR(__xludf.DUMMYFUNCTION("""COMPUTED_VALUE"""),"#VALUE!")</f>
        <v>#VALUE!</v>
      </c>
      <c r="J282" s="49"/>
      <c r="K282" s="49"/>
      <c r="L282" s="49" t="s">
        <v>255</v>
      </c>
      <c r="M282" s="49"/>
      <c r="N282" s="49"/>
      <c r="O282" s="49"/>
      <c r="P282" s="49"/>
      <c r="Q282" s="49"/>
      <c r="R282" s="49"/>
      <c r="S282" s="49"/>
      <c r="T282" s="49"/>
    </row>
    <row r="283">
      <c r="A283" s="49"/>
      <c r="B283" s="49"/>
      <c r="C283" s="49"/>
      <c r="D283" s="49"/>
      <c r="E283" s="49"/>
      <c r="F283" s="49"/>
      <c r="G283" s="49"/>
      <c r="H283" s="49"/>
      <c r="I283" s="49" t="str">
        <f>IFERROR(__xludf.DUMMYFUNCTION("""COMPUTED_VALUE"""),"#VALUE!")</f>
        <v>#VALUE!</v>
      </c>
      <c r="J283" s="49"/>
      <c r="K283" s="49"/>
      <c r="L283" s="49" t="s">
        <v>255</v>
      </c>
      <c r="M283" s="49"/>
      <c r="N283" s="49"/>
      <c r="O283" s="49"/>
      <c r="P283" s="49"/>
      <c r="Q283" s="49"/>
      <c r="R283" s="49"/>
      <c r="S283" s="49"/>
      <c r="T283" s="49"/>
    </row>
    <row r="284">
      <c r="A284" s="49"/>
      <c r="B284" s="49"/>
      <c r="C284" s="49"/>
      <c r="D284" s="49"/>
      <c r="E284" s="49"/>
      <c r="F284" s="49"/>
      <c r="G284" s="49"/>
      <c r="H284" s="49"/>
      <c r="I284" s="49" t="str">
        <f>IFERROR(__xludf.DUMMYFUNCTION("""COMPUTED_VALUE"""),"#VALUE!")</f>
        <v>#VALUE!</v>
      </c>
      <c r="J284" s="49"/>
      <c r="K284" s="49"/>
      <c r="L284" s="49" t="s">
        <v>255</v>
      </c>
      <c r="M284" s="49"/>
      <c r="N284" s="49"/>
      <c r="O284" s="49"/>
      <c r="P284" s="49"/>
      <c r="Q284" s="49"/>
      <c r="R284" s="49"/>
      <c r="S284" s="49"/>
      <c r="T284" s="49"/>
    </row>
    <row r="285">
      <c r="A285" s="49"/>
      <c r="B285" s="49"/>
      <c r="C285" s="49"/>
      <c r="D285" s="49"/>
      <c r="E285" s="49"/>
      <c r="F285" s="49"/>
      <c r="G285" s="49"/>
      <c r="H285" s="49"/>
      <c r="I285" s="49" t="str">
        <f>IFERROR(__xludf.DUMMYFUNCTION("""COMPUTED_VALUE"""),"#VALUE!")</f>
        <v>#VALUE!</v>
      </c>
      <c r="J285" s="49"/>
      <c r="K285" s="49"/>
      <c r="L285" s="49" t="s">
        <v>255</v>
      </c>
      <c r="M285" s="49"/>
      <c r="N285" s="49"/>
      <c r="O285" s="49"/>
      <c r="P285" s="49"/>
      <c r="Q285" s="49"/>
      <c r="R285" s="49"/>
      <c r="S285" s="49"/>
      <c r="T285" s="49"/>
    </row>
    <row r="286">
      <c r="A286" s="49"/>
      <c r="B286" s="49"/>
      <c r="C286" s="49"/>
      <c r="D286" s="49"/>
      <c r="E286" s="49"/>
      <c r="F286" s="49"/>
      <c r="G286" s="49"/>
      <c r="H286" s="49"/>
      <c r="I286" s="49" t="str">
        <f>IFERROR(__xludf.DUMMYFUNCTION("""COMPUTED_VALUE"""),"#VALUE!")</f>
        <v>#VALUE!</v>
      </c>
      <c r="J286" s="49"/>
      <c r="K286" s="49"/>
      <c r="L286" s="49" t="s">
        <v>255</v>
      </c>
      <c r="M286" s="49"/>
      <c r="N286" s="49"/>
      <c r="O286" s="49"/>
      <c r="P286" s="49"/>
      <c r="Q286" s="49"/>
      <c r="R286" s="49"/>
      <c r="S286" s="49"/>
      <c r="T286" s="49"/>
    </row>
    <row r="287">
      <c r="A287" s="49"/>
      <c r="B287" s="49"/>
      <c r="C287" s="49"/>
      <c r="D287" s="49"/>
      <c r="E287" s="49"/>
      <c r="F287" s="49"/>
      <c r="G287" s="49"/>
      <c r="H287" s="49"/>
      <c r="I287" s="49" t="str">
        <f>IFERROR(__xludf.DUMMYFUNCTION("""COMPUTED_VALUE"""),"#VALUE!")</f>
        <v>#VALUE!</v>
      </c>
      <c r="J287" s="49"/>
      <c r="K287" s="49"/>
      <c r="L287" s="49" t="s">
        <v>255</v>
      </c>
      <c r="M287" s="49"/>
      <c r="N287" s="49"/>
      <c r="O287" s="49"/>
      <c r="P287" s="49"/>
      <c r="Q287" s="49"/>
      <c r="R287" s="49"/>
      <c r="S287" s="49"/>
      <c r="T287" s="49"/>
    </row>
    <row r="288">
      <c r="A288" s="49"/>
      <c r="B288" s="49"/>
      <c r="C288" s="49"/>
      <c r="D288" s="49"/>
      <c r="E288" s="49"/>
      <c r="F288" s="49"/>
      <c r="G288" s="49"/>
      <c r="H288" s="49"/>
      <c r="I288" s="49" t="str">
        <f>IFERROR(__xludf.DUMMYFUNCTION("""COMPUTED_VALUE"""),"#VALUE!")</f>
        <v>#VALUE!</v>
      </c>
      <c r="J288" s="49"/>
      <c r="K288" s="49"/>
      <c r="L288" s="49" t="s">
        <v>255</v>
      </c>
      <c r="M288" s="49"/>
      <c r="N288" s="49"/>
      <c r="O288" s="49"/>
      <c r="P288" s="49"/>
      <c r="Q288" s="49"/>
      <c r="R288" s="49"/>
      <c r="S288" s="49"/>
      <c r="T288" s="49"/>
    </row>
    <row r="289">
      <c r="A289" s="49"/>
      <c r="B289" s="49"/>
      <c r="C289" s="49"/>
      <c r="D289" s="49"/>
      <c r="E289" s="49"/>
      <c r="F289" s="49"/>
      <c r="G289" s="49"/>
      <c r="H289" s="49"/>
      <c r="I289" s="49" t="str">
        <f>IFERROR(__xludf.DUMMYFUNCTION("""COMPUTED_VALUE"""),"#VALUE!")</f>
        <v>#VALUE!</v>
      </c>
      <c r="J289" s="49"/>
      <c r="K289" s="49"/>
      <c r="L289" s="49" t="s">
        <v>255</v>
      </c>
      <c r="M289" s="49"/>
      <c r="N289" s="49"/>
      <c r="O289" s="49"/>
      <c r="P289" s="49"/>
      <c r="Q289" s="49"/>
      <c r="R289" s="49"/>
      <c r="S289" s="49"/>
      <c r="T289" s="49"/>
    </row>
    <row r="290">
      <c r="A290" s="49"/>
      <c r="B290" s="49"/>
      <c r="C290" s="49"/>
      <c r="D290" s="49"/>
      <c r="E290" s="49"/>
      <c r="F290" s="49"/>
      <c r="G290" s="49"/>
      <c r="H290" s="49"/>
      <c r="I290" s="49" t="str">
        <f>IFERROR(__xludf.DUMMYFUNCTION("""COMPUTED_VALUE"""),"#VALUE!")</f>
        <v>#VALUE!</v>
      </c>
      <c r="J290" s="49"/>
      <c r="K290" s="49"/>
      <c r="L290" s="49" t="s">
        <v>255</v>
      </c>
      <c r="M290" s="49"/>
      <c r="N290" s="49"/>
      <c r="O290" s="49"/>
      <c r="P290" s="49"/>
      <c r="Q290" s="49"/>
      <c r="R290" s="49"/>
      <c r="S290" s="49"/>
      <c r="T290" s="49"/>
    </row>
    <row r="291">
      <c r="A291" s="49"/>
      <c r="B291" s="49"/>
      <c r="C291" s="49"/>
      <c r="D291" s="49"/>
      <c r="E291" s="49"/>
      <c r="F291" s="49"/>
      <c r="G291" s="49"/>
      <c r="H291" s="49"/>
      <c r="I291" s="49" t="str">
        <f>IFERROR(__xludf.DUMMYFUNCTION("""COMPUTED_VALUE"""),"#VALUE!")</f>
        <v>#VALUE!</v>
      </c>
      <c r="J291" s="49"/>
      <c r="K291" s="49"/>
      <c r="L291" s="49" t="s">
        <v>255</v>
      </c>
      <c r="M291" s="49"/>
      <c r="N291" s="49"/>
      <c r="O291" s="49"/>
      <c r="P291" s="49"/>
      <c r="Q291" s="49"/>
      <c r="R291" s="49"/>
      <c r="S291" s="49"/>
      <c r="T291" s="49"/>
    </row>
    <row r="292">
      <c r="A292" s="49"/>
      <c r="B292" s="49"/>
      <c r="C292" s="49"/>
      <c r="D292" s="49"/>
      <c r="E292" s="49"/>
      <c r="F292" s="49"/>
      <c r="G292" s="49"/>
      <c r="H292" s="49"/>
      <c r="I292" s="49" t="str">
        <f>IFERROR(__xludf.DUMMYFUNCTION("""COMPUTED_VALUE"""),"#VALUE!")</f>
        <v>#VALUE!</v>
      </c>
      <c r="J292" s="49"/>
      <c r="K292" s="49"/>
      <c r="L292" s="49" t="s">
        <v>255</v>
      </c>
      <c r="M292" s="49"/>
      <c r="N292" s="49"/>
      <c r="O292" s="49"/>
      <c r="P292" s="49"/>
      <c r="Q292" s="49"/>
      <c r="R292" s="49"/>
      <c r="S292" s="49"/>
      <c r="T292" s="49"/>
    </row>
    <row r="293">
      <c r="A293" s="49"/>
      <c r="B293" s="49"/>
      <c r="C293" s="49"/>
      <c r="D293" s="49"/>
      <c r="E293" s="49"/>
      <c r="F293" s="49"/>
      <c r="G293" s="49"/>
      <c r="H293" s="49"/>
      <c r="I293" s="49" t="str">
        <f>IFERROR(__xludf.DUMMYFUNCTION("""COMPUTED_VALUE"""),"#VALUE!")</f>
        <v>#VALUE!</v>
      </c>
      <c r="J293" s="49"/>
      <c r="K293" s="49"/>
      <c r="L293" s="49" t="s">
        <v>255</v>
      </c>
      <c r="M293" s="49"/>
      <c r="N293" s="49"/>
      <c r="O293" s="49"/>
      <c r="P293" s="49"/>
      <c r="Q293" s="49"/>
      <c r="R293" s="49"/>
      <c r="S293" s="49"/>
      <c r="T293" s="49"/>
    </row>
    <row r="294">
      <c r="A294" s="49"/>
      <c r="B294" s="49"/>
      <c r="C294" s="49"/>
      <c r="D294" s="49"/>
      <c r="E294" s="49"/>
      <c r="F294" s="49"/>
      <c r="G294" s="49"/>
      <c r="H294" s="49"/>
      <c r="I294" s="49" t="str">
        <f>IFERROR(__xludf.DUMMYFUNCTION("""COMPUTED_VALUE"""),"#VALUE!")</f>
        <v>#VALUE!</v>
      </c>
      <c r="J294" s="49"/>
      <c r="K294" s="49"/>
      <c r="L294" s="49" t="s">
        <v>255</v>
      </c>
      <c r="M294" s="49"/>
      <c r="N294" s="49"/>
      <c r="O294" s="49"/>
      <c r="P294" s="49"/>
      <c r="Q294" s="49"/>
      <c r="R294" s="49"/>
      <c r="S294" s="49"/>
      <c r="T294" s="49"/>
    </row>
    <row r="295">
      <c r="A295" s="49"/>
      <c r="B295" s="49"/>
      <c r="C295" s="49"/>
      <c r="D295" s="49"/>
      <c r="E295" s="49"/>
      <c r="F295" s="49"/>
      <c r="G295" s="49"/>
      <c r="H295" s="49"/>
      <c r="I295" s="49" t="str">
        <f>IFERROR(__xludf.DUMMYFUNCTION("""COMPUTED_VALUE"""),"#VALUE!")</f>
        <v>#VALUE!</v>
      </c>
      <c r="J295" s="49"/>
      <c r="K295" s="49"/>
      <c r="L295" s="49" t="s">
        <v>255</v>
      </c>
      <c r="M295" s="49"/>
      <c r="N295" s="49"/>
      <c r="O295" s="49"/>
      <c r="P295" s="49"/>
      <c r="Q295" s="49"/>
      <c r="R295" s="49"/>
      <c r="S295" s="49"/>
      <c r="T295" s="49"/>
    </row>
    <row r="296">
      <c r="A296" s="49"/>
      <c r="B296" s="49"/>
      <c r="C296" s="49"/>
      <c r="D296" s="49"/>
      <c r="E296" s="49"/>
      <c r="F296" s="49"/>
      <c r="G296" s="49"/>
      <c r="H296" s="49"/>
      <c r="I296" s="49" t="str">
        <f>IFERROR(__xludf.DUMMYFUNCTION("""COMPUTED_VALUE"""),"#VALUE!")</f>
        <v>#VALUE!</v>
      </c>
      <c r="J296" s="49"/>
      <c r="K296" s="49"/>
      <c r="L296" s="49" t="s">
        <v>255</v>
      </c>
      <c r="M296" s="49"/>
      <c r="N296" s="49"/>
      <c r="O296" s="49"/>
      <c r="P296" s="49"/>
      <c r="Q296" s="49"/>
      <c r="R296" s="49"/>
      <c r="S296" s="49"/>
      <c r="T296" s="49"/>
    </row>
    <row r="297">
      <c r="A297" s="49"/>
      <c r="B297" s="49"/>
      <c r="C297" s="49"/>
      <c r="D297" s="49"/>
      <c r="E297" s="49"/>
      <c r="F297" s="49"/>
      <c r="G297" s="49"/>
      <c r="H297" s="49"/>
      <c r="I297" s="49" t="str">
        <f>IFERROR(__xludf.DUMMYFUNCTION("""COMPUTED_VALUE"""),"#VALUE!")</f>
        <v>#VALUE!</v>
      </c>
      <c r="J297" s="49"/>
      <c r="K297" s="49"/>
      <c r="L297" s="49" t="s">
        <v>255</v>
      </c>
      <c r="M297" s="49"/>
      <c r="N297" s="49"/>
      <c r="O297" s="49"/>
      <c r="P297" s="49"/>
      <c r="Q297" s="49"/>
      <c r="R297" s="49"/>
      <c r="S297" s="49"/>
      <c r="T297" s="49"/>
    </row>
    <row r="298">
      <c r="A298" s="49"/>
      <c r="B298" s="49"/>
      <c r="C298" s="49"/>
      <c r="D298" s="49"/>
      <c r="E298" s="49"/>
      <c r="F298" s="49"/>
      <c r="G298" s="49"/>
      <c r="H298" s="49"/>
      <c r="I298" s="49" t="str">
        <f>IFERROR(__xludf.DUMMYFUNCTION("""COMPUTED_VALUE"""),"#VALUE!")</f>
        <v>#VALUE!</v>
      </c>
      <c r="J298" s="49"/>
      <c r="K298" s="49"/>
      <c r="L298" s="49" t="s">
        <v>255</v>
      </c>
      <c r="M298" s="49"/>
      <c r="N298" s="49"/>
      <c r="O298" s="49"/>
      <c r="P298" s="49"/>
      <c r="Q298" s="49"/>
      <c r="R298" s="49"/>
      <c r="S298" s="49"/>
      <c r="T298" s="49"/>
    </row>
    <row r="299">
      <c r="A299" s="49"/>
      <c r="B299" s="49"/>
      <c r="C299" s="49"/>
      <c r="D299" s="49"/>
      <c r="E299" s="49"/>
      <c r="F299" s="49"/>
      <c r="G299" s="49"/>
      <c r="H299" s="49"/>
      <c r="I299" s="49" t="str">
        <f>IFERROR(__xludf.DUMMYFUNCTION("""COMPUTED_VALUE"""),"#VALUE!")</f>
        <v>#VALUE!</v>
      </c>
      <c r="J299" s="49"/>
      <c r="K299" s="49"/>
      <c r="L299" s="49" t="s">
        <v>255</v>
      </c>
      <c r="M299" s="49"/>
      <c r="N299" s="49"/>
      <c r="O299" s="49"/>
      <c r="P299" s="49"/>
      <c r="Q299" s="49"/>
      <c r="R299" s="49"/>
      <c r="S299" s="49"/>
      <c r="T299" s="49"/>
    </row>
    <row r="300">
      <c r="A300" s="49"/>
      <c r="B300" s="49"/>
      <c r="C300" s="49"/>
      <c r="D300" s="49"/>
      <c r="E300" s="49"/>
      <c r="F300" s="49"/>
      <c r="G300" s="49"/>
      <c r="H300" s="49"/>
      <c r="I300" s="49" t="str">
        <f>IFERROR(__xludf.DUMMYFUNCTION("""COMPUTED_VALUE"""),"#VALUE!")</f>
        <v>#VALUE!</v>
      </c>
      <c r="J300" s="49"/>
      <c r="K300" s="49"/>
      <c r="L300" s="49" t="s">
        <v>255</v>
      </c>
      <c r="M300" s="49"/>
      <c r="N300" s="49"/>
      <c r="O300" s="49"/>
      <c r="P300" s="49"/>
      <c r="Q300" s="49"/>
      <c r="R300" s="49"/>
      <c r="S300" s="49"/>
      <c r="T300" s="49"/>
    </row>
    <row r="301">
      <c r="A301" s="49"/>
      <c r="B301" s="49"/>
      <c r="C301" s="49"/>
      <c r="D301" s="49"/>
      <c r="E301" s="49"/>
      <c r="F301" s="49"/>
      <c r="G301" s="49"/>
      <c r="H301" s="49"/>
      <c r="I301" s="49" t="str">
        <f>IFERROR(__xludf.DUMMYFUNCTION("""COMPUTED_VALUE"""),"#VALUE!")</f>
        <v>#VALUE!</v>
      </c>
      <c r="J301" s="49"/>
      <c r="K301" s="49"/>
      <c r="L301" s="49" t="s">
        <v>255</v>
      </c>
      <c r="M301" s="49"/>
      <c r="N301" s="49"/>
      <c r="O301" s="49"/>
      <c r="P301" s="49"/>
      <c r="Q301" s="49"/>
      <c r="R301" s="49"/>
      <c r="S301" s="49"/>
      <c r="T301" s="49"/>
    </row>
    <row r="302">
      <c r="A302" s="49"/>
      <c r="B302" s="49"/>
      <c r="C302" s="49"/>
      <c r="D302" s="49"/>
      <c r="E302" s="49"/>
      <c r="F302" s="49"/>
      <c r="G302" s="49"/>
      <c r="H302" s="49"/>
      <c r="I302" s="49" t="str">
        <f>IFERROR(__xludf.DUMMYFUNCTION("""COMPUTED_VALUE"""),"#VALUE!")</f>
        <v>#VALUE!</v>
      </c>
      <c r="J302" s="49"/>
      <c r="K302" s="49"/>
      <c r="L302" s="49" t="s">
        <v>255</v>
      </c>
      <c r="M302" s="49"/>
      <c r="N302" s="49"/>
      <c r="O302" s="49"/>
      <c r="P302" s="49"/>
      <c r="Q302" s="49"/>
      <c r="R302" s="49"/>
      <c r="S302" s="49"/>
      <c r="T302" s="49"/>
    </row>
    <row r="303">
      <c r="A303" s="49"/>
      <c r="B303" s="49"/>
      <c r="C303" s="49"/>
      <c r="D303" s="49"/>
      <c r="E303" s="49"/>
      <c r="F303" s="49"/>
      <c r="G303" s="49"/>
      <c r="H303" s="49"/>
      <c r="I303" s="49" t="str">
        <f>IFERROR(__xludf.DUMMYFUNCTION("""COMPUTED_VALUE"""),"#VALUE!")</f>
        <v>#VALUE!</v>
      </c>
      <c r="J303" s="49"/>
      <c r="K303" s="49"/>
      <c r="L303" s="49" t="s">
        <v>255</v>
      </c>
      <c r="M303" s="49"/>
      <c r="N303" s="49"/>
      <c r="O303" s="49"/>
      <c r="P303" s="49"/>
      <c r="Q303" s="49"/>
      <c r="R303" s="49"/>
      <c r="S303" s="49"/>
      <c r="T303" s="49"/>
    </row>
    <row r="304">
      <c r="A304" s="49"/>
      <c r="B304" s="49"/>
      <c r="C304" s="49"/>
      <c r="D304" s="49"/>
      <c r="E304" s="49"/>
      <c r="F304" s="49"/>
      <c r="G304" s="49"/>
      <c r="H304" s="49"/>
      <c r="I304" s="49" t="str">
        <f>IFERROR(__xludf.DUMMYFUNCTION("""COMPUTED_VALUE"""),"#VALUE!")</f>
        <v>#VALUE!</v>
      </c>
      <c r="J304" s="49"/>
      <c r="K304" s="49"/>
      <c r="L304" s="49" t="s">
        <v>255</v>
      </c>
      <c r="M304" s="49"/>
      <c r="N304" s="49"/>
      <c r="O304" s="49"/>
      <c r="P304" s="49"/>
      <c r="Q304" s="49"/>
      <c r="R304" s="49"/>
      <c r="S304" s="49"/>
      <c r="T304" s="49"/>
    </row>
    <row r="305">
      <c r="A305" s="49"/>
      <c r="B305" s="49"/>
      <c r="C305" s="49"/>
      <c r="D305" s="49"/>
      <c r="E305" s="49"/>
      <c r="F305" s="49"/>
      <c r="G305" s="49"/>
      <c r="H305" s="49"/>
      <c r="I305" s="49" t="str">
        <f>IFERROR(__xludf.DUMMYFUNCTION("""COMPUTED_VALUE"""),"#VALUE!")</f>
        <v>#VALUE!</v>
      </c>
      <c r="J305" s="49"/>
      <c r="K305" s="49"/>
      <c r="L305" s="49" t="s">
        <v>255</v>
      </c>
      <c r="M305" s="49"/>
      <c r="N305" s="49"/>
      <c r="O305" s="49"/>
      <c r="P305" s="49"/>
      <c r="Q305" s="49"/>
      <c r="R305" s="49"/>
      <c r="S305" s="49"/>
      <c r="T305" s="49"/>
    </row>
    <row r="306">
      <c r="A306" s="49"/>
      <c r="B306" s="49"/>
      <c r="C306" s="49"/>
      <c r="D306" s="49"/>
      <c r="E306" s="49"/>
      <c r="F306" s="49"/>
      <c r="G306" s="49"/>
      <c r="H306" s="49"/>
      <c r="I306" s="49" t="str">
        <f>IFERROR(__xludf.DUMMYFUNCTION("""COMPUTED_VALUE"""),"#VALUE!")</f>
        <v>#VALUE!</v>
      </c>
      <c r="J306" s="49"/>
      <c r="K306" s="49"/>
      <c r="L306" s="49" t="s">
        <v>255</v>
      </c>
      <c r="M306" s="49"/>
      <c r="N306" s="49"/>
      <c r="O306" s="49"/>
      <c r="P306" s="49"/>
      <c r="Q306" s="49"/>
      <c r="R306" s="49"/>
      <c r="S306" s="49"/>
      <c r="T306" s="49"/>
    </row>
    <row r="307">
      <c r="A307" s="49"/>
      <c r="B307" s="49"/>
      <c r="C307" s="49"/>
      <c r="D307" s="49"/>
      <c r="E307" s="49"/>
      <c r="F307" s="49"/>
      <c r="G307" s="49"/>
      <c r="H307" s="49"/>
      <c r="I307" s="49" t="str">
        <f>IFERROR(__xludf.DUMMYFUNCTION("""COMPUTED_VALUE"""),"#VALUE!")</f>
        <v>#VALUE!</v>
      </c>
      <c r="J307" s="49"/>
      <c r="K307" s="49"/>
      <c r="L307" s="49" t="s">
        <v>255</v>
      </c>
      <c r="M307" s="49"/>
      <c r="N307" s="49"/>
      <c r="O307" s="49"/>
      <c r="P307" s="49"/>
      <c r="Q307" s="49"/>
      <c r="R307" s="49"/>
      <c r="S307" s="49"/>
      <c r="T307" s="49"/>
    </row>
    <row r="308">
      <c r="A308" s="49"/>
      <c r="B308" s="49"/>
      <c r="C308" s="49"/>
      <c r="D308" s="49"/>
      <c r="E308" s="49"/>
      <c r="F308" s="49"/>
      <c r="G308" s="49"/>
      <c r="H308" s="49"/>
      <c r="I308" s="49" t="str">
        <f>IFERROR(__xludf.DUMMYFUNCTION("""COMPUTED_VALUE"""),"#VALUE!")</f>
        <v>#VALUE!</v>
      </c>
      <c r="J308" s="49"/>
      <c r="K308" s="49"/>
      <c r="L308" s="49" t="s">
        <v>255</v>
      </c>
      <c r="M308" s="49"/>
      <c r="N308" s="49"/>
      <c r="O308" s="49"/>
      <c r="P308" s="49"/>
      <c r="Q308" s="49"/>
      <c r="R308" s="49"/>
      <c r="S308" s="49"/>
      <c r="T308" s="49"/>
    </row>
    <row r="309">
      <c r="A309" s="49"/>
      <c r="B309" s="49"/>
      <c r="C309" s="49"/>
      <c r="D309" s="49"/>
      <c r="E309" s="49"/>
      <c r="F309" s="49"/>
      <c r="G309" s="49"/>
      <c r="H309" s="49"/>
      <c r="I309" s="49" t="str">
        <f>IFERROR(__xludf.DUMMYFUNCTION("""COMPUTED_VALUE"""),"#VALUE!")</f>
        <v>#VALUE!</v>
      </c>
      <c r="J309" s="49"/>
      <c r="K309" s="49"/>
      <c r="L309" s="49" t="s">
        <v>255</v>
      </c>
      <c r="M309" s="49"/>
      <c r="N309" s="49"/>
      <c r="O309" s="49"/>
      <c r="P309" s="49"/>
      <c r="Q309" s="49"/>
      <c r="R309" s="49"/>
      <c r="S309" s="49"/>
      <c r="T309" s="49"/>
    </row>
    <row r="310">
      <c r="A310" s="49"/>
      <c r="B310" s="49"/>
      <c r="C310" s="49"/>
      <c r="D310" s="49"/>
      <c r="E310" s="49"/>
      <c r="F310" s="49"/>
      <c r="G310" s="49"/>
      <c r="H310" s="49"/>
      <c r="I310" s="49" t="str">
        <f>IFERROR(__xludf.DUMMYFUNCTION("""COMPUTED_VALUE"""),"#VALUE!")</f>
        <v>#VALUE!</v>
      </c>
      <c r="J310" s="49"/>
      <c r="K310" s="49"/>
      <c r="L310" s="49" t="s">
        <v>255</v>
      </c>
      <c r="M310" s="49"/>
      <c r="N310" s="49"/>
      <c r="O310" s="49"/>
      <c r="P310" s="49"/>
      <c r="Q310" s="49"/>
      <c r="R310" s="49"/>
      <c r="S310" s="49"/>
      <c r="T310" s="49"/>
    </row>
    <row r="311">
      <c r="A311" s="49"/>
      <c r="B311" s="49"/>
      <c r="C311" s="49"/>
      <c r="D311" s="49"/>
      <c r="E311" s="49"/>
      <c r="F311" s="49"/>
      <c r="G311" s="49"/>
      <c r="H311" s="49"/>
      <c r="I311" s="49" t="str">
        <f>IFERROR(__xludf.DUMMYFUNCTION("""COMPUTED_VALUE"""),"#VALUE!")</f>
        <v>#VALUE!</v>
      </c>
      <c r="J311" s="49"/>
      <c r="K311" s="49"/>
      <c r="L311" s="49" t="s">
        <v>255</v>
      </c>
      <c r="M311" s="49"/>
      <c r="N311" s="49"/>
      <c r="O311" s="49"/>
      <c r="P311" s="49"/>
      <c r="Q311" s="49"/>
      <c r="R311" s="49"/>
      <c r="S311" s="49"/>
      <c r="T311" s="49"/>
    </row>
    <row r="312">
      <c r="A312" s="49"/>
      <c r="B312" s="49"/>
      <c r="C312" s="49"/>
      <c r="D312" s="49"/>
      <c r="E312" s="49"/>
      <c r="F312" s="49"/>
      <c r="G312" s="49"/>
      <c r="H312" s="49"/>
      <c r="I312" s="49" t="str">
        <f>IFERROR(__xludf.DUMMYFUNCTION("""COMPUTED_VALUE"""),"#VALUE!")</f>
        <v>#VALUE!</v>
      </c>
      <c r="J312" s="49"/>
      <c r="K312" s="49"/>
      <c r="L312" s="49" t="s">
        <v>255</v>
      </c>
      <c r="M312" s="49"/>
      <c r="N312" s="49"/>
      <c r="O312" s="49"/>
      <c r="P312" s="49"/>
      <c r="Q312" s="49"/>
      <c r="R312" s="49"/>
      <c r="S312" s="49"/>
      <c r="T312" s="49"/>
    </row>
    <row r="313">
      <c r="A313" s="49"/>
      <c r="B313" s="49"/>
      <c r="C313" s="49"/>
      <c r="D313" s="49"/>
      <c r="E313" s="49"/>
      <c r="F313" s="49"/>
      <c r="G313" s="49"/>
      <c r="H313" s="49"/>
      <c r="I313" s="49" t="str">
        <f>IFERROR(__xludf.DUMMYFUNCTION("""COMPUTED_VALUE"""),"#VALUE!")</f>
        <v>#VALUE!</v>
      </c>
      <c r="J313" s="49"/>
      <c r="K313" s="49"/>
      <c r="L313" s="49" t="s">
        <v>255</v>
      </c>
      <c r="M313" s="49"/>
      <c r="N313" s="49"/>
      <c r="O313" s="49"/>
      <c r="P313" s="49"/>
      <c r="Q313" s="49"/>
      <c r="R313" s="49"/>
      <c r="S313" s="49"/>
      <c r="T313" s="49"/>
    </row>
    <row r="314">
      <c r="A314" s="49"/>
      <c r="B314" s="49"/>
      <c r="C314" s="49"/>
      <c r="D314" s="49"/>
      <c r="E314" s="49"/>
      <c r="F314" s="49"/>
      <c r="G314" s="49"/>
      <c r="H314" s="49"/>
      <c r="I314" s="49" t="str">
        <f>IFERROR(__xludf.DUMMYFUNCTION("""COMPUTED_VALUE"""),"#VALUE!")</f>
        <v>#VALUE!</v>
      </c>
      <c r="J314" s="49"/>
      <c r="K314" s="49"/>
      <c r="L314" s="49" t="s">
        <v>255</v>
      </c>
      <c r="M314" s="49"/>
      <c r="N314" s="49"/>
      <c r="O314" s="49"/>
      <c r="P314" s="49"/>
      <c r="Q314" s="49"/>
      <c r="R314" s="49"/>
      <c r="S314" s="49"/>
      <c r="T314" s="49"/>
    </row>
    <row r="315">
      <c r="A315" s="49"/>
      <c r="B315" s="49"/>
      <c r="C315" s="49"/>
      <c r="D315" s="49"/>
      <c r="E315" s="49"/>
      <c r="F315" s="49"/>
      <c r="G315" s="49"/>
      <c r="H315" s="49"/>
      <c r="I315" s="49" t="str">
        <f>IFERROR(__xludf.DUMMYFUNCTION("""COMPUTED_VALUE"""),"#VALUE!")</f>
        <v>#VALUE!</v>
      </c>
      <c r="J315" s="49"/>
      <c r="K315" s="49"/>
      <c r="L315" s="49" t="s">
        <v>255</v>
      </c>
      <c r="M315" s="49"/>
      <c r="N315" s="49"/>
      <c r="O315" s="49"/>
      <c r="P315" s="49"/>
      <c r="Q315" s="49"/>
      <c r="R315" s="49"/>
      <c r="S315" s="49"/>
      <c r="T315" s="49"/>
    </row>
    <row r="316">
      <c r="A316" s="49"/>
      <c r="B316" s="49"/>
      <c r="C316" s="49"/>
      <c r="D316" s="49"/>
      <c r="E316" s="49"/>
      <c r="F316" s="49"/>
      <c r="G316" s="49"/>
      <c r="H316" s="49"/>
      <c r="I316" s="49" t="str">
        <f>IFERROR(__xludf.DUMMYFUNCTION("""COMPUTED_VALUE"""),"#VALUE!")</f>
        <v>#VALUE!</v>
      </c>
      <c r="J316" s="49"/>
      <c r="K316" s="49"/>
      <c r="L316" s="49" t="s">
        <v>255</v>
      </c>
      <c r="M316" s="49"/>
      <c r="N316" s="49"/>
      <c r="O316" s="49"/>
      <c r="P316" s="49"/>
      <c r="Q316" s="49"/>
      <c r="R316" s="49"/>
      <c r="S316" s="49"/>
      <c r="T316" s="49"/>
    </row>
    <row r="317">
      <c r="A317" s="49"/>
      <c r="B317" s="49"/>
      <c r="C317" s="49"/>
      <c r="D317" s="49"/>
      <c r="E317" s="49"/>
      <c r="F317" s="49"/>
      <c r="G317" s="49"/>
      <c r="H317" s="49"/>
      <c r="I317" s="49" t="str">
        <f>IFERROR(__xludf.DUMMYFUNCTION("""COMPUTED_VALUE"""),"#VALUE!")</f>
        <v>#VALUE!</v>
      </c>
      <c r="J317" s="49"/>
      <c r="K317" s="49"/>
      <c r="L317" s="49" t="s">
        <v>255</v>
      </c>
      <c r="M317" s="49"/>
      <c r="N317" s="49"/>
      <c r="O317" s="49"/>
      <c r="P317" s="49"/>
      <c r="Q317" s="49"/>
      <c r="R317" s="49"/>
      <c r="S317" s="49"/>
      <c r="T317" s="49"/>
    </row>
    <row r="318">
      <c r="A318" s="49"/>
      <c r="B318" s="49"/>
      <c r="C318" s="49"/>
      <c r="D318" s="49"/>
      <c r="E318" s="49"/>
      <c r="F318" s="49"/>
      <c r="G318" s="49"/>
      <c r="H318" s="49"/>
      <c r="I318" s="49" t="str">
        <f>IFERROR(__xludf.DUMMYFUNCTION("""COMPUTED_VALUE"""),"#VALUE!")</f>
        <v>#VALUE!</v>
      </c>
      <c r="J318" s="49"/>
      <c r="K318" s="49"/>
      <c r="L318" s="49" t="s">
        <v>255</v>
      </c>
      <c r="M318" s="49"/>
      <c r="N318" s="49"/>
      <c r="O318" s="49"/>
      <c r="P318" s="49"/>
      <c r="Q318" s="49"/>
      <c r="R318" s="49"/>
      <c r="S318" s="49"/>
      <c r="T318" s="49"/>
    </row>
    <row r="319">
      <c r="A319" s="49"/>
      <c r="B319" s="49"/>
      <c r="C319" s="49"/>
      <c r="D319" s="49"/>
      <c r="E319" s="49"/>
      <c r="F319" s="49"/>
      <c r="G319" s="49"/>
      <c r="H319" s="49"/>
      <c r="I319" s="49" t="str">
        <f>IFERROR(__xludf.DUMMYFUNCTION("""COMPUTED_VALUE"""),"#VALUE!")</f>
        <v>#VALUE!</v>
      </c>
      <c r="J319" s="49"/>
      <c r="K319" s="49"/>
      <c r="L319" s="49" t="s">
        <v>255</v>
      </c>
      <c r="M319" s="49"/>
      <c r="N319" s="49"/>
      <c r="O319" s="49"/>
      <c r="P319" s="49"/>
      <c r="Q319" s="49"/>
      <c r="R319" s="49"/>
      <c r="S319" s="49"/>
      <c r="T319" s="49"/>
    </row>
    <row r="320">
      <c r="A320" s="49"/>
      <c r="B320" s="49"/>
      <c r="C320" s="49"/>
      <c r="D320" s="49"/>
      <c r="E320" s="49"/>
      <c r="F320" s="49"/>
      <c r="G320" s="49"/>
      <c r="H320" s="49"/>
      <c r="I320" s="49" t="str">
        <f>IFERROR(__xludf.DUMMYFUNCTION("""COMPUTED_VALUE"""),"#VALUE!")</f>
        <v>#VALUE!</v>
      </c>
      <c r="J320" s="49"/>
      <c r="K320" s="49"/>
      <c r="L320" s="49" t="s">
        <v>255</v>
      </c>
      <c r="M320" s="49"/>
      <c r="N320" s="49"/>
      <c r="O320" s="49"/>
      <c r="P320" s="49"/>
      <c r="Q320" s="49"/>
      <c r="R320" s="49"/>
      <c r="S320" s="49"/>
      <c r="T320" s="49"/>
    </row>
    <row r="321">
      <c r="A321" s="49"/>
      <c r="B321" s="49"/>
      <c r="C321" s="49"/>
      <c r="D321" s="49"/>
      <c r="E321" s="49"/>
      <c r="F321" s="49"/>
      <c r="G321" s="49"/>
      <c r="H321" s="49"/>
      <c r="I321" s="49" t="str">
        <f>IFERROR(__xludf.DUMMYFUNCTION("""COMPUTED_VALUE"""),"#VALUE!")</f>
        <v>#VALUE!</v>
      </c>
      <c r="J321" s="49"/>
      <c r="K321" s="49"/>
      <c r="L321" s="49" t="s">
        <v>255</v>
      </c>
      <c r="M321" s="49"/>
      <c r="N321" s="49"/>
      <c r="O321" s="49"/>
      <c r="P321" s="49"/>
      <c r="Q321" s="49"/>
      <c r="R321" s="49"/>
      <c r="S321" s="49"/>
      <c r="T321" s="49"/>
    </row>
    <row r="322">
      <c r="A322" s="49"/>
      <c r="B322" s="49"/>
      <c r="C322" s="49"/>
      <c r="D322" s="49"/>
      <c r="E322" s="49"/>
      <c r="F322" s="49"/>
      <c r="G322" s="49"/>
      <c r="H322" s="49"/>
      <c r="I322" s="49" t="str">
        <f>IFERROR(__xludf.DUMMYFUNCTION("""COMPUTED_VALUE"""),"#VALUE!")</f>
        <v>#VALUE!</v>
      </c>
      <c r="J322" s="49"/>
      <c r="K322" s="49"/>
      <c r="L322" s="49" t="s">
        <v>255</v>
      </c>
      <c r="M322" s="49"/>
      <c r="N322" s="49"/>
      <c r="O322" s="49"/>
      <c r="P322" s="49"/>
      <c r="Q322" s="49"/>
      <c r="R322" s="49"/>
      <c r="S322" s="49"/>
      <c r="T322" s="49"/>
    </row>
    <row r="323">
      <c r="A323" s="49"/>
      <c r="B323" s="49"/>
      <c r="C323" s="49"/>
      <c r="D323" s="49"/>
      <c r="E323" s="49"/>
      <c r="F323" s="49"/>
      <c r="G323" s="49"/>
      <c r="H323" s="49"/>
      <c r="I323" s="49" t="str">
        <f>IFERROR(__xludf.DUMMYFUNCTION("""COMPUTED_VALUE"""),"#VALUE!")</f>
        <v>#VALUE!</v>
      </c>
      <c r="J323" s="49"/>
      <c r="K323" s="49"/>
      <c r="L323" s="49" t="s">
        <v>255</v>
      </c>
      <c r="M323" s="49"/>
      <c r="N323" s="49"/>
      <c r="O323" s="49"/>
      <c r="P323" s="49"/>
      <c r="Q323" s="49"/>
      <c r="R323" s="49"/>
      <c r="S323" s="49"/>
      <c r="T323" s="49"/>
    </row>
    <row r="324">
      <c r="A324" s="49"/>
      <c r="B324" s="49"/>
      <c r="C324" s="49"/>
      <c r="D324" s="49"/>
      <c r="E324" s="49"/>
      <c r="F324" s="49"/>
      <c r="G324" s="49"/>
      <c r="H324" s="49"/>
      <c r="I324" s="49" t="str">
        <f>IFERROR(__xludf.DUMMYFUNCTION("""COMPUTED_VALUE"""),"#VALUE!")</f>
        <v>#VALUE!</v>
      </c>
      <c r="J324" s="49"/>
      <c r="K324" s="49"/>
      <c r="L324" s="49" t="s">
        <v>255</v>
      </c>
      <c r="M324" s="49"/>
      <c r="N324" s="49"/>
      <c r="O324" s="49"/>
      <c r="P324" s="49"/>
      <c r="Q324" s="49"/>
      <c r="R324" s="49"/>
      <c r="S324" s="49"/>
      <c r="T324" s="49"/>
    </row>
    <row r="325">
      <c r="A325" s="49"/>
      <c r="B325" s="49"/>
      <c r="C325" s="49"/>
      <c r="D325" s="49"/>
      <c r="E325" s="49"/>
      <c r="F325" s="49"/>
      <c r="G325" s="49"/>
      <c r="H325" s="49"/>
      <c r="I325" s="49" t="str">
        <f>IFERROR(__xludf.DUMMYFUNCTION("""COMPUTED_VALUE"""),"#VALUE!")</f>
        <v>#VALUE!</v>
      </c>
      <c r="J325" s="49"/>
      <c r="K325" s="49"/>
      <c r="L325" s="49" t="s">
        <v>255</v>
      </c>
      <c r="M325" s="49"/>
      <c r="N325" s="49"/>
      <c r="O325" s="49"/>
      <c r="P325" s="49"/>
      <c r="Q325" s="49"/>
      <c r="R325" s="49"/>
      <c r="S325" s="49"/>
      <c r="T325" s="49"/>
    </row>
    <row r="326">
      <c r="A326" s="49"/>
      <c r="B326" s="49"/>
      <c r="C326" s="49"/>
      <c r="D326" s="49"/>
      <c r="E326" s="49"/>
      <c r="F326" s="49"/>
      <c r="G326" s="49"/>
      <c r="H326" s="49"/>
      <c r="I326" s="49" t="str">
        <f>IFERROR(__xludf.DUMMYFUNCTION("""COMPUTED_VALUE"""),"#VALUE!")</f>
        <v>#VALUE!</v>
      </c>
      <c r="J326" s="49"/>
      <c r="K326" s="49"/>
      <c r="L326" s="49" t="s">
        <v>255</v>
      </c>
      <c r="M326" s="49"/>
      <c r="N326" s="49"/>
      <c r="O326" s="49"/>
      <c r="P326" s="49"/>
      <c r="Q326" s="49"/>
      <c r="R326" s="49"/>
      <c r="S326" s="49"/>
      <c r="T326" s="49"/>
    </row>
    <row r="327">
      <c r="A327" s="49"/>
      <c r="B327" s="49"/>
      <c r="C327" s="49"/>
      <c r="D327" s="49"/>
      <c r="E327" s="49"/>
      <c r="F327" s="49"/>
      <c r="G327" s="49"/>
      <c r="H327" s="49"/>
      <c r="I327" s="49" t="str">
        <f>IFERROR(__xludf.DUMMYFUNCTION("""COMPUTED_VALUE"""),"#VALUE!")</f>
        <v>#VALUE!</v>
      </c>
      <c r="J327" s="49"/>
      <c r="K327" s="49"/>
      <c r="L327" s="49" t="s">
        <v>255</v>
      </c>
      <c r="M327" s="49"/>
      <c r="N327" s="49"/>
      <c r="O327" s="49"/>
      <c r="P327" s="49"/>
      <c r="Q327" s="49"/>
      <c r="R327" s="49"/>
      <c r="S327" s="49"/>
      <c r="T327" s="49"/>
    </row>
    <row r="328">
      <c r="A328" s="49"/>
      <c r="B328" s="49"/>
      <c r="C328" s="49"/>
      <c r="D328" s="49"/>
      <c r="E328" s="49"/>
      <c r="F328" s="49"/>
      <c r="G328" s="49"/>
      <c r="H328" s="49"/>
      <c r="I328" s="49" t="str">
        <f>IFERROR(__xludf.DUMMYFUNCTION("""COMPUTED_VALUE"""),"#VALUE!")</f>
        <v>#VALUE!</v>
      </c>
      <c r="J328" s="49"/>
      <c r="K328" s="49"/>
      <c r="L328" s="49" t="s">
        <v>255</v>
      </c>
      <c r="M328" s="49"/>
      <c r="N328" s="49"/>
      <c r="O328" s="49"/>
      <c r="P328" s="49"/>
      <c r="Q328" s="49"/>
      <c r="R328" s="49"/>
      <c r="S328" s="49"/>
      <c r="T328" s="49"/>
    </row>
    <row r="329">
      <c r="A329" s="49"/>
      <c r="B329" s="49"/>
      <c r="C329" s="49"/>
      <c r="D329" s="49"/>
      <c r="E329" s="49"/>
      <c r="F329" s="49"/>
      <c r="G329" s="49"/>
      <c r="H329" s="49"/>
      <c r="I329" s="49" t="str">
        <f>IFERROR(__xludf.DUMMYFUNCTION("""COMPUTED_VALUE"""),"#VALUE!")</f>
        <v>#VALUE!</v>
      </c>
      <c r="J329" s="49"/>
      <c r="K329" s="49"/>
      <c r="L329" s="49" t="s">
        <v>255</v>
      </c>
      <c r="M329" s="49"/>
      <c r="N329" s="49"/>
      <c r="O329" s="49"/>
      <c r="P329" s="49"/>
      <c r="Q329" s="49"/>
      <c r="R329" s="49"/>
      <c r="S329" s="49"/>
      <c r="T329" s="49"/>
    </row>
    <row r="330">
      <c r="A330" s="49"/>
      <c r="B330" s="49"/>
      <c r="C330" s="49"/>
      <c r="D330" s="49"/>
      <c r="E330" s="49"/>
      <c r="F330" s="49"/>
      <c r="G330" s="49"/>
      <c r="H330" s="49"/>
      <c r="I330" s="49" t="str">
        <f>IFERROR(__xludf.DUMMYFUNCTION("""COMPUTED_VALUE"""),"#VALUE!")</f>
        <v>#VALUE!</v>
      </c>
      <c r="J330" s="49"/>
      <c r="K330" s="49"/>
      <c r="L330" s="49" t="s">
        <v>255</v>
      </c>
      <c r="M330" s="49"/>
      <c r="N330" s="49"/>
      <c r="O330" s="49"/>
      <c r="P330" s="49"/>
      <c r="Q330" s="49"/>
      <c r="R330" s="49"/>
      <c r="S330" s="49"/>
      <c r="T330" s="49"/>
    </row>
    <row r="331">
      <c r="A331" s="49"/>
      <c r="B331" s="49"/>
      <c r="C331" s="49"/>
      <c r="D331" s="49"/>
      <c r="E331" s="49"/>
      <c r="F331" s="49"/>
      <c r="G331" s="49"/>
      <c r="H331" s="49"/>
      <c r="I331" s="49" t="str">
        <f>IFERROR(__xludf.DUMMYFUNCTION("""COMPUTED_VALUE"""),"#VALUE!")</f>
        <v>#VALUE!</v>
      </c>
      <c r="J331" s="49"/>
      <c r="K331" s="49"/>
      <c r="L331" s="49" t="s">
        <v>255</v>
      </c>
      <c r="M331" s="49"/>
      <c r="N331" s="49"/>
      <c r="O331" s="49"/>
      <c r="P331" s="49"/>
      <c r="Q331" s="49"/>
      <c r="R331" s="49"/>
      <c r="S331" s="49"/>
      <c r="T331" s="49"/>
    </row>
    <row r="332">
      <c r="A332" s="49"/>
      <c r="B332" s="49"/>
      <c r="C332" s="49"/>
      <c r="D332" s="49"/>
      <c r="E332" s="49"/>
      <c r="F332" s="49"/>
      <c r="G332" s="49"/>
      <c r="H332" s="49"/>
      <c r="I332" s="49" t="str">
        <f>IFERROR(__xludf.DUMMYFUNCTION("""COMPUTED_VALUE"""),"#VALUE!")</f>
        <v>#VALUE!</v>
      </c>
      <c r="J332" s="49"/>
      <c r="K332" s="49"/>
      <c r="L332" s="49" t="s">
        <v>255</v>
      </c>
      <c r="M332" s="49"/>
      <c r="N332" s="49"/>
      <c r="O332" s="49"/>
      <c r="P332" s="49"/>
      <c r="Q332" s="49"/>
      <c r="R332" s="49"/>
      <c r="S332" s="49"/>
      <c r="T332" s="49"/>
    </row>
    <row r="333">
      <c r="A333" s="49"/>
      <c r="B333" s="49"/>
      <c r="C333" s="49"/>
      <c r="D333" s="49"/>
      <c r="E333" s="49"/>
      <c r="F333" s="49"/>
      <c r="G333" s="49"/>
      <c r="H333" s="49"/>
      <c r="I333" s="49" t="str">
        <f>IFERROR(__xludf.DUMMYFUNCTION("""COMPUTED_VALUE"""),"#VALUE!")</f>
        <v>#VALUE!</v>
      </c>
      <c r="J333" s="49"/>
      <c r="K333" s="49"/>
      <c r="L333" s="49" t="s">
        <v>255</v>
      </c>
      <c r="M333" s="49"/>
      <c r="N333" s="49"/>
      <c r="O333" s="49"/>
      <c r="P333" s="49"/>
      <c r="Q333" s="49"/>
      <c r="R333" s="49"/>
      <c r="S333" s="49"/>
      <c r="T333" s="49"/>
    </row>
    <row r="334">
      <c r="A334" s="49"/>
      <c r="B334" s="49"/>
      <c r="C334" s="49"/>
      <c r="D334" s="49"/>
      <c r="E334" s="49"/>
      <c r="F334" s="49"/>
      <c r="G334" s="49"/>
      <c r="H334" s="49"/>
      <c r="I334" s="49" t="str">
        <f>IFERROR(__xludf.DUMMYFUNCTION("""COMPUTED_VALUE"""),"#VALUE!")</f>
        <v>#VALUE!</v>
      </c>
      <c r="J334" s="49"/>
      <c r="K334" s="49"/>
      <c r="L334" s="49" t="s">
        <v>255</v>
      </c>
      <c r="M334" s="49"/>
      <c r="N334" s="49"/>
      <c r="O334" s="49"/>
      <c r="P334" s="49"/>
      <c r="Q334" s="49"/>
      <c r="R334" s="49"/>
      <c r="S334" s="49"/>
      <c r="T334" s="49"/>
    </row>
    <row r="335">
      <c r="A335" s="49"/>
      <c r="B335" s="49"/>
      <c r="C335" s="49"/>
      <c r="D335" s="49"/>
      <c r="E335" s="49"/>
      <c r="F335" s="49"/>
      <c r="G335" s="49"/>
      <c r="H335" s="49"/>
      <c r="I335" s="49" t="str">
        <f>IFERROR(__xludf.DUMMYFUNCTION("""COMPUTED_VALUE"""),"#VALUE!")</f>
        <v>#VALUE!</v>
      </c>
      <c r="J335" s="49"/>
      <c r="K335" s="49"/>
      <c r="L335" s="49" t="s">
        <v>255</v>
      </c>
      <c r="M335" s="49"/>
      <c r="N335" s="49"/>
      <c r="O335" s="49"/>
      <c r="P335" s="49"/>
      <c r="Q335" s="49"/>
      <c r="R335" s="49"/>
      <c r="S335" s="49"/>
      <c r="T335" s="49"/>
    </row>
    <row r="336">
      <c r="A336" s="49"/>
      <c r="B336" s="49"/>
      <c r="C336" s="49"/>
      <c r="D336" s="49"/>
      <c r="E336" s="49"/>
      <c r="F336" s="49"/>
      <c r="G336" s="49"/>
      <c r="H336" s="49"/>
      <c r="I336" s="49" t="str">
        <f>IFERROR(__xludf.DUMMYFUNCTION("""COMPUTED_VALUE"""),"#VALUE!")</f>
        <v>#VALUE!</v>
      </c>
      <c r="J336" s="49"/>
      <c r="K336" s="49"/>
      <c r="L336" s="49" t="s">
        <v>255</v>
      </c>
      <c r="M336" s="49"/>
      <c r="N336" s="49"/>
      <c r="O336" s="49"/>
      <c r="P336" s="49"/>
      <c r="Q336" s="49"/>
      <c r="R336" s="49"/>
      <c r="S336" s="49"/>
      <c r="T336" s="49"/>
    </row>
    <row r="337">
      <c r="A337" s="49"/>
      <c r="B337" s="49"/>
      <c r="C337" s="49"/>
      <c r="D337" s="49"/>
      <c r="E337" s="49"/>
      <c r="F337" s="49"/>
      <c r="G337" s="49"/>
      <c r="H337" s="49"/>
      <c r="I337" s="49" t="str">
        <f>IFERROR(__xludf.DUMMYFUNCTION("""COMPUTED_VALUE"""),"#VALUE!")</f>
        <v>#VALUE!</v>
      </c>
      <c r="J337" s="49"/>
      <c r="K337" s="49"/>
      <c r="L337" s="49" t="s">
        <v>255</v>
      </c>
      <c r="M337" s="49"/>
      <c r="N337" s="49"/>
      <c r="O337" s="49"/>
      <c r="P337" s="49"/>
      <c r="Q337" s="49"/>
      <c r="R337" s="49"/>
      <c r="S337" s="49"/>
      <c r="T337" s="49"/>
    </row>
    <row r="338">
      <c r="A338" s="49"/>
      <c r="B338" s="49"/>
      <c r="C338" s="49"/>
      <c r="D338" s="49"/>
      <c r="E338" s="49"/>
      <c r="F338" s="49"/>
      <c r="G338" s="49"/>
      <c r="H338" s="49"/>
      <c r="I338" s="49" t="str">
        <f>IFERROR(__xludf.DUMMYFUNCTION("""COMPUTED_VALUE"""),"#VALUE!")</f>
        <v>#VALUE!</v>
      </c>
      <c r="J338" s="49"/>
      <c r="K338" s="49"/>
      <c r="L338" s="49" t="s">
        <v>255</v>
      </c>
      <c r="M338" s="49"/>
      <c r="N338" s="49"/>
      <c r="O338" s="49"/>
      <c r="P338" s="49"/>
      <c r="Q338" s="49"/>
      <c r="R338" s="49"/>
      <c r="S338" s="49"/>
      <c r="T338" s="49"/>
    </row>
    <row r="339">
      <c r="A339" s="49"/>
      <c r="B339" s="49"/>
      <c r="C339" s="49"/>
      <c r="D339" s="49"/>
      <c r="E339" s="49"/>
      <c r="F339" s="49"/>
      <c r="G339" s="49"/>
      <c r="H339" s="49"/>
      <c r="I339" s="49" t="str">
        <f>IFERROR(__xludf.DUMMYFUNCTION("""COMPUTED_VALUE"""),"#VALUE!")</f>
        <v>#VALUE!</v>
      </c>
      <c r="J339" s="49"/>
      <c r="K339" s="49"/>
      <c r="L339" s="49" t="s">
        <v>255</v>
      </c>
      <c r="M339" s="49"/>
      <c r="N339" s="49"/>
      <c r="O339" s="49"/>
      <c r="P339" s="49"/>
      <c r="Q339" s="49"/>
      <c r="R339" s="49"/>
      <c r="S339" s="49"/>
      <c r="T339" s="49"/>
    </row>
    <row r="340">
      <c r="A340" s="49"/>
      <c r="B340" s="49"/>
      <c r="C340" s="49"/>
      <c r="D340" s="49"/>
      <c r="E340" s="49"/>
      <c r="F340" s="49"/>
      <c r="G340" s="49"/>
      <c r="H340" s="49"/>
      <c r="I340" s="49" t="str">
        <f>IFERROR(__xludf.DUMMYFUNCTION("""COMPUTED_VALUE"""),"#VALUE!")</f>
        <v>#VALUE!</v>
      </c>
      <c r="J340" s="49"/>
      <c r="K340" s="49"/>
      <c r="L340" s="49" t="s">
        <v>255</v>
      </c>
      <c r="M340" s="49"/>
      <c r="N340" s="49"/>
      <c r="O340" s="49"/>
      <c r="P340" s="49"/>
      <c r="Q340" s="49"/>
      <c r="R340" s="49"/>
      <c r="S340" s="49"/>
      <c r="T340" s="49"/>
    </row>
    <row r="341">
      <c r="A341" s="49"/>
      <c r="B341" s="49"/>
      <c r="C341" s="49"/>
      <c r="D341" s="49"/>
      <c r="E341" s="49"/>
      <c r="F341" s="49"/>
      <c r="G341" s="49"/>
      <c r="H341" s="49"/>
      <c r="I341" s="49" t="str">
        <f>IFERROR(__xludf.DUMMYFUNCTION("""COMPUTED_VALUE"""),"#VALUE!")</f>
        <v>#VALUE!</v>
      </c>
      <c r="J341" s="49"/>
      <c r="K341" s="49"/>
      <c r="L341" s="49" t="s">
        <v>255</v>
      </c>
      <c r="M341" s="49"/>
      <c r="N341" s="49"/>
      <c r="O341" s="49"/>
      <c r="P341" s="49"/>
      <c r="Q341" s="49"/>
      <c r="R341" s="49"/>
      <c r="S341" s="49"/>
      <c r="T341" s="49"/>
    </row>
    <row r="342">
      <c r="A342" s="49"/>
      <c r="B342" s="49"/>
      <c r="C342" s="49"/>
      <c r="D342" s="49"/>
      <c r="E342" s="49"/>
      <c r="F342" s="49"/>
      <c r="G342" s="49"/>
      <c r="H342" s="49"/>
      <c r="I342" s="49" t="str">
        <f>IFERROR(__xludf.DUMMYFUNCTION("""COMPUTED_VALUE"""),"#VALUE!")</f>
        <v>#VALUE!</v>
      </c>
      <c r="J342" s="49"/>
      <c r="K342" s="49"/>
      <c r="L342" s="49" t="s">
        <v>255</v>
      </c>
      <c r="M342" s="49"/>
      <c r="N342" s="49"/>
      <c r="O342" s="49"/>
      <c r="P342" s="49"/>
      <c r="Q342" s="49"/>
      <c r="R342" s="49"/>
      <c r="S342" s="49"/>
      <c r="T342" s="49"/>
    </row>
    <row r="343">
      <c r="A343" s="49"/>
      <c r="B343" s="49"/>
      <c r="C343" s="49"/>
      <c r="D343" s="49"/>
      <c r="E343" s="49"/>
      <c r="F343" s="49"/>
      <c r="G343" s="49"/>
      <c r="H343" s="49"/>
      <c r="I343" s="49" t="str">
        <f>IFERROR(__xludf.DUMMYFUNCTION("""COMPUTED_VALUE"""),"#VALUE!")</f>
        <v>#VALUE!</v>
      </c>
      <c r="J343" s="49"/>
      <c r="K343" s="49"/>
      <c r="L343" s="49" t="s">
        <v>255</v>
      </c>
      <c r="M343" s="49"/>
      <c r="N343" s="49"/>
      <c r="O343" s="49"/>
      <c r="P343" s="49"/>
      <c r="Q343" s="49"/>
      <c r="R343" s="49"/>
      <c r="S343" s="49"/>
      <c r="T343" s="49"/>
    </row>
    <row r="344">
      <c r="A344" s="49"/>
      <c r="B344" s="49"/>
      <c r="C344" s="49"/>
      <c r="D344" s="49"/>
      <c r="E344" s="49"/>
      <c r="F344" s="49"/>
      <c r="G344" s="49"/>
      <c r="H344" s="49"/>
      <c r="I344" s="49" t="str">
        <f>IFERROR(__xludf.DUMMYFUNCTION("""COMPUTED_VALUE"""),"#VALUE!")</f>
        <v>#VALUE!</v>
      </c>
      <c r="J344" s="49"/>
      <c r="K344" s="49"/>
      <c r="L344" s="49" t="s">
        <v>255</v>
      </c>
      <c r="M344" s="49"/>
      <c r="N344" s="49"/>
      <c r="O344" s="49"/>
      <c r="P344" s="49"/>
      <c r="Q344" s="49"/>
      <c r="R344" s="49"/>
      <c r="S344" s="49"/>
      <c r="T344" s="49"/>
    </row>
    <row r="345">
      <c r="A345" s="49"/>
      <c r="B345" s="49"/>
      <c r="C345" s="49"/>
      <c r="D345" s="49"/>
      <c r="E345" s="49"/>
      <c r="F345" s="49"/>
      <c r="G345" s="49"/>
      <c r="H345" s="49"/>
      <c r="I345" s="49" t="str">
        <f>IFERROR(__xludf.DUMMYFUNCTION("""COMPUTED_VALUE"""),"#VALUE!")</f>
        <v>#VALUE!</v>
      </c>
      <c r="J345" s="49"/>
      <c r="K345" s="49"/>
      <c r="L345" s="49" t="s">
        <v>255</v>
      </c>
      <c r="M345" s="49"/>
      <c r="N345" s="49"/>
      <c r="O345" s="49"/>
      <c r="P345" s="49"/>
      <c r="Q345" s="49"/>
      <c r="R345" s="49"/>
      <c r="S345" s="49"/>
      <c r="T345" s="49"/>
    </row>
    <row r="346">
      <c r="A346" s="49"/>
      <c r="B346" s="49"/>
      <c r="C346" s="49"/>
      <c r="D346" s="49"/>
      <c r="E346" s="49"/>
      <c r="F346" s="49"/>
      <c r="G346" s="49"/>
      <c r="H346" s="49"/>
      <c r="I346" s="49" t="str">
        <f>IFERROR(__xludf.DUMMYFUNCTION("""COMPUTED_VALUE"""),"#VALUE!")</f>
        <v>#VALUE!</v>
      </c>
      <c r="J346" s="49"/>
      <c r="K346" s="49"/>
      <c r="L346" s="49" t="s">
        <v>255</v>
      </c>
      <c r="M346" s="49"/>
      <c r="N346" s="49"/>
      <c r="O346" s="49"/>
      <c r="P346" s="49"/>
      <c r="Q346" s="49"/>
      <c r="R346" s="49"/>
      <c r="S346" s="49"/>
      <c r="T346" s="49"/>
    </row>
    <row r="347">
      <c r="A347" s="49"/>
      <c r="B347" s="49"/>
      <c r="C347" s="49"/>
      <c r="D347" s="49"/>
      <c r="E347" s="49"/>
      <c r="F347" s="49"/>
      <c r="G347" s="49"/>
      <c r="H347" s="49"/>
      <c r="I347" s="49" t="str">
        <f>IFERROR(__xludf.DUMMYFUNCTION("""COMPUTED_VALUE"""),"#VALUE!")</f>
        <v>#VALUE!</v>
      </c>
      <c r="J347" s="49"/>
      <c r="K347" s="49"/>
      <c r="L347" s="49" t="s">
        <v>255</v>
      </c>
      <c r="M347" s="49"/>
      <c r="N347" s="49"/>
      <c r="O347" s="49"/>
      <c r="P347" s="49"/>
      <c r="Q347" s="49"/>
      <c r="R347" s="49"/>
      <c r="S347" s="49"/>
      <c r="T347" s="49"/>
    </row>
    <row r="348">
      <c r="A348" s="49"/>
      <c r="B348" s="49"/>
      <c r="C348" s="49"/>
      <c r="D348" s="49"/>
      <c r="E348" s="49"/>
      <c r="F348" s="49"/>
      <c r="G348" s="49"/>
      <c r="H348" s="49"/>
      <c r="I348" s="49" t="str">
        <f>IFERROR(__xludf.DUMMYFUNCTION("""COMPUTED_VALUE"""),"#VALUE!")</f>
        <v>#VALUE!</v>
      </c>
      <c r="J348" s="49"/>
      <c r="K348" s="49"/>
      <c r="L348" s="49" t="s">
        <v>255</v>
      </c>
      <c r="M348" s="49"/>
      <c r="N348" s="49"/>
      <c r="O348" s="49"/>
      <c r="P348" s="49"/>
      <c r="Q348" s="49"/>
      <c r="R348" s="49"/>
      <c r="S348" s="49"/>
      <c r="T348" s="49"/>
    </row>
    <row r="349">
      <c r="A349" s="49"/>
      <c r="B349" s="49"/>
      <c r="C349" s="49"/>
      <c r="D349" s="49"/>
      <c r="E349" s="49"/>
      <c r="F349" s="49"/>
      <c r="G349" s="49"/>
      <c r="H349" s="49"/>
      <c r="I349" s="49" t="str">
        <f>IFERROR(__xludf.DUMMYFUNCTION("""COMPUTED_VALUE"""),"#VALUE!")</f>
        <v>#VALUE!</v>
      </c>
      <c r="J349" s="49"/>
      <c r="K349" s="49"/>
      <c r="L349" s="49" t="s">
        <v>255</v>
      </c>
      <c r="M349" s="49"/>
      <c r="N349" s="49"/>
      <c r="O349" s="49"/>
      <c r="P349" s="49"/>
      <c r="Q349" s="49"/>
      <c r="R349" s="49"/>
      <c r="S349" s="49"/>
      <c r="T349" s="49"/>
    </row>
    <row r="350">
      <c r="A350" s="49"/>
      <c r="B350" s="49"/>
      <c r="C350" s="49"/>
      <c r="D350" s="49"/>
      <c r="E350" s="49"/>
      <c r="F350" s="49"/>
      <c r="G350" s="49"/>
      <c r="H350" s="49"/>
      <c r="I350" s="49" t="str">
        <f>IFERROR(__xludf.DUMMYFUNCTION("""COMPUTED_VALUE"""),"#VALUE!")</f>
        <v>#VALUE!</v>
      </c>
      <c r="J350" s="49"/>
      <c r="K350" s="49"/>
      <c r="L350" s="49" t="s">
        <v>255</v>
      </c>
      <c r="M350" s="49"/>
      <c r="N350" s="49"/>
      <c r="O350" s="49"/>
      <c r="P350" s="49"/>
      <c r="Q350" s="49"/>
      <c r="R350" s="49"/>
      <c r="S350" s="49"/>
      <c r="T350" s="49"/>
    </row>
    <row r="351">
      <c r="A351" s="49"/>
      <c r="B351" s="49"/>
      <c r="C351" s="49"/>
      <c r="D351" s="49"/>
      <c r="E351" s="49"/>
      <c r="F351" s="49"/>
      <c r="G351" s="49"/>
      <c r="H351" s="49"/>
      <c r="I351" s="49" t="str">
        <f>IFERROR(__xludf.DUMMYFUNCTION("""COMPUTED_VALUE"""),"#VALUE!")</f>
        <v>#VALUE!</v>
      </c>
      <c r="J351" s="49"/>
      <c r="K351" s="49"/>
      <c r="L351" s="49" t="s">
        <v>255</v>
      </c>
      <c r="M351" s="49"/>
      <c r="N351" s="49"/>
      <c r="O351" s="49"/>
      <c r="P351" s="49"/>
      <c r="Q351" s="49"/>
      <c r="R351" s="49"/>
      <c r="S351" s="49"/>
      <c r="T351" s="49"/>
    </row>
    <row r="352">
      <c r="A352" s="49"/>
      <c r="B352" s="49"/>
      <c r="C352" s="49"/>
      <c r="D352" s="49"/>
      <c r="E352" s="49"/>
      <c r="F352" s="49"/>
      <c r="G352" s="49"/>
      <c r="H352" s="49"/>
      <c r="I352" s="49" t="str">
        <f>IFERROR(__xludf.DUMMYFUNCTION("""COMPUTED_VALUE"""),"#VALUE!")</f>
        <v>#VALUE!</v>
      </c>
      <c r="J352" s="49"/>
      <c r="K352" s="49"/>
      <c r="L352" s="49" t="s">
        <v>255</v>
      </c>
      <c r="M352" s="49"/>
      <c r="N352" s="49"/>
      <c r="O352" s="49"/>
      <c r="P352" s="49"/>
      <c r="Q352" s="49"/>
      <c r="R352" s="49"/>
      <c r="S352" s="49"/>
      <c r="T352" s="49"/>
    </row>
    <row r="353">
      <c r="A353" s="49"/>
      <c r="B353" s="49"/>
      <c r="C353" s="49"/>
      <c r="D353" s="49"/>
      <c r="E353" s="49"/>
      <c r="F353" s="49"/>
      <c r="G353" s="49"/>
      <c r="H353" s="49"/>
      <c r="I353" s="49" t="str">
        <f>IFERROR(__xludf.DUMMYFUNCTION("""COMPUTED_VALUE"""),"#VALUE!")</f>
        <v>#VALUE!</v>
      </c>
      <c r="J353" s="49"/>
      <c r="K353" s="49"/>
      <c r="L353" s="49" t="s">
        <v>255</v>
      </c>
      <c r="M353" s="49"/>
      <c r="N353" s="49"/>
      <c r="O353" s="49"/>
      <c r="P353" s="49"/>
      <c r="Q353" s="49"/>
      <c r="R353" s="49"/>
      <c r="S353" s="49"/>
      <c r="T353" s="49"/>
    </row>
    <row r="354">
      <c r="A354" s="49"/>
      <c r="B354" s="49"/>
      <c r="C354" s="49"/>
      <c r="D354" s="49"/>
      <c r="E354" s="49"/>
      <c r="F354" s="49"/>
      <c r="G354" s="49"/>
      <c r="H354" s="49"/>
      <c r="I354" s="49" t="str">
        <f>IFERROR(__xludf.DUMMYFUNCTION("""COMPUTED_VALUE"""),"#VALUE!")</f>
        <v>#VALUE!</v>
      </c>
      <c r="J354" s="49"/>
      <c r="K354" s="49"/>
      <c r="L354" s="49" t="s">
        <v>255</v>
      </c>
      <c r="M354" s="49"/>
      <c r="N354" s="49"/>
      <c r="O354" s="49"/>
      <c r="P354" s="49"/>
      <c r="Q354" s="49"/>
      <c r="R354" s="49"/>
      <c r="S354" s="49"/>
      <c r="T354" s="49"/>
    </row>
    <row r="355">
      <c r="A355" s="49"/>
      <c r="B355" s="49"/>
      <c r="C355" s="49"/>
      <c r="D355" s="49"/>
      <c r="E355" s="49"/>
      <c r="F355" s="49"/>
      <c r="G355" s="49"/>
      <c r="H355" s="49"/>
      <c r="I355" s="49" t="str">
        <f>IFERROR(__xludf.DUMMYFUNCTION("""COMPUTED_VALUE"""),"#VALUE!")</f>
        <v>#VALUE!</v>
      </c>
      <c r="J355" s="49"/>
      <c r="K355" s="49"/>
      <c r="L355" s="49" t="s">
        <v>255</v>
      </c>
      <c r="M355" s="49"/>
      <c r="N355" s="49"/>
      <c r="O355" s="49"/>
      <c r="P355" s="49"/>
      <c r="Q355" s="49"/>
      <c r="R355" s="49"/>
      <c r="S355" s="49"/>
      <c r="T355" s="49"/>
    </row>
    <row r="356">
      <c r="A356" s="49"/>
      <c r="B356" s="49"/>
      <c r="C356" s="49"/>
      <c r="D356" s="49"/>
      <c r="E356" s="49"/>
      <c r="F356" s="49"/>
      <c r="G356" s="49"/>
      <c r="H356" s="49"/>
      <c r="I356" s="49" t="str">
        <f>IFERROR(__xludf.DUMMYFUNCTION("""COMPUTED_VALUE"""),"#VALUE!")</f>
        <v>#VALUE!</v>
      </c>
      <c r="J356" s="49"/>
      <c r="K356" s="49"/>
      <c r="L356" s="49" t="s">
        <v>255</v>
      </c>
      <c r="M356" s="49"/>
      <c r="N356" s="49"/>
      <c r="O356" s="49"/>
      <c r="P356" s="49"/>
      <c r="Q356" s="49"/>
      <c r="R356" s="49"/>
      <c r="S356" s="49"/>
      <c r="T356" s="49"/>
    </row>
    <row r="357">
      <c r="A357" s="49"/>
      <c r="B357" s="49"/>
      <c r="C357" s="49"/>
      <c r="D357" s="49"/>
      <c r="E357" s="49"/>
      <c r="F357" s="49"/>
      <c r="G357" s="49"/>
      <c r="H357" s="49"/>
      <c r="I357" s="49" t="str">
        <f>IFERROR(__xludf.DUMMYFUNCTION("""COMPUTED_VALUE"""),"#VALUE!")</f>
        <v>#VALUE!</v>
      </c>
      <c r="J357" s="49"/>
      <c r="K357" s="49"/>
      <c r="L357" s="49" t="s">
        <v>255</v>
      </c>
      <c r="M357" s="49"/>
      <c r="N357" s="49"/>
      <c r="O357" s="49"/>
      <c r="P357" s="49"/>
      <c r="Q357" s="49"/>
      <c r="R357" s="49"/>
      <c r="S357" s="49"/>
      <c r="T357" s="49"/>
    </row>
    <row r="358">
      <c r="A358" s="49"/>
      <c r="B358" s="49"/>
      <c r="C358" s="49"/>
      <c r="D358" s="49"/>
      <c r="E358" s="49"/>
      <c r="F358" s="49"/>
      <c r="G358" s="49"/>
      <c r="H358" s="49"/>
      <c r="I358" s="49" t="str">
        <f>IFERROR(__xludf.DUMMYFUNCTION("""COMPUTED_VALUE"""),"#VALUE!")</f>
        <v>#VALUE!</v>
      </c>
      <c r="J358" s="49"/>
      <c r="K358" s="49"/>
      <c r="L358" s="49" t="s">
        <v>255</v>
      </c>
      <c r="M358" s="49"/>
      <c r="N358" s="49"/>
      <c r="O358" s="49"/>
      <c r="P358" s="49"/>
      <c r="Q358" s="49"/>
      <c r="R358" s="49"/>
      <c r="S358" s="49"/>
      <c r="T358" s="49"/>
    </row>
    <row r="359">
      <c r="A359" s="49"/>
      <c r="B359" s="49"/>
      <c r="C359" s="49"/>
      <c r="D359" s="49"/>
      <c r="E359" s="49"/>
      <c r="F359" s="49"/>
      <c r="G359" s="49"/>
      <c r="H359" s="49"/>
      <c r="I359" s="49" t="str">
        <f>IFERROR(__xludf.DUMMYFUNCTION("""COMPUTED_VALUE"""),"#VALUE!")</f>
        <v>#VALUE!</v>
      </c>
      <c r="J359" s="49"/>
      <c r="K359" s="49"/>
      <c r="L359" s="49" t="s">
        <v>255</v>
      </c>
      <c r="M359" s="49"/>
      <c r="N359" s="49"/>
      <c r="O359" s="49"/>
      <c r="P359" s="49"/>
      <c r="Q359" s="49"/>
      <c r="R359" s="49"/>
      <c r="S359" s="49"/>
      <c r="T359" s="49"/>
    </row>
    <row r="360">
      <c r="A360" s="49"/>
      <c r="B360" s="49"/>
      <c r="C360" s="49"/>
      <c r="D360" s="49"/>
      <c r="E360" s="49"/>
      <c r="F360" s="49"/>
      <c r="G360" s="49"/>
      <c r="H360" s="49"/>
      <c r="I360" s="49" t="str">
        <f>IFERROR(__xludf.DUMMYFUNCTION("""COMPUTED_VALUE"""),"#VALUE!")</f>
        <v>#VALUE!</v>
      </c>
      <c r="J360" s="49"/>
      <c r="K360" s="49"/>
      <c r="L360" s="49" t="s">
        <v>255</v>
      </c>
      <c r="M360" s="49"/>
      <c r="N360" s="49"/>
      <c r="O360" s="49"/>
      <c r="P360" s="49"/>
      <c r="Q360" s="49"/>
      <c r="R360" s="49"/>
      <c r="S360" s="49"/>
      <c r="T360" s="49"/>
    </row>
    <row r="361">
      <c r="A361" s="49"/>
      <c r="B361" s="49"/>
      <c r="C361" s="49"/>
      <c r="D361" s="49"/>
      <c r="E361" s="49"/>
      <c r="F361" s="49"/>
      <c r="G361" s="49"/>
      <c r="H361" s="49"/>
      <c r="I361" s="49" t="str">
        <f>IFERROR(__xludf.DUMMYFUNCTION("""COMPUTED_VALUE"""),"#VALUE!")</f>
        <v>#VALUE!</v>
      </c>
      <c r="J361" s="49"/>
      <c r="K361" s="49"/>
      <c r="L361" s="49" t="s">
        <v>255</v>
      </c>
      <c r="M361" s="49"/>
      <c r="N361" s="49"/>
      <c r="O361" s="49"/>
      <c r="P361" s="49"/>
      <c r="Q361" s="49"/>
      <c r="R361" s="49"/>
      <c r="S361" s="49"/>
      <c r="T361" s="49"/>
    </row>
    <row r="362">
      <c r="A362" s="49"/>
      <c r="B362" s="49"/>
      <c r="C362" s="49"/>
      <c r="D362" s="49"/>
      <c r="E362" s="49"/>
      <c r="F362" s="49"/>
      <c r="G362" s="49"/>
      <c r="H362" s="49"/>
      <c r="I362" s="49" t="str">
        <f>IFERROR(__xludf.DUMMYFUNCTION("""COMPUTED_VALUE"""),"#VALUE!")</f>
        <v>#VALUE!</v>
      </c>
      <c r="J362" s="49"/>
      <c r="K362" s="49"/>
      <c r="L362" s="49" t="s">
        <v>255</v>
      </c>
      <c r="M362" s="49"/>
      <c r="N362" s="49"/>
      <c r="O362" s="49"/>
      <c r="P362" s="49"/>
      <c r="Q362" s="49"/>
      <c r="R362" s="49"/>
      <c r="S362" s="49"/>
      <c r="T362" s="49"/>
    </row>
    <row r="363">
      <c r="A363" s="49"/>
      <c r="B363" s="49"/>
      <c r="C363" s="49"/>
      <c r="D363" s="49"/>
      <c r="E363" s="49"/>
      <c r="F363" s="49"/>
      <c r="G363" s="49"/>
      <c r="H363" s="49"/>
      <c r="I363" s="49" t="str">
        <f>IFERROR(__xludf.DUMMYFUNCTION("""COMPUTED_VALUE"""),"#VALUE!")</f>
        <v>#VALUE!</v>
      </c>
      <c r="J363" s="49"/>
      <c r="K363" s="49"/>
      <c r="L363" s="49" t="s">
        <v>255</v>
      </c>
      <c r="M363" s="49"/>
      <c r="N363" s="49"/>
      <c r="O363" s="49"/>
      <c r="P363" s="49"/>
      <c r="Q363" s="49"/>
      <c r="R363" s="49"/>
      <c r="S363" s="49"/>
      <c r="T363" s="49"/>
    </row>
    <row r="364">
      <c r="A364" s="49"/>
      <c r="B364" s="49"/>
      <c r="C364" s="49"/>
      <c r="D364" s="49"/>
      <c r="E364" s="49"/>
      <c r="F364" s="49"/>
      <c r="G364" s="49"/>
      <c r="H364" s="49"/>
      <c r="I364" s="49" t="str">
        <f>IFERROR(__xludf.DUMMYFUNCTION("""COMPUTED_VALUE"""),"#VALUE!")</f>
        <v>#VALUE!</v>
      </c>
      <c r="J364" s="49"/>
      <c r="K364" s="49"/>
      <c r="L364" s="49" t="s">
        <v>255</v>
      </c>
      <c r="M364" s="49"/>
      <c r="N364" s="49"/>
      <c r="O364" s="49"/>
      <c r="P364" s="49"/>
      <c r="Q364" s="49"/>
      <c r="R364" s="49"/>
      <c r="S364" s="49"/>
      <c r="T364" s="49"/>
    </row>
    <row r="365">
      <c r="A365" s="49"/>
      <c r="B365" s="49"/>
      <c r="C365" s="49"/>
      <c r="D365" s="49"/>
      <c r="E365" s="49"/>
      <c r="F365" s="49"/>
      <c r="G365" s="49"/>
      <c r="H365" s="49"/>
      <c r="I365" s="49" t="str">
        <f>IFERROR(__xludf.DUMMYFUNCTION("""COMPUTED_VALUE"""),"#VALUE!")</f>
        <v>#VALUE!</v>
      </c>
      <c r="J365" s="49"/>
      <c r="K365" s="49"/>
      <c r="L365" s="49" t="s">
        <v>255</v>
      </c>
      <c r="M365" s="49"/>
      <c r="N365" s="49"/>
      <c r="O365" s="49"/>
      <c r="P365" s="49"/>
      <c r="Q365" s="49"/>
      <c r="R365" s="49"/>
      <c r="S365" s="49"/>
      <c r="T365" s="49"/>
    </row>
    <row r="366">
      <c r="A366" s="49"/>
      <c r="B366" s="49"/>
      <c r="C366" s="49"/>
      <c r="D366" s="49"/>
      <c r="E366" s="49"/>
      <c r="F366" s="49"/>
      <c r="G366" s="49"/>
      <c r="H366" s="49"/>
      <c r="I366" s="49" t="str">
        <f>IFERROR(__xludf.DUMMYFUNCTION("""COMPUTED_VALUE"""),"#VALUE!")</f>
        <v>#VALUE!</v>
      </c>
      <c r="J366" s="49"/>
      <c r="K366" s="49"/>
      <c r="L366" s="49" t="s">
        <v>255</v>
      </c>
      <c r="M366" s="49"/>
      <c r="N366" s="49"/>
      <c r="O366" s="49"/>
      <c r="P366" s="49"/>
      <c r="Q366" s="49"/>
      <c r="R366" s="49"/>
      <c r="S366" s="49"/>
      <c r="T366" s="49"/>
    </row>
    <row r="367">
      <c r="A367" s="49"/>
      <c r="B367" s="49"/>
      <c r="C367" s="49"/>
      <c r="D367" s="49"/>
      <c r="E367" s="49"/>
      <c r="F367" s="49"/>
      <c r="G367" s="49"/>
      <c r="H367" s="49"/>
      <c r="I367" s="49" t="str">
        <f>IFERROR(__xludf.DUMMYFUNCTION("""COMPUTED_VALUE"""),"#VALUE!")</f>
        <v>#VALUE!</v>
      </c>
      <c r="J367" s="49"/>
      <c r="K367" s="49"/>
      <c r="L367" s="49" t="s">
        <v>255</v>
      </c>
      <c r="M367" s="49"/>
      <c r="N367" s="49"/>
      <c r="O367" s="49"/>
      <c r="P367" s="49"/>
      <c r="Q367" s="49"/>
      <c r="R367" s="49"/>
      <c r="S367" s="49"/>
      <c r="T367" s="49"/>
    </row>
    <row r="368">
      <c r="A368" s="49"/>
      <c r="B368" s="49"/>
      <c r="C368" s="49"/>
      <c r="D368" s="49"/>
      <c r="E368" s="49"/>
      <c r="F368" s="49"/>
      <c r="G368" s="49"/>
      <c r="H368" s="49"/>
      <c r="I368" s="49" t="str">
        <f>IFERROR(__xludf.DUMMYFUNCTION("""COMPUTED_VALUE"""),"#VALUE!")</f>
        <v>#VALUE!</v>
      </c>
      <c r="J368" s="49"/>
      <c r="K368" s="49"/>
      <c r="L368" s="49" t="s">
        <v>255</v>
      </c>
      <c r="M368" s="49"/>
      <c r="N368" s="49"/>
      <c r="O368" s="49"/>
      <c r="P368" s="49"/>
      <c r="Q368" s="49"/>
      <c r="R368" s="49"/>
      <c r="S368" s="49"/>
      <c r="T368" s="49"/>
    </row>
    <row r="369">
      <c r="A369" s="49"/>
      <c r="B369" s="49"/>
      <c r="C369" s="49"/>
      <c r="D369" s="49"/>
      <c r="E369" s="49"/>
      <c r="F369" s="49"/>
      <c r="G369" s="49"/>
      <c r="H369" s="49"/>
      <c r="I369" s="49" t="str">
        <f>IFERROR(__xludf.DUMMYFUNCTION("""COMPUTED_VALUE"""),"#VALUE!")</f>
        <v>#VALUE!</v>
      </c>
      <c r="J369" s="49"/>
      <c r="K369" s="49"/>
      <c r="L369" s="49" t="s">
        <v>255</v>
      </c>
      <c r="M369" s="49"/>
      <c r="N369" s="49"/>
      <c r="O369" s="49"/>
      <c r="P369" s="49"/>
      <c r="Q369" s="49"/>
      <c r="R369" s="49"/>
      <c r="S369" s="49"/>
      <c r="T369" s="49"/>
    </row>
    <row r="370">
      <c r="A370" s="49"/>
      <c r="B370" s="49"/>
      <c r="C370" s="49"/>
      <c r="D370" s="49"/>
      <c r="E370" s="49"/>
      <c r="F370" s="49"/>
      <c r="G370" s="49"/>
      <c r="H370" s="49"/>
      <c r="I370" s="49" t="str">
        <f>IFERROR(__xludf.DUMMYFUNCTION("""COMPUTED_VALUE"""),"#VALUE!")</f>
        <v>#VALUE!</v>
      </c>
      <c r="J370" s="49"/>
      <c r="K370" s="49"/>
      <c r="L370" s="49" t="s">
        <v>255</v>
      </c>
      <c r="M370" s="49"/>
      <c r="N370" s="49"/>
      <c r="O370" s="49"/>
      <c r="P370" s="49"/>
      <c r="Q370" s="49"/>
      <c r="R370" s="49"/>
      <c r="S370" s="49"/>
      <c r="T370" s="49"/>
    </row>
    <row r="371">
      <c r="A371" s="49"/>
      <c r="B371" s="49"/>
      <c r="C371" s="49"/>
      <c r="D371" s="49"/>
      <c r="E371" s="49"/>
      <c r="F371" s="49"/>
      <c r="G371" s="49"/>
      <c r="H371" s="49"/>
      <c r="I371" s="49" t="str">
        <f>IFERROR(__xludf.DUMMYFUNCTION("""COMPUTED_VALUE"""),"#VALUE!")</f>
        <v>#VALUE!</v>
      </c>
      <c r="J371" s="49"/>
      <c r="K371" s="49"/>
      <c r="L371" s="49" t="s">
        <v>255</v>
      </c>
      <c r="M371" s="49"/>
      <c r="N371" s="49"/>
      <c r="O371" s="49"/>
      <c r="P371" s="49"/>
      <c r="Q371" s="49"/>
      <c r="R371" s="49"/>
      <c r="S371" s="49"/>
      <c r="T371" s="49"/>
    </row>
    <row r="372">
      <c r="A372" s="49"/>
      <c r="B372" s="49"/>
      <c r="C372" s="49"/>
      <c r="D372" s="49"/>
      <c r="E372" s="49"/>
      <c r="F372" s="49"/>
      <c r="G372" s="49"/>
      <c r="H372" s="49"/>
      <c r="I372" s="49" t="str">
        <f>IFERROR(__xludf.DUMMYFUNCTION("""COMPUTED_VALUE"""),"#VALUE!")</f>
        <v>#VALUE!</v>
      </c>
      <c r="J372" s="49"/>
      <c r="K372" s="49"/>
      <c r="L372" s="49" t="s">
        <v>255</v>
      </c>
      <c r="M372" s="49"/>
      <c r="N372" s="49"/>
      <c r="O372" s="49"/>
      <c r="P372" s="49"/>
      <c r="Q372" s="49"/>
      <c r="R372" s="49"/>
      <c r="S372" s="49"/>
      <c r="T372" s="49"/>
    </row>
    <row r="373">
      <c r="A373" s="49"/>
      <c r="B373" s="49"/>
      <c r="C373" s="49"/>
      <c r="D373" s="49"/>
      <c r="E373" s="49"/>
      <c r="F373" s="49"/>
      <c r="G373" s="49"/>
      <c r="H373" s="49"/>
      <c r="I373" s="49" t="str">
        <f>IFERROR(__xludf.DUMMYFUNCTION("""COMPUTED_VALUE"""),"#VALUE!")</f>
        <v>#VALUE!</v>
      </c>
      <c r="J373" s="49"/>
      <c r="K373" s="49"/>
      <c r="L373" s="49" t="s">
        <v>255</v>
      </c>
      <c r="M373" s="49"/>
      <c r="N373" s="49"/>
      <c r="O373" s="49"/>
      <c r="P373" s="49"/>
      <c r="Q373" s="49"/>
      <c r="R373" s="49"/>
      <c r="S373" s="49"/>
      <c r="T373" s="49"/>
    </row>
    <row r="374">
      <c r="A374" s="49"/>
      <c r="B374" s="49"/>
      <c r="C374" s="49"/>
      <c r="D374" s="49"/>
      <c r="E374" s="49"/>
      <c r="F374" s="49"/>
      <c r="G374" s="49"/>
      <c r="H374" s="49"/>
      <c r="I374" s="49" t="str">
        <f>IFERROR(__xludf.DUMMYFUNCTION("""COMPUTED_VALUE"""),"#VALUE!")</f>
        <v>#VALUE!</v>
      </c>
      <c r="J374" s="49"/>
      <c r="K374" s="49"/>
      <c r="L374" s="49" t="s">
        <v>255</v>
      </c>
      <c r="M374" s="49"/>
      <c r="N374" s="49"/>
      <c r="O374" s="49"/>
      <c r="P374" s="49"/>
      <c r="Q374" s="49"/>
      <c r="R374" s="49"/>
      <c r="S374" s="49"/>
      <c r="T374" s="49"/>
    </row>
    <row r="375">
      <c r="A375" s="49"/>
      <c r="B375" s="49"/>
      <c r="C375" s="49"/>
      <c r="D375" s="49"/>
      <c r="E375" s="49"/>
      <c r="F375" s="49"/>
      <c r="G375" s="49"/>
      <c r="H375" s="49"/>
      <c r="I375" s="49" t="str">
        <f>IFERROR(__xludf.DUMMYFUNCTION("""COMPUTED_VALUE"""),"#VALUE!")</f>
        <v>#VALUE!</v>
      </c>
      <c r="J375" s="49"/>
      <c r="K375" s="49"/>
      <c r="L375" s="49" t="s">
        <v>255</v>
      </c>
      <c r="M375" s="49"/>
      <c r="N375" s="49"/>
      <c r="O375" s="49"/>
      <c r="P375" s="49"/>
      <c r="Q375" s="49"/>
      <c r="R375" s="49"/>
      <c r="S375" s="49"/>
      <c r="T375" s="49"/>
    </row>
    <row r="376">
      <c r="A376" s="49"/>
      <c r="B376" s="49"/>
      <c r="C376" s="49"/>
      <c r="D376" s="49"/>
      <c r="E376" s="49"/>
      <c r="F376" s="49"/>
      <c r="G376" s="49"/>
      <c r="H376" s="49"/>
      <c r="I376" s="49" t="str">
        <f>IFERROR(__xludf.DUMMYFUNCTION("""COMPUTED_VALUE"""),"#VALUE!")</f>
        <v>#VALUE!</v>
      </c>
      <c r="J376" s="49"/>
      <c r="K376" s="49"/>
      <c r="L376" s="49" t="s">
        <v>255</v>
      </c>
      <c r="M376" s="49"/>
      <c r="N376" s="49"/>
      <c r="O376" s="49"/>
      <c r="P376" s="49"/>
      <c r="Q376" s="49"/>
      <c r="R376" s="49"/>
      <c r="S376" s="49"/>
      <c r="T376" s="49"/>
    </row>
    <row r="377">
      <c r="A377" s="49"/>
      <c r="B377" s="49"/>
      <c r="C377" s="49"/>
      <c r="D377" s="49"/>
      <c r="E377" s="49"/>
      <c r="F377" s="49"/>
      <c r="G377" s="49"/>
      <c r="H377" s="49"/>
      <c r="I377" s="49" t="str">
        <f>IFERROR(__xludf.DUMMYFUNCTION("""COMPUTED_VALUE"""),"#VALUE!")</f>
        <v>#VALUE!</v>
      </c>
      <c r="J377" s="49"/>
      <c r="K377" s="49"/>
      <c r="L377" s="49" t="s">
        <v>255</v>
      </c>
      <c r="M377" s="49"/>
      <c r="N377" s="49"/>
      <c r="O377" s="49"/>
      <c r="P377" s="49"/>
      <c r="Q377" s="49"/>
      <c r="R377" s="49"/>
      <c r="S377" s="49"/>
      <c r="T377" s="49"/>
    </row>
    <row r="378">
      <c r="A378" s="49"/>
      <c r="B378" s="49"/>
      <c r="C378" s="49"/>
      <c r="D378" s="49"/>
      <c r="E378" s="49"/>
      <c r="F378" s="49"/>
      <c r="G378" s="49"/>
      <c r="H378" s="49"/>
      <c r="I378" s="49" t="str">
        <f>IFERROR(__xludf.DUMMYFUNCTION("""COMPUTED_VALUE"""),"#VALUE!")</f>
        <v>#VALUE!</v>
      </c>
      <c r="J378" s="49"/>
      <c r="K378" s="49"/>
      <c r="L378" s="49" t="s">
        <v>255</v>
      </c>
      <c r="M378" s="49"/>
      <c r="N378" s="49"/>
      <c r="O378" s="49"/>
      <c r="P378" s="49"/>
      <c r="Q378" s="49"/>
      <c r="R378" s="49"/>
      <c r="S378" s="49"/>
      <c r="T378" s="49"/>
    </row>
    <row r="379">
      <c r="A379" s="49"/>
      <c r="B379" s="49"/>
      <c r="C379" s="49"/>
      <c r="D379" s="49"/>
      <c r="E379" s="49"/>
      <c r="F379" s="49"/>
      <c r="G379" s="49"/>
      <c r="H379" s="49"/>
      <c r="I379" s="49" t="str">
        <f>IFERROR(__xludf.DUMMYFUNCTION("""COMPUTED_VALUE"""),"#VALUE!")</f>
        <v>#VALUE!</v>
      </c>
      <c r="J379" s="49"/>
      <c r="K379" s="49"/>
      <c r="L379" s="49" t="s">
        <v>255</v>
      </c>
      <c r="M379" s="49"/>
      <c r="N379" s="49"/>
      <c r="O379" s="49"/>
      <c r="P379" s="49"/>
      <c r="Q379" s="49"/>
      <c r="R379" s="49"/>
      <c r="S379" s="49"/>
      <c r="T379" s="49"/>
    </row>
    <row r="380">
      <c r="A380" s="49"/>
      <c r="B380" s="49"/>
      <c r="C380" s="49"/>
      <c r="D380" s="49"/>
      <c r="E380" s="49"/>
      <c r="F380" s="49"/>
      <c r="G380" s="49"/>
      <c r="H380" s="49"/>
      <c r="I380" s="49" t="str">
        <f>IFERROR(__xludf.DUMMYFUNCTION("""COMPUTED_VALUE"""),"#VALUE!")</f>
        <v>#VALUE!</v>
      </c>
      <c r="J380" s="49"/>
      <c r="K380" s="49"/>
      <c r="L380" s="49" t="s">
        <v>255</v>
      </c>
      <c r="M380" s="49"/>
      <c r="N380" s="49"/>
      <c r="O380" s="49"/>
      <c r="P380" s="49"/>
      <c r="Q380" s="49"/>
      <c r="R380" s="49"/>
      <c r="S380" s="49"/>
      <c r="T380" s="49"/>
    </row>
    <row r="381">
      <c r="A381" s="49"/>
      <c r="B381" s="49"/>
      <c r="C381" s="49"/>
      <c r="D381" s="49"/>
      <c r="E381" s="49"/>
      <c r="F381" s="49"/>
      <c r="G381" s="49"/>
      <c r="H381" s="49"/>
      <c r="I381" s="49" t="str">
        <f>IFERROR(__xludf.DUMMYFUNCTION("""COMPUTED_VALUE"""),"#VALUE!")</f>
        <v>#VALUE!</v>
      </c>
      <c r="J381" s="49"/>
      <c r="K381" s="49"/>
      <c r="L381" s="49" t="s">
        <v>255</v>
      </c>
      <c r="M381" s="49"/>
      <c r="N381" s="49"/>
      <c r="O381" s="49"/>
      <c r="P381" s="49"/>
      <c r="Q381" s="49"/>
      <c r="R381" s="49"/>
      <c r="S381" s="49"/>
      <c r="T381" s="49"/>
    </row>
    <row r="382">
      <c r="A382" s="49"/>
      <c r="B382" s="49"/>
      <c r="C382" s="49"/>
      <c r="D382" s="49"/>
      <c r="E382" s="49"/>
      <c r="F382" s="49"/>
      <c r="G382" s="49"/>
      <c r="H382" s="49"/>
      <c r="I382" s="49" t="str">
        <f>IFERROR(__xludf.DUMMYFUNCTION("""COMPUTED_VALUE"""),"#VALUE!")</f>
        <v>#VALUE!</v>
      </c>
      <c r="J382" s="49"/>
      <c r="K382" s="49"/>
      <c r="L382" s="49" t="s">
        <v>255</v>
      </c>
      <c r="M382" s="49"/>
      <c r="N382" s="49"/>
      <c r="O382" s="49"/>
      <c r="P382" s="49"/>
      <c r="Q382" s="49"/>
      <c r="R382" s="49"/>
      <c r="S382" s="49"/>
      <c r="T382" s="49"/>
    </row>
    <row r="383">
      <c r="A383" s="49"/>
      <c r="B383" s="49"/>
      <c r="C383" s="49"/>
      <c r="D383" s="49"/>
      <c r="E383" s="49"/>
      <c r="F383" s="49"/>
      <c r="G383" s="49"/>
      <c r="H383" s="49"/>
      <c r="I383" s="49" t="str">
        <f>IFERROR(__xludf.DUMMYFUNCTION("""COMPUTED_VALUE"""),"#VALUE!")</f>
        <v>#VALUE!</v>
      </c>
      <c r="J383" s="49"/>
      <c r="K383" s="49"/>
      <c r="L383" s="49" t="s">
        <v>255</v>
      </c>
      <c r="M383" s="49"/>
      <c r="N383" s="49"/>
      <c r="O383" s="49"/>
      <c r="P383" s="49"/>
      <c r="Q383" s="49"/>
      <c r="R383" s="49"/>
      <c r="S383" s="49"/>
      <c r="T383" s="49"/>
    </row>
    <row r="384">
      <c r="A384" s="49"/>
      <c r="B384" s="49"/>
      <c r="C384" s="49"/>
      <c r="D384" s="49"/>
      <c r="E384" s="49"/>
      <c r="F384" s="49"/>
      <c r="G384" s="49"/>
      <c r="H384" s="49"/>
      <c r="I384" s="49" t="str">
        <f>IFERROR(__xludf.DUMMYFUNCTION("""COMPUTED_VALUE"""),"#VALUE!")</f>
        <v>#VALUE!</v>
      </c>
      <c r="J384" s="49"/>
      <c r="K384" s="49"/>
      <c r="L384" s="49" t="s">
        <v>255</v>
      </c>
      <c r="M384" s="49"/>
      <c r="N384" s="49"/>
      <c r="O384" s="49"/>
      <c r="P384" s="49"/>
      <c r="Q384" s="49"/>
      <c r="R384" s="49"/>
      <c r="S384" s="49"/>
      <c r="T384" s="49"/>
    </row>
    <row r="385">
      <c r="A385" s="49"/>
      <c r="B385" s="49"/>
      <c r="C385" s="49"/>
      <c r="D385" s="49"/>
      <c r="E385" s="49"/>
      <c r="F385" s="49"/>
      <c r="G385" s="49"/>
      <c r="H385" s="49"/>
      <c r="I385" s="49" t="str">
        <f>IFERROR(__xludf.DUMMYFUNCTION("""COMPUTED_VALUE"""),"#VALUE!")</f>
        <v>#VALUE!</v>
      </c>
      <c r="J385" s="49"/>
      <c r="K385" s="49"/>
      <c r="L385" s="49" t="s">
        <v>255</v>
      </c>
      <c r="M385" s="49"/>
      <c r="N385" s="49"/>
      <c r="O385" s="49"/>
      <c r="P385" s="49"/>
      <c r="Q385" s="49"/>
      <c r="R385" s="49"/>
      <c r="S385" s="49"/>
      <c r="T385" s="49"/>
    </row>
    <row r="386">
      <c r="A386" s="49"/>
      <c r="B386" s="49"/>
      <c r="C386" s="49"/>
      <c r="D386" s="49"/>
      <c r="E386" s="49"/>
      <c r="F386" s="49"/>
      <c r="G386" s="49"/>
      <c r="H386" s="49"/>
      <c r="I386" s="49" t="str">
        <f>IFERROR(__xludf.DUMMYFUNCTION("""COMPUTED_VALUE"""),"#VALUE!")</f>
        <v>#VALUE!</v>
      </c>
      <c r="J386" s="49"/>
      <c r="K386" s="49"/>
      <c r="L386" s="49" t="s">
        <v>255</v>
      </c>
      <c r="M386" s="49"/>
      <c r="N386" s="49"/>
      <c r="O386" s="49"/>
      <c r="P386" s="49"/>
      <c r="Q386" s="49"/>
      <c r="R386" s="49"/>
      <c r="S386" s="49"/>
      <c r="T386" s="49"/>
    </row>
    <row r="387">
      <c r="A387" s="49"/>
      <c r="B387" s="49"/>
      <c r="C387" s="49"/>
      <c r="D387" s="49"/>
      <c r="E387" s="49"/>
      <c r="F387" s="49"/>
      <c r="G387" s="49"/>
      <c r="H387" s="49"/>
      <c r="I387" s="49" t="str">
        <f>IFERROR(__xludf.DUMMYFUNCTION("""COMPUTED_VALUE"""),"#VALUE!")</f>
        <v>#VALUE!</v>
      </c>
      <c r="J387" s="49"/>
      <c r="K387" s="49"/>
      <c r="L387" s="49" t="s">
        <v>255</v>
      </c>
      <c r="M387" s="49"/>
      <c r="N387" s="49"/>
      <c r="O387" s="49"/>
      <c r="P387" s="49"/>
      <c r="Q387" s="49"/>
      <c r="R387" s="49"/>
      <c r="S387" s="49"/>
      <c r="T387" s="49"/>
    </row>
    <row r="388">
      <c r="A388" s="49"/>
      <c r="B388" s="49"/>
      <c r="C388" s="49"/>
      <c r="D388" s="49"/>
      <c r="E388" s="49"/>
      <c r="F388" s="49"/>
      <c r="G388" s="49"/>
      <c r="H388" s="49"/>
      <c r="I388" s="49" t="str">
        <f>IFERROR(__xludf.DUMMYFUNCTION("""COMPUTED_VALUE"""),"#VALUE!")</f>
        <v>#VALUE!</v>
      </c>
      <c r="J388" s="49"/>
      <c r="K388" s="49"/>
      <c r="L388" s="49" t="s">
        <v>255</v>
      </c>
      <c r="M388" s="49"/>
      <c r="N388" s="49"/>
      <c r="O388" s="49"/>
      <c r="P388" s="49"/>
      <c r="Q388" s="49"/>
      <c r="R388" s="49"/>
      <c r="S388" s="49"/>
      <c r="T388" s="49"/>
    </row>
    <row r="389">
      <c r="A389" s="49"/>
      <c r="B389" s="49"/>
      <c r="C389" s="49"/>
      <c r="D389" s="49"/>
      <c r="E389" s="49"/>
      <c r="F389" s="49"/>
      <c r="G389" s="49"/>
      <c r="H389" s="49"/>
      <c r="I389" s="49" t="str">
        <f>IFERROR(__xludf.DUMMYFUNCTION("""COMPUTED_VALUE"""),"#VALUE!")</f>
        <v>#VALUE!</v>
      </c>
      <c r="J389" s="49"/>
      <c r="K389" s="49"/>
      <c r="L389" s="49" t="s">
        <v>255</v>
      </c>
      <c r="M389" s="49"/>
      <c r="N389" s="49"/>
      <c r="O389" s="49"/>
      <c r="P389" s="49"/>
      <c r="Q389" s="49"/>
      <c r="R389" s="49"/>
      <c r="S389" s="49"/>
      <c r="T389" s="49"/>
    </row>
    <row r="390">
      <c r="A390" s="49"/>
      <c r="B390" s="49"/>
      <c r="C390" s="49"/>
      <c r="D390" s="49"/>
      <c r="E390" s="49"/>
      <c r="F390" s="49"/>
      <c r="G390" s="49"/>
      <c r="H390" s="49"/>
      <c r="I390" s="49" t="str">
        <f>IFERROR(__xludf.DUMMYFUNCTION("""COMPUTED_VALUE"""),"#VALUE!")</f>
        <v>#VALUE!</v>
      </c>
      <c r="J390" s="49"/>
      <c r="K390" s="49"/>
      <c r="L390" s="49" t="s">
        <v>255</v>
      </c>
      <c r="M390" s="49"/>
      <c r="N390" s="49"/>
      <c r="O390" s="49"/>
      <c r="P390" s="49"/>
      <c r="Q390" s="49"/>
      <c r="R390" s="49"/>
      <c r="S390" s="49"/>
      <c r="T390" s="49"/>
    </row>
    <row r="391">
      <c r="A391" s="49"/>
      <c r="B391" s="49"/>
      <c r="C391" s="49"/>
      <c r="D391" s="49"/>
      <c r="E391" s="49"/>
      <c r="F391" s="49"/>
      <c r="G391" s="49"/>
      <c r="H391" s="49"/>
      <c r="I391" s="49" t="str">
        <f>IFERROR(__xludf.DUMMYFUNCTION("""COMPUTED_VALUE"""),"#VALUE!")</f>
        <v>#VALUE!</v>
      </c>
      <c r="J391" s="49"/>
      <c r="K391" s="49"/>
      <c r="L391" s="49" t="s">
        <v>255</v>
      </c>
      <c r="M391" s="49"/>
      <c r="N391" s="49"/>
      <c r="O391" s="49"/>
      <c r="P391" s="49"/>
      <c r="Q391" s="49"/>
      <c r="R391" s="49"/>
      <c r="S391" s="49"/>
      <c r="T391" s="49"/>
    </row>
    <row r="392">
      <c r="A392" s="49"/>
      <c r="B392" s="49"/>
      <c r="C392" s="49"/>
      <c r="D392" s="49"/>
      <c r="E392" s="49"/>
      <c r="F392" s="49"/>
      <c r="G392" s="49"/>
      <c r="H392" s="49"/>
      <c r="I392" s="49" t="str">
        <f>IFERROR(__xludf.DUMMYFUNCTION("""COMPUTED_VALUE"""),"#VALUE!")</f>
        <v>#VALUE!</v>
      </c>
      <c r="J392" s="49"/>
      <c r="K392" s="49"/>
      <c r="L392" s="49" t="s">
        <v>255</v>
      </c>
      <c r="M392" s="49"/>
      <c r="N392" s="49"/>
      <c r="O392" s="49"/>
      <c r="P392" s="49"/>
      <c r="Q392" s="49"/>
      <c r="R392" s="49"/>
      <c r="S392" s="49"/>
      <c r="T392" s="49"/>
    </row>
    <row r="393">
      <c r="A393" s="49"/>
      <c r="B393" s="49"/>
      <c r="C393" s="49"/>
      <c r="D393" s="49"/>
      <c r="E393" s="49"/>
      <c r="F393" s="49"/>
      <c r="G393" s="49"/>
      <c r="H393" s="49"/>
      <c r="I393" s="49" t="str">
        <f>IFERROR(__xludf.DUMMYFUNCTION("""COMPUTED_VALUE"""),"#VALUE!")</f>
        <v>#VALUE!</v>
      </c>
      <c r="J393" s="49"/>
      <c r="K393" s="49"/>
      <c r="L393" s="49" t="s">
        <v>255</v>
      </c>
      <c r="M393" s="49"/>
      <c r="N393" s="49"/>
      <c r="O393" s="49"/>
      <c r="P393" s="49"/>
      <c r="Q393" s="49"/>
      <c r="R393" s="49"/>
      <c r="S393" s="49"/>
      <c r="T393" s="49"/>
    </row>
    <row r="394">
      <c r="A394" s="49"/>
      <c r="B394" s="49"/>
      <c r="C394" s="49"/>
      <c r="D394" s="49"/>
      <c r="E394" s="49"/>
      <c r="F394" s="49"/>
      <c r="G394" s="49"/>
      <c r="H394" s="49"/>
      <c r="I394" s="49" t="str">
        <f>IFERROR(__xludf.DUMMYFUNCTION("""COMPUTED_VALUE"""),"#VALUE!")</f>
        <v>#VALUE!</v>
      </c>
      <c r="J394" s="49"/>
      <c r="K394" s="49"/>
      <c r="L394" s="49" t="s">
        <v>255</v>
      </c>
      <c r="M394" s="49"/>
      <c r="N394" s="49"/>
      <c r="O394" s="49"/>
      <c r="P394" s="49"/>
      <c r="Q394" s="49"/>
      <c r="R394" s="49"/>
      <c r="S394" s="49"/>
      <c r="T394" s="49"/>
    </row>
    <row r="395">
      <c r="A395" s="49"/>
      <c r="B395" s="49"/>
      <c r="C395" s="49"/>
      <c r="D395" s="49"/>
      <c r="E395" s="49"/>
      <c r="F395" s="49"/>
      <c r="G395" s="49"/>
      <c r="H395" s="49"/>
      <c r="I395" s="49" t="str">
        <f>IFERROR(__xludf.DUMMYFUNCTION("""COMPUTED_VALUE"""),"#VALUE!")</f>
        <v>#VALUE!</v>
      </c>
      <c r="J395" s="49"/>
      <c r="K395" s="49"/>
      <c r="L395" s="49" t="s">
        <v>255</v>
      </c>
      <c r="M395" s="49"/>
      <c r="N395" s="49"/>
      <c r="O395" s="49"/>
      <c r="P395" s="49"/>
      <c r="Q395" s="49"/>
      <c r="R395" s="49"/>
      <c r="S395" s="49"/>
      <c r="T395" s="49"/>
    </row>
    <row r="396">
      <c r="A396" s="49"/>
      <c r="B396" s="49"/>
      <c r="C396" s="49"/>
      <c r="D396" s="49"/>
      <c r="E396" s="49"/>
      <c r="F396" s="49"/>
      <c r="G396" s="49"/>
      <c r="H396" s="49"/>
      <c r="I396" s="49" t="str">
        <f>IFERROR(__xludf.DUMMYFUNCTION("""COMPUTED_VALUE"""),"#VALUE!")</f>
        <v>#VALUE!</v>
      </c>
      <c r="J396" s="49"/>
      <c r="K396" s="49"/>
      <c r="L396" s="49" t="s">
        <v>255</v>
      </c>
      <c r="M396" s="49"/>
      <c r="N396" s="49"/>
      <c r="O396" s="49"/>
      <c r="P396" s="49"/>
      <c r="Q396" s="49"/>
      <c r="R396" s="49"/>
      <c r="S396" s="49"/>
      <c r="T396" s="49"/>
    </row>
    <row r="397">
      <c r="A397" s="49"/>
      <c r="B397" s="49"/>
      <c r="C397" s="49"/>
      <c r="D397" s="49"/>
      <c r="E397" s="49"/>
      <c r="F397" s="49"/>
      <c r="G397" s="49"/>
      <c r="H397" s="49"/>
      <c r="I397" s="49" t="str">
        <f>IFERROR(__xludf.DUMMYFUNCTION("""COMPUTED_VALUE"""),"#VALUE!")</f>
        <v>#VALUE!</v>
      </c>
      <c r="J397" s="49"/>
      <c r="K397" s="49"/>
      <c r="L397" s="49" t="s">
        <v>255</v>
      </c>
      <c r="M397" s="49"/>
      <c r="N397" s="49"/>
      <c r="O397" s="49"/>
      <c r="P397" s="49"/>
      <c r="Q397" s="49"/>
      <c r="R397" s="49"/>
      <c r="S397" s="49"/>
      <c r="T397" s="49"/>
    </row>
    <row r="398">
      <c r="A398" s="49"/>
      <c r="B398" s="49"/>
      <c r="C398" s="49"/>
      <c r="D398" s="49"/>
      <c r="E398" s="49"/>
      <c r="F398" s="49"/>
      <c r="G398" s="49"/>
      <c r="H398" s="49"/>
      <c r="I398" s="49" t="str">
        <f>IFERROR(__xludf.DUMMYFUNCTION("""COMPUTED_VALUE"""),"#VALUE!")</f>
        <v>#VALUE!</v>
      </c>
      <c r="J398" s="49"/>
      <c r="K398" s="49"/>
      <c r="L398" s="49" t="s">
        <v>255</v>
      </c>
      <c r="M398" s="49"/>
      <c r="N398" s="49"/>
      <c r="O398" s="49"/>
      <c r="P398" s="49"/>
      <c r="Q398" s="49"/>
      <c r="R398" s="49"/>
      <c r="S398" s="49"/>
      <c r="T398" s="49"/>
    </row>
    <row r="399">
      <c r="A399" s="49"/>
      <c r="B399" s="49"/>
      <c r="C399" s="49"/>
      <c r="D399" s="49"/>
      <c r="E399" s="49"/>
      <c r="F399" s="49"/>
      <c r="G399" s="49"/>
      <c r="H399" s="49"/>
      <c r="I399" s="49" t="str">
        <f>IFERROR(__xludf.DUMMYFUNCTION("""COMPUTED_VALUE"""),"#VALUE!")</f>
        <v>#VALUE!</v>
      </c>
      <c r="J399" s="49"/>
      <c r="K399" s="49"/>
      <c r="L399" s="49" t="s">
        <v>255</v>
      </c>
      <c r="M399" s="49"/>
      <c r="N399" s="49"/>
      <c r="O399" s="49"/>
      <c r="P399" s="49"/>
      <c r="Q399" s="49"/>
      <c r="R399" s="49"/>
      <c r="S399" s="49"/>
      <c r="T399" s="49"/>
    </row>
    <row r="400">
      <c r="A400" s="49"/>
      <c r="B400" s="49"/>
      <c r="C400" s="49"/>
      <c r="D400" s="49"/>
      <c r="E400" s="49"/>
      <c r="F400" s="49"/>
      <c r="G400" s="49"/>
      <c r="H400" s="49"/>
      <c r="I400" s="49" t="str">
        <f>IFERROR(__xludf.DUMMYFUNCTION("""COMPUTED_VALUE"""),"#VALUE!")</f>
        <v>#VALUE!</v>
      </c>
      <c r="J400" s="49"/>
      <c r="K400" s="49"/>
      <c r="L400" s="49" t="s">
        <v>255</v>
      </c>
      <c r="M400" s="49"/>
      <c r="N400" s="49"/>
      <c r="O400" s="49"/>
      <c r="P400" s="49"/>
      <c r="Q400" s="49"/>
      <c r="R400" s="49"/>
      <c r="S400" s="49"/>
      <c r="T400" s="49"/>
    </row>
    <row r="401">
      <c r="A401" s="49"/>
      <c r="B401" s="49"/>
      <c r="C401" s="49"/>
      <c r="D401" s="49"/>
      <c r="E401" s="49"/>
      <c r="F401" s="49"/>
      <c r="G401" s="49"/>
      <c r="H401" s="49"/>
      <c r="I401" s="49" t="str">
        <f>IFERROR(__xludf.DUMMYFUNCTION("""COMPUTED_VALUE"""),"#VALUE!")</f>
        <v>#VALUE!</v>
      </c>
      <c r="J401" s="49"/>
      <c r="K401" s="49"/>
      <c r="L401" s="49" t="s">
        <v>255</v>
      </c>
      <c r="M401" s="49"/>
      <c r="N401" s="49"/>
      <c r="O401" s="49"/>
      <c r="P401" s="49"/>
      <c r="Q401" s="49"/>
      <c r="R401" s="49"/>
      <c r="S401" s="49"/>
      <c r="T401" s="49"/>
    </row>
    <row r="402">
      <c r="A402" s="49"/>
      <c r="B402" s="49"/>
      <c r="C402" s="49"/>
      <c r="D402" s="49"/>
      <c r="E402" s="49"/>
      <c r="F402" s="49"/>
      <c r="G402" s="49"/>
      <c r="H402" s="49"/>
      <c r="I402" s="49" t="str">
        <f>IFERROR(__xludf.DUMMYFUNCTION("""COMPUTED_VALUE"""),"#VALUE!")</f>
        <v>#VALUE!</v>
      </c>
      <c r="J402" s="49"/>
      <c r="K402" s="49"/>
      <c r="L402" s="49" t="s">
        <v>255</v>
      </c>
      <c r="M402" s="49"/>
      <c r="N402" s="49"/>
      <c r="O402" s="49"/>
      <c r="P402" s="49"/>
      <c r="Q402" s="49"/>
      <c r="R402" s="49"/>
      <c r="S402" s="49"/>
      <c r="T402" s="49"/>
    </row>
    <row r="403">
      <c r="A403" s="49"/>
      <c r="B403" s="49"/>
      <c r="C403" s="49"/>
      <c r="D403" s="49"/>
      <c r="E403" s="49"/>
      <c r="F403" s="49"/>
      <c r="G403" s="49"/>
      <c r="H403" s="49"/>
      <c r="I403" s="49" t="str">
        <f>IFERROR(__xludf.DUMMYFUNCTION("""COMPUTED_VALUE"""),"#VALUE!")</f>
        <v>#VALUE!</v>
      </c>
      <c r="J403" s="49"/>
      <c r="K403" s="49"/>
      <c r="L403" s="49" t="s">
        <v>255</v>
      </c>
      <c r="M403" s="49"/>
      <c r="N403" s="49"/>
      <c r="O403" s="49"/>
      <c r="P403" s="49"/>
      <c r="Q403" s="49"/>
      <c r="R403" s="49"/>
      <c r="S403" s="49"/>
      <c r="T403" s="49"/>
    </row>
    <row r="404">
      <c r="A404" s="49"/>
      <c r="B404" s="49"/>
      <c r="C404" s="49"/>
      <c r="D404" s="49"/>
      <c r="E404" s="49"/>
      <c r="F404" s="49"/>
      <c r="G404" s="49"/>
      <c r="H404" s="49"/>
      <c r="I404" s="49" t="str">
        <f>IFERROR(__xludf.DUMMYFUNCTION("""COMPUTED_VALUE"""),"#VALUE!")</f>
        <v>#VALUE!</v>
      </c>
      <c r="J404" s="49"/>
      <c r="K404" s="49"/>
      <c r="L404" s="49" t="s">
        <v>255</v>
      </c>
      <c r="M404" s="49"/>
      <c r="N404" s="49"/>
      <c r="O404" s="49"/>
      <c r="P404" s="49"/>
      <c r="Q404" s="49"/>
      <c r="R404" s="49"/>
      <c r="S404" s="49"/>
      <c r="T404" s="49"/>
    </row>
    <row r="405">
      <c r="A405" s="49"/>
      <c r="B405" s="49"/>
      <c r="C405" s="49"/>
      <c r="D405" s="49"/>
      <c r="E405" s="49"/>
      <c r="F405" s="49"/>
      <c r="G405" s="49"/>
      <c r="H405" s="49"/>
      <c r="I405" s="49" t="str">
        <f>IFERROR(__xludf.DUMMYFUNCTION("""COMPUTED_VALUE"""),"#VALUE!")</f>
        <v>#VALUE!</v>
      </c>
      <c r="J405" s="49"/>
      <c r="K405" s="49"/>
      <c r="L405" s="49" t="s">
        <v>255</v>
      </c>
      <c r="M405" s="49"/>
      <c r="N405" s="49"/>
      <c r="O405" s="49"/>
      <c r="P405" s="49"/>
      <c r="Q405" s="49"/>
      <c r="R405" s="49"/>
      <c r="S405" s="49"/>
      <c r="T405" s="49"/>
    </row>
    <row r="406">
      <c r="A406" s="49"/>
      <c r="B406" s="49"/>
      <c r="C406" s="49"/>
      <c r="D406" s="49"/>
      <c r="E406" s="49"/>
      <c r="F406" s="49"/>
      <c r="G406" s="49"/>
      <c r="H406" s="49"/>
      <c r="I406" s="49" t="str">
        <f>IFERROR(__xludf.DUMMYFUNCTION("""COMPUTED_VALUE"""),"#VALUE!")</f>
        <v>#VALUE!</v>
      </c>
      <c r="J406" s="49"/>
      <c r="K406" s="49"/>
      <c r="L406" s="49" t="s">
        <v>255</v>
      </c>
      <c r="M406" s="49"/>
      <c r="N406" s="49"/>
      <c r="O406" s="49"/>
      <c r="P406" s="49"/>
      <c r="Q406" s="49"/>
      <c r="R406" s="49"/>
      <c r="S406" s="49"/>
      <c r="T406" s="49"/>
    </row>
    <row r="407">
      <c r="A407" s="49"/>
      <c r="B407" s="49"/>
      <c r="C407" s="49"/>
      <c r="D407" s="49"/>
      <c r="E407" s="49"/>
      <c r="F407" s="49"/>
      <c r="G407" s="49"/>
      <c r="H407" s="49"/>
      <c r="I407" s="49" t="str">
        <f>IFERROR(__xludf.DUMMYFUNCTION("""COMPUTED_VALUE"""),"#VALUE!")</f>
        <v>#VALUE!</v>
      </c>
      <c r="J407" s="49"/>
      <c r="K407" s="49"/>
      <c r="L407" s="49" t="s">
        <v>255</v>
      </c>
      <c r="M407" s="49"/>
      <c r="N407" s="49"/>
      <c r="O407" s="49"/>
      <c r="P407" s="49"/>
      <c r="Q407" s="49"/>
      <c r="R407" s="49"/>
      <c r="S407" s="49"/>
      <c r="T407" s="49"/>
    </row>
    <row r="408">
      <c r="A408" s="49"/>
      <c r="B408" s="49"/>
      <c r="C408" s="49"/>
      <c r="D408" s="49"/>
      <c r="E408" s="49"/>
      <c r="F408" s="49"/>
      <c r="G408" s="49"/>
      <c r="H408" s="49"/>
      <c r="I408" s="49" t="str">
        <f>IFERROR(__xludf.DUMMYFUNCTION("""COMPUTED_VALUE"""),"#VALUE!")</f>
        <v>#VALUE!</v>
      </c>
      <c r="J408" s="49"/>
      <c r="K408" s="49"/>
      <c r="L408" s="49" t="s">
        <v>255</v>
      </c>
      <c r="M408" s="49"/>
      <c r="N408" s="49"/>
      <c r="O408" s="49"/>
      <c r="P408" s="49"/>
      <c r="Q408" s="49"/>
      <c r="R408" s="49"/>
      <c r="S408" s="49"/>
      <c r="T408" s="49"/>
    </row>
    <row r="409">
      <c r="A409" s="49"/>
      <c r="B409" s="49"/>
      <c r="C409" s="49"/>
      <c r="D409" s="49"/>
      <c r="E409" s="49"/>
      <c r="F409" s="49"/>
      <c r="G409" s="49"/>
      <c r="H409" s="49"/>
      <c r="I409" s="49" t="str">
        <f>IFERROR(__xludf.DUMMYFUNCTION("""COMPUTED_VALUE"""),"#VALUE!")</f>
        <v>#VALUE!</v>
      </c>
      <c r="J409" s="49"/>
      <c r="K409" s="49"/>
      <c r="L409" s="49" t="s">
        <v>255</v>
      </c>
      <c r="M409" s="49"/>
      <c r="N409" s="49"/>
      <c r="O409" s="49"/>
      <c r="P409" s="49"/>
      <c r="Q409" s="49"/>
      <c r="R409" s="49"/>
      <c r="S409" s="49"/>
      <c r="T409" s="49"/>
    </row>
    <row r="410">
      <c r="A410" s="49"/>
      <c r="B410" s="49"/>
      <c r="C410" s="49"/>
      <c r="D410" s="49"/>
      <c r="E410" s="49"/>
      <c r="F410" s="49"/>
      <c r="G410" s="49"/>
      <c r="H410" s="49"/>
      <c r="I410" s="49" t="str">
        <f>IFERROR(__xludf.DUMMYFUNCTION("""COMPUTED_VALUE"""),"#VALUE!")</f>
        <v>#VALUE!</v>
      </c>
      <c r="J410" s="49"/>
      <c r="K410" s="49"/>
      <c r="L410" s="49" t="s">
        <v>255</v>
      </c>
      <c r="M410" s="49"/>
      <c r="N410" s="49"/>
      <c r="O410" s="49"/>
      <c r="P410" s="49"/>
      <c r="Q410" s="49"/>
      <c r="R410" s="49"/>
      <c r="S410" s="49"/>
      <c r="T410" s="49"/>
    </row>
    <row r="411">
      <c r="A411" s="49"/>
      <c r="B411" s="49"/>
      <c r="C411" s="49"/>
      <c r="D411" s="49"/>
      <c r="E411" s="49"/>
      <c r="F411" s="49"/>
      <c r="G411" s="49"/>
      <c r="H411" s="49"/>
      <c r="I411" s="49" t="str">
        <f>IFERROR(__xludf.DUMMYFUNCTION("""COMPUTED_VALUE"""),"#VALUE!")</f>
        <v>#VALUE!</v>
      </c>
      <c r="J411" s="49"/>
      <c r="K411" s="49"/>
      <c r="L411" s="49" t="s">
        <v>255</v>
      </c>
      <c r="M411" s="49"/>
      <c r="N411" s="49"/>
      <c r="O411" s="49"/>
      <c r="P411" s="49"/>
      <c r="Q411" s="49"/>
      <c r="R411" s="49"/>
      <c r="S411" s="49"/>
      <c r="T411" s="49"/>
    </row>
    <row r="412">
      <c r="A412" s="49"/>
      <c r="B412" s="49"/>
      <c r="C412" s="49"/>
      <c r="D412" s="49"/>
      <c r="E412" s="49"/>
      <c r="F412" s="49"/>
      <c r="G412" s="49"/>
      <c r="H412" s="49"/>
      <c r="I412" s="49" t="str">
        <f>IFERROR(__xludf.DUMMYFUNCTION("""COMPUTED_VALUE"""),"#VALUE!")</f>
        <v>#VALUE!</v>
      </c>
      <c r="J412" s="49"/>
      <c r="K412" s="49"/>
      <c r="L412" s="49" t="s">
        <v>255</v>
      </c>
      <c r="M412" s="49"/>
      <c r="N412" s="49"/>
      <c r="O412" s="49"/>
      <c r="P412" s="49"/>
      <c r="Q412" s="49"/>
      <c r="R412" s="49"/>
      <c r="S412" s="49"/>
      <c r="T412" s="49"/>
    </row>
    <row r="413">
      <c r="A413" s="49"/>
      <c r="B413" s="49"/>
      <c r="C413" s="49"/>
      <c r="D413" s="49"/>
      <c r="E413" s="49"/>
      <c r="F413" s="49"/>
      <c r="G413" s="49"/>
      <c r="H413" s="49"/>
      <c r="I413" s="49" t="str">
        <f>IFERROR(__xludf.DUMMYFUNCTION("""COMPUTED_VALUE"""),"#VALUE!")</f>
        <v>#VALUE!</v>
      </c>
      <c r="J413" s="49"/>
      <c r="K413" s="49"/>
      <c r="L413" s="49" t="s">
        <v>255</v>
      </c>
      <c r="M413" s="49"/>
      <c r="N413" s="49"/>
      <c r="O413" s="49"/>
      <c r="P413" s="49"/>
      <c r="Q413" s="49"/>
      <c r="R413" s="49"/>
      <c r="S413" s="49"/>
      <c r="T413" s="49"/>
    </row>
    <row r="414">
      <c r="A414" s="49"/>
      <c r="B414" s="49"/>
      <c r="C414" s="49"/>
      <c r="D414" s="49"/>
      <c r="E414" s="49"/>
      <c r="F414" s="49"/>
      <c r="G414" s="49"/>
      <c r="H414" s="49"/>
      <c r="I414" s="49" t="str">
        <f>IFERROR(__xludf.DUMMYFUNCTION("""COMPUTED_VALUE"""),"#VALUE!")</f>
        <v>#VALUE!</v>
      </c>
      <c r="J414" s="49"/>
      <c r="K414" s="49"/>
      <c r="L414" s="49" t="s">
        <v>255</v>
      </c>
      <c r="M414" s="49"/>
      <c r="N414" s="49"/>
      <c r="O414" s="49"/>
      <c r="P414" s="49"/>
      <c r="Q414" s="49"/>
      <c r="R414" s="49"/>
      <c r="S414" s="49"/>
      <c r="T414" s="49"/>
    </row>
    <row r="415">
      <c r="A415" s="49"/>
      <c r="B415" s="49"/>
      <c r="C415" s="49"/>
      <c r="D415" s="49"/>
      <c r="E415" s="49"/>
      <c r="F415" s="49"/>
      <c r="G415" s="49"/>
      <c r="H415" s="49"/>
      <c r="I415" s="49" t="str">
        <f>IFERROR(__xludf.DUMMYFUNCTION("""COMPUTED_VALUE"""),"#VALUE!")</f>
        <v>#VALUE!</v>
      </c>
      <c r="J415" s="49"/>
      <c r="K415" s="49"/>
      <c r="L415" s="49" t="s">
        <v>255</v>
      </c>
      <c r="M415" s="49"/>
      <c r="N415" s="49"/>
      <c r="O415" s="49"/>
      <c r="P415" s="49"/>
      <c r="Q415" s="49"/>
      <c r="R415" s="49"/>
      <c r="S415" s="49"/>
      <c r="T415" s="49"/>
    </row>
    <row r="416">
      <c r="A416" s="49"/>
      <c r="B416" s="49"/>
      <c r="C416" s="49"/>
      <c r="D416" s="49"/>
      <c r="E416" s="49"/>
      <c r="F416" s="49"/>
      <c r="G416" s="49"/>
      <c r="H416" s="49"/>
      <c r="I416" s="49" t="str">
        <f>IFERROR(__xludf.DUMMYFUNCTION("""COMPUTED_VALUE"""),"#VALUE!")</f>
        <v>#VALUE!</v>
      </c>
      <c r="J416" s="49"/>
      <c r="K416" s="49"/>
      <c r="L416" s="49" t="s">
        <v>255</v>
      </c>
      <c r="M416" s="49"/>
      <c r="N416" s="49"/>
      <c r="O416" s="49"/>
      <c r="P416" s="49"/>
      <c r="Q416" s="49"/>
      <c r="R416" s="49"/>
      <c r="S416" s="49"/>
      <c r="T416" s="49"/>
    </row>
    <row r="417">
      <c r="A417" s="49"/>
      <c r="B417" s="49"/>
      <c r="C417" s="49"/>
      <c r="D417" s="49"/>
      <c r="E417" s="49"/>
      <c r="F417" s="49"/>
      <c r="G417" s="49"/>
      <c r="H417" s="49"/>
      <c r="I417" s="49" t="str">
        <f>IFERROR(__xludf.DUMMYFUNCTION("""COMPUTED_VALUE"""),"#VALUE!")</f>
        <v>#VALUE!</v>
      </c>
      <c r="J417" s="49"/>
      <c r="K417" s="49"/>
      <c r="L417" s="49" t="s">
        <v>255</v>
      </c>
      <c r="M417" s="49"/>
      <c r="N417" s="49"/>
      <c r="O417" s="49"/>
      <c r="P417" s="49"/>
      <c r="Q417" s="49"/>
      <c r="R417" s="49"/>
      <c r="S417" s="49"/>
      <c r="T417" s="49"/>
    </row>
    <row r="418">
      <c r="A418" s="49"/>
      <c r="B418" s="49"/>
      <c r="C418" s="49"/>
      <c r="D418" s="49"/>
      <c r="E418" s="49"/>
      <c r="F418" s="49"/>
      <c r="G418" s="49"/>
      <c r="H418" s="49"/>
      <c r="I418" s="49" t="str">
        <f>IFERROR(__xludf.DUMMYFUNCTION("""COMPUTED_VALUE"""),"#VALUE!")</f>
        <v>#VALUE!</v>
      </c>
      <c r="J418" s="49"/>
      <c r="K418" s="49"/>
      <c r="L418" s="49" t="s">
        <v>255</v>
      </c>
      <c r="M418" s="49"/>
      <c r="N418" s="49"/>
      <c r="O418" s="49"/>
      <c r="P418" s="49"/>
      <c r="Q418" s="49"/>
      <c r="R418" s="49"/>
      <c r="S418" s="49"/>
      <c r="T418" s="49"/>
    </row>
    <row r="419">
      <c r="A419" s="49"/>
      <c r="B419" s="49"/>
      <c r="C419" s="49"/>
      <c r="D419" s="49"/>
      <c r="E419" s="49"/>
      <c r="F419" s="49"/>
      <c r="G419" s="49"/>
      <c r="H419" s="49"/>
      <c r="I419" s="49" t="str">
        <f>IFERROR(__xludf.DUMMYFUNCTION("""COMPUTED_VALUE"""),"#VALUE!")</f>
        <v>#VALUE!</v>
      </c>
      <c r="J419" s="49"/>
      <c r="K419" s="49"/>
      <c r="L419" s="49" t="s">
        <v>255</v>
      </c>
      <c r="M419" s="49"/>
      <c r="N419" s="49"/>
      <c r="O419" s="49"/>
      <c r="P419" s="49"/>
      <c r="Q419" s="49"/>
      <c r="R419" s="49"/>
      <c r="S419" s="49"/>
      <c r="T419" s="49"/>
    </row>
    <row r="420">
      <c r="A420" s="49"/>
      <c r="B420" s="49"/>
      <c r="C420" s="49"/>
      <c r="D420" s="49"/>
      <c r="E420" s="49"/>
      <c r="F420" s="49"/>
      <c r="G420" s="49"/>
      <c r="H420" s="49"/>
      <c r="I420" s="49" t="str">
        <f>IFERROR(__xludf.DUMMYFUNCTION("""COMPUTED_VALUE"""),"#VALUE!")</f>
        <v>#VALUE!</v>
      </c>
      <c r="J420" s="49"/>
      <c r="K420" s="49"/>
      <c r="L420" s="49" t="s">
        <v>255</v>
      </c>
      <c r="M420" s="49"/>
      <c r="N420" s="49"/>
      <c r="O420" s="49"/>
      <c r="P420" s="49"/>
      <c r="Q420" s="49"/>
      <c r="R420" s="49"/>
      <c r="S420" s="49"/>
      <c r="T420" s="49"/>
    </row>
    <row r="421">
      <c r="A421" s="49"/>
      <c r="B421" s="49"/>
      <c r="C421" s="49"/>
      <c r="D421" s="49"/>
      <c r="E421" s="49"/>
      <c r="F421" s="49"/>
      <c r="G421" s="49"/>
      <c r="H421" s="49"/>
      <c r="I421" s="49" t="str">
        <f>IFERROR(__xludf.DUMMYFUNCTION("""COMPUTED_VALUE"""),"#VALUE!")</f>
        <v>#VALUE!</v>
      </c>
      <c r="J421" s="49"/>
      <c r="K421" s="49"/>
      <c r="L421" s="49" t="s">
        <v>255</v>
      </c>
      <c r="M421" s="49"/>
      <c r="N421" s="49"/>
      <c r="O421" s="49"/>
      <c r="P421" s="49"/>
      <c r="Q421" s="49"/>
      <c r="R421" s="49"/>
      <c r="S421" s="49"/>
      <c r="T421" s="49"/>
    </row>
    <row r="422">
      <c r="A422" s="49"/>
      <c r="B422" s="49"/>
      <c r="C422" s="49"/>
      <c r="D422" s="49"/>
      <c r="E422" s="49"/>
      <c r="F422" s="49"/>
      <c r="G422" s="49"/>
      <c r="H422" s="49"/>
      <c r="I422" s="49" t="str">
        <f>IFERROR(__xludf.DUMMYFUNCTION("""COMPUTED_VALUE"""),"#VALUE!")</f>
        <v>#VALUE!</v>
      </c>
      <c r="J422" s="49"/>
      <c r="K422" s="49"/>
      <c r="L422" s="49" t="s">
        <v>255</v>
      </c>
      <c r="M422" s="49"/>
      <c r="N422" s="49"/>
      <c r="O422" s="49"/>
      <c r="P422" s="49"/>
      <c r="Q422" s="49"/>
      <c r="R422" s="49"/>
      <c r="S422" s="49"/>
      <c r="T422" s="49"/>
    </row>
    <row r="423">
      <c r="A423" s="49"/>
      <c r="B423" s="49"/>
      <c r="C423" s="49"/>
      <c r="D423" s="49"/>
      <c r="E423" s="49"/>
      <c r="F423" s="49"/>
      <c r="G423" s="49"/>
      <c r="H423" s="49"/>
      <c r="I423" s="49" t="str">
        <f>IFERROR(__xludf.DUMMYFUNCTION("""COMPUTED_VALUE"""),"#VALUE!")</f>
        <v>#VALUE!</v>
      </c>
      <c r="J423" s="49"/>
      <c r="K423" s="49"/>
      <c r="L423" s="49" t="s">
        <v>255</v>
      </c>
      <c r="M423" s="49"/>
      <c r="N423" s="49"/>
      <c r="O423" s="49"/>
      <c r="P423" s="49"/>
      <c r="Q423" s="49"/>
      <c r="R423" s="49"/>
      <c r="S423" s="49"/>
      <c r="T423" s="49"/>
    </row>
    <row r="424">
      <c r="A424" s="49"/>
      <c r="B424" s="49"/>
      <c r="C424" s="49"/>
      <c r="D424" s="49"/>
      <c r="E424" s="49"/>
      <c r="F424" s="49"/>
      <c r="G424" s="49"/>
      <c r="H424" s="49"/>
      <c r="I424" s="49" t="str">
        <f>IFERROR(__xludf.DUMMYFUNCTION("""COMPUTED_VALUE"""),"#VALUE!")</f>
        <v>#VALUE!</v>
      </c>
      <c r="J424" s="49"/>
      <c r="K424" s="49"/>
      <c r="L424" s="49" t="s">
        <v>255</v>
      </c>
      <c r="M424" s="49"/>
      <c r="N424" s="49"/>
      <c r="O424" s="49"/>
      <c r="P424" s="49"/>
      <c r="Q424" s="49"/>
      <c r="R424" s="49"/>
      <c r="S424" s="49"/>
      <c r="T424" s="49"/>
    </row>
    <row r="425">
      <c r="A425" s="49"/>
      <c r="B425" s="49"/>
      <c r="C425" s="49"/>
      <c r="D425" s="49"/>
      <c r="E425" s="49"/>
      <c r="F425" s="49"/>
      <c r="G425" s="49"/>
      <c r="H425" s="49"/>
      <c r="I425" s="49" t="str">
        <f>IFERROR(__xludf.DUMMYFUNCTION("""COMPUTED_VALUE"""),"#VALUE!")</f>
        <v>#VALUE!</v>
      </c>
      <c r="J425" s="49"/>
      <c r="K425" s="49"/>
      <c r="L425" s="49" t="s">
        <v>255</v>
      </c>
      <c r="M425" s="49"/>
      <c r="N425" s="49"/>
      <c r="O425" s="49"/>
      <c r="P425" s="49"/>
      <c r="Q425" s="49"/>
      <c r="R425" s="49"/>
      <c r="S425" s="49"/>
      <c r="T425" s="49"/>
    </row>
    <row r="426">
      <c r="A426" s="49"/>
      <c r="B426" s="49"/>
      <c r="C426" s="49"/>
      <c r="D426" s="49"/>
      <c r="E426" s="49"/>
      <c r="F426" s="49"/>
      <c r="G426" s="49"/>
      <c r="H426" s="49"/>
      <c r="I426" s="49" t="str">
        <f>IFERROR(__xludf.DUMMYFUNCTION("""COMPUTED_VALUE"""),"#VALUE!")</f>
        <v>#VALUE!</v>
      </c>
      <c r="J426" s="49"/>
      <c r="K426" s="49"/>
      <c r="L426" s="49" t="s">
        <v>255</v>
      </c>
      <c r="M426" s="49"/>
      <c r="N426" s="49"/>
      <c r="O426" s="49"/>
      <c r="P426" s="49"/>
      <c r="Q426" s="49"/>
      <c r="R426" s="49"/>
      <c r="S426" s="49"/>
      <c r="T426" s="49"/>
    </row>
    <row r="427">
      <c r="A427" s="49"/>
      <c r="B427" s="49"/>
      <c r="C427" s="49"/>
      <c r="D427" s="49"/>
      <c r="E427" s="49"/>
      <c r="F427" s="49"/>
      <c r="G427" s="49"/>
      <c r="H427" s="49"/>
      <c r="I427" s="49" t="str">
        <f>IFERROR(__xludf.DUMMYFUNCTION("""COMPUTED_VALUE"""),"#VALUE!")</f>
        <v>#VALUE!</v>
      </c>
      <c r="J427" s="49"/>
      <c r="K427" s="49"/>
      <c r="L427" s="49" t="s">
        <v>255</v>
      </c>
      <c r="M427" s="49"/>
      <c r="N427" s="49"/>
      <c r="O427" s="49"/>
      <c r="P427" s="49"/>
      <c r="Q427" s="49"/>
      <c r="R427" s="49"/>
      <c r="S427" s="49"/>
      <c r="T427" s="49"/>
    </row>
    <row r="428">
      <c r="A428" s="49"/>
      <c r="B428" s="49"/>
      <c r="C428" s="49"/>
      <c r="D428" s="49"/>
      <c r="E428" s="49"/>
      <c r="F428" s="49"/>
      <c r="G428" s="49"/>
      <c r="H428" s="49"/>
      <c r="I428" s="49" t="str">
        <f>IFERROR(__xludf.DUMMYFUNCTION("""COMPUTED_VALUE"""),"#VALUE!")</f>
        <v>#VALUE!</v>
      </c>
      <c r="J428" s="49"/>
      <c r="K428" s="49"/>
      <c r="L428" s="49" t="s">
        <v>255</v>
      </c>
      <c r="M428" s="49"/>
      <c r="N428" s="49"/>
      <c r="O428" s="49"/>
      <c r="P428" s="49"/>
      <c r="Q428" s="49"/>
      <c r="R428" s="49"/>
      <c r="S428" s="49"/>
      <c r="T428" s="49"/>
    </row>
    <row r="429">
      <c r="A429" s="49"/>
      <c r="B429" s="49"/>
      <c r="C429" s="49"/>
      <c r="D429" s="49"/>
      <c r="E429" s="49"/>
      <c r="F429" s="49"/>
      <c r="G429" s="49"/>
      <c r="H429" s="49"/>
      <c r="I429" s="49" t="str">
        <f>IFERROR(__xludf.DUMMYFUNCTION("""COMPUTED_VALUE"""),"#VALUE!")</f>
        <v>#VALUE!</v>
      </c>
      <c r="J429" s="49"/>
      <c r="K429" s="49"/>
      <c r="L429" s="49" t="s">
        <v>255</v>
      </c>
      <c r="M429" s="49"/>
      <c r="N429" s="49"/>
      <c r="O429" s="49"/>
      <c r="P429" s="49"/>
      <c r="Q429" s="49"/>
      <c r="R429" s="49"/>
      <c r="S429" s="49"/>
      <c r="T429" s="49"/>
    </row>
    <row r="430">
      <c r="A430" s="49"/>
      <c r="B430" s="49"/>
      <c r="C430" s="49"/>
      <c r="D430" s="49"/>
      <c r="E430" s="49"/>
      <c r="F430" s="49"/>
      <c r="G430" s="49"/>
      <c r="H430" s="49"/>
      <c r="I430" s="49" t="str">
        <f>IFERROR(__xludf.DUMMYFUNCTION("""COMPUTED_VALUE"""),"#VALUE!")</f>
        <v>#VALUE!</v>
      </c>
      <c r="J430" s="49"/>
      <c r="K430" s="49"/>
      <c r="L430" s="49" t="s">
        <v>255</v>
      </c>
      <c r="M430" s="49"/>
      <c r="N430" s="49"/>
      <c r="O430" s="49"/>
      <c r="P430" s="49"/>
      <c r="Q430" s="49"/>
      <c r="R430" s="49"/>
      <c r="S430" s="49"/>
      <c r="T430" s="49"/>
    </row>
    <row r="431">
      <c r="A431" s="49"/>
      <c r="B431" s="49"/>
      <c r="C431" s="49"/>
      <c r="D431" s="49"/>
      <c r="E431" s="49"/>
      <c r="F431" s="49"/>
      <c r="G431" s="49"/>
      <c r="H431" s="49"/>
      <c r="I431" s="49" t="str">
        <f>IFERROR(__xludf.DUMMYFUNCTION("""COMPUTED_VALUE"""),"#VALUE!")</f>
        <v>#VALUE!</v>
      </c>
      <c r="J431" s="49"/>
      <c r="K431" s="49"/>
      <c r="L431" s="49" t="s">
        <v>255</v>
      </c>
      <c r="M431" s="49"/>
      <c r="N431" s="49"/>
      <c r="O431" s="49"/>
      <c r="P431" s="49"/>
      <c r="Q431" s="49"/>
      <c r="R431" s="49"/>
      <c r="S431" s="49"/>
      <c r="T431" s="49"/>
    </row>
    <row r="432">
      <c r="A432" s="49"/>
      <c r="B432" s="49"/>
      <c r="C432" s="49"/>
      <c r="D432" s="49"/>
      <c r="E432" s="49"/>
      <c r="F432" s="49"/>
      <c r="G432" s="49"/>
      <c r="H432" s="49"/>
      <c r="I432" s="49" t="str">
        <f>IFERROR(__xludf.DUMMYFUNCTION("""COMPUTED_VALUE"""),"#VALUE!")</f>
        <v>#VALUE!</v>
      </c>
      <c r="J432" s="49"/>
      <c r="K432" s="49"/>
      <c r="L432" s="49" t="s">
        <v>255</v>
      </c>
      <c r="M432" s="49"/>
      <c r="N432" s="49"/>
      <c r="O432" s="49"/>
      <c r="P432" s="49"/>
      <c r="Q432" s="49"/>
      <c r="R432" s="49"/>
      <c r="S432" s="49"/>
      <c r="T432" s="49"/>
    </row>
    <row r="433">
      <c r="A433" s="49"/>
      <c r="B433" s="49"/>
      <c r="C433" s="49"/>
      <c r="D433" s="49"/>
      <c r="E433" s="49"/>
      <c r="F433" s="49"/>
      <c r="G433" s="49"/>
      <c r="H433" s="49"/>
      <c r="I433" s="49" t="str">
        <f>IFERROR(__xludf.DUMMYFUNCTION("""COMPUTED_VALUE"""),"#VALUE!")</f>
        <v>#VALUE!</v>
      </c>
      <c r="J433" s="49"/>
      <c r="K433" s="49"/>
      <c r="L433" s="49" t="s">
        <v>255</v>
      </c>
      <c r="M433" s="49"/>
      <c r="N433" s="49"/>
      <c r="O433" s="49"/>
      <c r="P433" s="49"/>
      <c r="Q433" s="49"/>
      <c r="R433" s="49"/>
      <c r="S433" s="49"/>
      <c r="T433" s="49"/>
    </row>
    <row r="434">
      <c r="A434" s="49"/>
      <c r="B434" s="49"/>
      <c r="C434" s="49"/>
      <c r="D434" s="49"/>
      <c r="E434" s="49"/>
      <c r="F434" s="49"/>
      <c r="G434" s="49"/>
      <c r="H434" s="49"/>
      <c r="I434" s="49" t="str">
        <f>IFERROR(__xludf.DUMMYFUNCTION("""COMPUTED_VALUE"""),"#VALUE!")</f>
        <v>#VALUE!</v>
      </c>
      <c r="J434" s="49"/>
      <c r="K434" s="49"/>
      <c r="L434" s="49" t="s">
        <v>255</v>
      </c>
      <c r="M434" s="49"/>
      <c r="N434" s="49"/>
      <c r="O434" s="49"/>
      <c r="P434" s="49"/>
      <c r="Q434" s="49"/>
      <c r="R434" s="49"/>
      <c r="S434" s="49"/>
      <c r="T434" s="49"/>
    </row>
    <row r="435">
      <c r="A435" s="49"/>
      <c r="B435" s="49"/>
      <c r="C435" s="49"/>
      <c r="D435" s="49"/>
      <c r="E435" s="49"/>
      <c r="F435" s="49"/>
      <c r="G435" s="49"/>
      <c r="H435" s="49"/>
      <c r="I435" s="49" t="str">
        <f>IFERROR(__xludf.DUMMYFUNCTION("""COMPUTED_VALUE"""),"#VALUE!")</f>
        <v>#VALUE!</v>
      </c>
      <c r="J435" s="49"/>
      <c r="K435" s="49"/>
      <c r="L435" s="49" t="s">
        <v>255</v>
      </c>
      <c r="M435" s="49"/>
      <c r="N435" s="49"/>
      <c r="O435" s="49"/>
      <c r="P435" s="49"/>
      <c r="Q435" s="49"/>
      <c r="R435" s="49"/>
      <c r="S435" s="49"/>
      <c r="T435" s="49"/>
    </row>
    <row r="436">
      <c r="A436" s="49"/>
      <c r="B436" s="49"/>
      <c r="C436" s="49"/>
      <c r="D436" s="49"/>
      <c r="E436" s="49"/>
      <c r="F436" s="49"/>
      <c r="G436" s="49"/>
      <c r="H436" s="49"/>
      <c r="I436" s="49" t="str">
        <f>IFERROR(__xludf.DUMMYFUNCTION("""COMPUTED_VALUE"""),"#VALUE!")</f>
        <v>#VALUE!</v>
      </c>
      <c r="J436" s="49"/>
      <c r="K436" s="49"/>
      <c r="L436" s="49" t="s">
        <v>255</v>
      </c>
      <c r="M436" s="49"/>
      <c r="N436" s="49"/>
      <c r="O436" s="49"/>
      <c r="P436" s="49"/>
      <c r="Q436" s="49"/>
      <c r="R436" s="49"/>
      <c r="S436" s="49"/>
      <c r="T436" s="49"/>
    </row>
    <row r="437">
      <c r="A437" s="49"/>
      <c r="B437" s="49"/>
      <c r="C437" s="49"/>
      <c r="D437" s="49"/>
      <c r="E437" s="49"/>
      <c r="F437" s="49"/>
      <c r="G437" s="49"/>
      <c r="H437" s="49"/>
      <c r="I437" s="49" t="str">
        <f>IFERROR(__xludf.DUMMYFUNCTION("""COMPUTED_VALUE"""),"#VALUE!")</f>
        <v>#VALUE!</v>
      </c>
      <c r="J437" s="49"/>
      <c r="K437" s="49"/>
      <c r="L437" s="49" t="s">
        <v>255</v>
      </c>
      <c r="M437" s="49"/>
      <c r="N437" s="49"/>
      <c r="O437" s="49"/>
      <c r="P437" s="49"/>
      <c r="Q437" s="49"/>
      <c r="R437" s="49"/>
      <c r="S437" s="49"/>
      <c r="T437" s="49"/>
    </row>
    <row r="438">
      <c r="A438" s="49"/>
      <c r="B438" s="49"/>
      <c r="C438" s="49"/>
      <c r="D438" s="49"/>
      <c r="E438" s="49"/>
      <c r="F438" s="49"/>
      <c r="G438" s="49"/>
      <c r="H438" s="49"/>
      <c r="I438" s="49" t="str">
        <f>IFERROR(__xludf.DUMMYFUNCTION("""COMPUTED_VALUE"""),"#VALUE!")</f>
        <v>#VALUE!</v>
      </c>
      <c r="J438" s="49"/>
      <c r="K438" s="49"/>
      <c r="L438" s="49" t="s">
        <v>255</v>
      </c>
      <c r="M438" s="49"/>
      <c r="N438" s="49"/>
      <c r="O438" s="49"/>
      <c r="P438" s="49"/>
      <c r="Q438" s="49"/>
      <c r="R438" s="49"/>
      <c r="S438" s="49"/>
      <c r="T438" s="49"/>
    </row>
    <row r="439">
      <c r="A439" s="49"/>
      <c r="B439" s="49"/>
      <c r="C439" s="49"/>
      <c r="D439" s="49"/>
      <c r="E439" s="49"/>
      <c r="F439" s="49"/>
      <c r="G439" s="49"/>
      <c r="H439" s="49"/>
      <c r="I439" s="49" t="str">
        <f>IFERROR(__xludf.DUMMYFUNCTION("""COMPUTED_VALUE"""),"#VALUE!")</f>
        <v>#VALUE!</v>
      </c>
      <c r="J439" s="49"/>
      <c r="K439" s="49"/>
      <c r="L439" s="49" t="s">
        <v>255</v>
      </c>
      <c r="M439" s="49"/>
      <c r="N439" s="49"/>
      <c r="O439" s="49"/>
      <c r="P439" s="49"/>
      <c r="Q439" s="49"/>
      <c r="R439" s="49"/>
      <c r="S439" s="49"/>
      <c r="T439" s="49"/>
    </row>
    <row r="440">
      <c r="A440" s="49"/>
      <c r="B440" s="49"/>
      <c r="C440" s="49"/>
      <c r="D440" s="49"/>
      <c r="E440" s="49"/>
      <c r="F440" s="49"/>
      <c r="G440" s="49"/>
      <c r="H440" s="49"/>
      <c r="I440" s="49" t="str">
        <f>IFERROR(__xludf.DUMMYFUNCTION("""COMPUTED_VALUE"""),"#VALUE!")</f>
        <v>#VALUE!</v>
      </c>
      <c r="J440" s="49"/>
      <c r="K440" s="49"/>
      <c r="L440" s="49" t="s">
        <v>255</v>
      </c>
      <c r="M440" s="49"/>
      <c r="N440" s="49"/>
      <c r="O440" s="49"/>
      <c r="P440" s="49"/>
      <c r="Q440" s="49"/>
      <c r="R440" s="49"/>
      <c r="S440" s="49"/>
      <c r="T440" s="49"/>
    </row>
    <row r="441">
      <c r="A441" s="49"/>
      <c r="B441" s="49"/>
      <c r="C441" s="49"/>
      <c r="D441" s="49"/>
      <c r="E441" s="49"/>
      <c r="F441" s="49"/>
      <c r="G441" s="49"/>
      <c r="H441" s="49"/>
      <c r="I441" s="49" t="str">
        <f>IFERROR(__xludf.DUMMYFUNCTION("""COMPUTED_VALUE"""),"#VALUE!")</f>
        <v>#VALUE!</v>
      </c>
      <c r="J441" s="49"/>
      <c r="K441" s="49"/>
      <c r="L441" s="49" t="s">
        <v>255</v>
      </c>
      <c r="M441" s="49"/>
      <c r="N441" s="49"/>
      <c r="O441" s="49"/>
      <c r="P441" s="49"/>
      <c r="Q441" s="49"/>
      <c r="R441" s="49"/>
      <c r="S441" s="49"/>
      <c r="T441" s="49"/>
    </row>
    <row r="442">
      <c r="A442" s="49"/>
      <c r="B442" s="49"/>
      <c r="C442" s="49"/>
      <c r="D442" s="49"/>
      <c r="E442" s="49"/>
      <c r="F442" s="49"/>
      <c r="G442" s="49"/>
      <c r="H442" s="49"/>
      <c r="I442" s="49" t="str">
        <f>IFERROR(__xludf.DUMMYFUNCTION("""COMPUTED_VALUE"""),"#VALUE!")</f>
        <v>#VALUE!</v>
      </c>
      <c r="J442" s="49"/>
      <c r="K442" s="49"/>
      <c r="L442" s="49" t="s">
        <v>255</v>
      </c>
      <c r="M442" s="49"/>
      <c r="N442" s="49"/>
      <c r="O442" s="49"/>
      <c r="P442" s="49"/>
      <c r="Q442" s="49"/>
      <c r="R442" s="49"/>
      <c r="S442" s="49"/>
      <c r="T442" s="49"/>
    </row>
    <row r="443">
      <c r="A443" s="49"/>
      <c r="B443" s="49"/>
      <c r="C443" s="49"/>
      <c r="D443" s="49"/>
      <c r="E443" s="49"/>
      <c r="F443" s="49"/>
      <c r="G443" s="49"/>
      <c r="H443" s="49"/>
      <c r="I443" s="49" t="str">
        <f>IFERROR(__xludf.DUMMYFUNCTION("""COMPUTED_VALUE"""),"#VALUE!")</f>
        <v>#VALUE!</v>
      </c>
      <c r="J443" s="49"/>
      <c r="K443" s="49"/>
      <c r="L443" s="49" t="s">
        <v>255</v>
      </c>
      <c r="M443" s="49"/>
      <c r="N443" s="49"/>
      <c r="O443" s="49"/>
      <c r="P443" s="49"/>
      <c r="Q443" s="49"/>
      <c r="R443" s="49"/>
      <c r="S443" s="49"/>
      <c r="T443" s="49"/>
    </row>
    <row r="444">
      <c r="A444" s="49"/>
      <c r="B444" s="49"/>
      <c r="C444" s="49"/>
      <c r="D444" s="49"/>
      <c r="E444" s="49"/>
      <c r="F444" s="49"/>
      <c r="G444" s="49"/>
      <c r="H444" s="49"/>
      <c r="I444" s="49" t="str">
        <f>IFERROR(__xludf.DUMMYFUNCTION("""COMPUTED_VALUE"""),"#VALUE!")</f>
        <v>#VALUE!</v>
      </c>
      <c r="J444" s="49"/>
      <c r="K444" s="49"/>
      <c r="L444" s="49" t="s">
        <v>255</v>
      </c>
      <c r="M444" s="49"/>
      <c r="N444" s="49"/>
      <c r="O444" s="49"/>
      <c r="P444" s="49"/>
      <c r="Q444" s="49"/>
      <c r="R444" s="49"/>
      <c r="S444" s="49"/>
      <c r="T444" s="49"/>
    </row>
    <row r="445">
      <c r="A445" s="49"/>
      <c r="B445" s="49"/>
      <c r="C445" s="49"/>
      <c r="D445" s="49"/>
      <c r="E445" s="49"/>
      <c r="F445" s="49"/>
      <c r="G445" s="49"/>
      <c r="H445" s="49"/>
      <c r="I445" s="49" t="str">
        <f>IFERROR(__xludf.DUMMYFUNCTION("""COMPUTED_VALUE"""),"#VALUE!")</f>
        <v>#VALUE!</v>
      </c>
      <c r="J445" s="49"/>
      <c r="K445" s="49"/>
      <c r="L445" s="49" t="s">
        <v>255</v>
      </c>
      <c r="M445" s="49"/>
      <c r="N445" s="49"/>
      <c r="O445" s="49"/>
      <c r="P445" s="49"/>
      <c r="Q445" s="49"/>
      <c r="R445" s="49"/>
      <c r="S445" s="49"/>
      <c r="T445" s="49"/>
    </row>
    <row r="446">
      <c r="A446" s="49"/>
      <c r="B446" s="49"/>
      <c r="C446" s="49"/>
      <c r="D446" s="49"/>
      <c r="E446" s="49"/>
      <c r="F446" s="49"/>
      <c r="G446" s="49"/>
      <c r="H446" s="49"/>
      <c r="I446" s="49" t="str">
        <f>IFERROR(__xludf.DUMMYFUNCTION("""COMPUTED_VALUE"""),"#VALUE!")</f>
        <v>#VALUE!</v>
      </c>
      <c r="J446" s="49"/>
      <c r="K446" s="49"/>
      <c r="L446" s="49" t="s">
        <v>255</v>
      </c>
      <c r="M446" s="49"/>
      <c r="N446" s="49"/>
      <c r="O446" s="49"/>
      <c r="P446" s="49"/>
      <c r="Q446" s="49"/>
      <c r="R446" s="49"/>
      <c r="S446" s="49"/>
      <c r="T446" s="49"/>
    </row>
    <row r="447">
      <c r="A447" s="49"/>
      <c r="B447" s="49"/>
      <c r="C447" s="49"/>
      <c r="D447" s="49"/>
      <c r="E447" s="49"/>
      <c r="F447" s="49"/>
      <c r="G447" s="49"/>
      <c r="H447" s="49"/>
      <c r="I447" s="49" t="str">
        <f>IFERROR(__xludf.DUMMYFUNCTION("""COMPUTED_VALUE"""),"#VALUE!")</f>
        <v>#VALUE!</v>
      </c>
      <c r="J447" s="49"/>
      <c r="K447" s="49"/>
      <c r="L447" s="49" t="s">
        <v>255</v>
      </c>
      <c r="M447" s="49"/>
      <c r="N447" s="49"/>
      <c r="O447" s="49"/>
      <c r="P447" s="49"/>
      <c r="Q447" s="49"/>
      <c r="R447" s="49"/>
      <c r="S447" s="49"/>
      <c r="T447" s="49"/>
    </row>
    <row r="448">
      <c r="A448" s="49"/>
      <c r="B448" s="49"/>
      <c r="C448" s="49"/>
      <c r="D448" s="49"/>
      <c r="E448" s="49"/>
      <c r="F448" s="49"/>
      <c r="G448" s="49"/>
      <c r="H448" s="49"/>
      <c r="I448" s="49" t="str">
        <f>IFERROR(__xludf.DUMMYFUNCTION("""COMPUTED_VALUE"""),"#VALUE!")</f>
        <v>#VALUE!</v>
      </c>
      <c r="J448" s="49"/>
      <c r="K448" s="49"/>
      <c r="L448" s="49" t="s">
        <v>255</v>
      </c>
      <c r="M448" s="49"/>
      <c r="N448" s="49"/>
      <c r="O448" s="49"/>
      <c r="P448" s="49"/>
      <c r="Q448" s="49"/>
      <c r="R448" s="49"/>
      <c r="S448" s="49"/>
      <c r="T448" s="49"/>
    </row>
    <row r="449">
      <c r="A449" s="49"/>
      <c r="B449" s="49"/>
      <c r="C449" s="49"/>
      <c r="D449" s="49"/>
      <c r="E449" s="49"/>
      <c r="F449" s="49"/>
      <c r="G449" s="49"/>
      <c r="H449" s="49"/>
      <c r="I449" s="49" t="str">
        <f>IFERROR(__xludf.DUMMYFUNCTION("""COMPUTED_VALUE"""),"#VALUE!")</f>
        <v>#VALUE!</v>
      </c>
      <c r="J449" s="49"/>
      <c r="K449" s="49"/>
      <c r="L449" s="49" t="s">
        <v>255</v>
      </c>
      <c r="M449" s="49"/>
      <c r="N449" s="49"/>
      <c r="O449" s="49"/>
      <c r="P449" s="49"/>
      <c r="Q449" s="49"/>
      <c r="R449" s="49"/>
      <c r="S449" s="49"/>
      <c r="T449" s="49"/>
    </row>
    <row r="450">
      <c r="A450" s="49"/>
      <c r="B450" s="49"/>
      <c r="C450" s="49"/>
      <c r="D450" s="49"/>
      <c r="E450" s="49"/>
      <c r="F450" s="49"/>
      <c r="G450" s="49"/>
      <c r="H450" s="49"/>
      <c r="I450" s="49" t="str">
        <f>IFERROR(__xludf.DUMMYFUNCTION("""COMPUTED_VALUE"""),"#VALUE!")</f>
        <v>#VALUE!</v>
      </c>
      <c r="J450" s="49"/>
      <c r="K450" s="49"/>
      <c r="L450" s="49" t="s">
        <v>255</v>
      </c>
      <c r="M450" s="49"/>
      <c r="N450" s="49"/>
      <c r="O450" s="49"/>
      <c r="P450" s="49"/>
      <c r="Q450" s="49"/>
      <c r="R450" s="49"/>
      <c r="S450" s="49"/>
      <c r="T450" s="49"/>
    </row>
    <row r="451">
      <c r="A451" s="49"/>
      <c r="B451" s="49"/>
      <c r="C451" s="49"/>
      <c r="D451" s="49"/>
      <c r="E451" s="49"/>
      <c r="F451" s="49"/>
      <c r="G451" s="49"/>
      <c r="H451" s="49"/>
      <c r="I451" s="49" t="str">
        <f>IFERROR(__xludf.DUMMYFUNCTION("""COMPUTED_VALUE"""),"#VALUE!")</f>
        <v>#VALUE!</v>
      </c>
      <c r="J451" s="49"/>
      <c r="K451" s="49"/>
      <c r="L451" s="49" t="s">
        <v>255</v>
      </c>
      <c r="M451" s="49"/>
      <c r="N451" s="49"/>
      <c r="O451" s="49"/>
      <c r="P451" s="49"/>
      <c r="Q451" s="49"/>
      <c r="R451" s="49"/>
      <c r="S451" s="49"/>
      <c r="T451" s="49"/>
    </row>
    <row r="452">
      <c r="A452" s="49"/>
      <c r="B452" s="49"/>
      <c r="C452" s="49"/>
      <c r="D452" s="49"/>
      <c r="E452" s="49"/>
      <c r="F452" s="49"/>
      <c r="G452" s="49"/>
      <c r="H452" s="49"/>
      <c r="I452" s="49" t="str">
        <f>IFERROR(__xludf.DUMMYFUNCTION("""COMPUTED_VALUE"""),"#VALUE!")</f>
        <v>#VALUE!</v>
      </c>
      <c r="J452" s="49"/>
      <c r="K452" s="49"/>
      <c r="L452" s="49" t="s">
        <v>255</v>
      </c>
      <c r="M452" s="49"/>
      <c r="N452" s="49"/>
      <c r="O452" s="49"/>
      <c r="P452" s="49"/>
      <c r="Q452" s="49"/>
      <c r="R452" s="49"/>
      <c r="S452" s="49"/>
      <c r="T452" s="49"/>
    </row>
    <row r="453">
      <c r="A453" s="49"/>
      <c r="B453" s="49"/>
      <c r="C453" s="49"/>
      <c r="D453" s="49"/>
      <c r="E453" s="49"/>
      <c r="F453" s="49"/>
      <c r="G453" s="49"/>
      <c r="H453" s="49"/>
      <c r="I453" s="49" t="str">
        <f>IFERROR(__xludf.DUMMYFUNCTION("""COMPUTED_VALUE"""),"#VALUE!")</f>
        <v>#VALUE!</v>
      </c>
      <c r="J453" s="49"/>
      <c r="K453" s="49"/>
      <c r="L453" s="49" t="s">
        <v>255</v>
      </c>
      <c r="M453" s="49"/>
      <c r="N453" s="49"/>
      <c r="O453" s="49"/>
      <c r="P453" s="49"/>
      <c r="Q453" s="49"/>
      <c r="R453" s="49"/>
      <c r="S453" s="49"/>
      <c r="T453" s="49"/>
    </row>
    <row r="454">
      <c r="A454" s="49"/>
      <c r="B454" s="49"/>
      <c r="C454" s="49"/>
      <c r="D454" s="49"/>
      <c r="E454" s="49"/>
      <c r="F454" s="49"/>
      <c r="G454" s="49"/>
      <c r="H454" s="49"/>
      <c r="I454" s="49" t="str">
        <f>IFERROR(__xludf.DUMMYFUNCTION("""COMPUTED_VALUE"""),"#VALUE!")</f>
        <v>#VALUE!</v>
      </c>
      <c r="J454" s="49"/>
      <c r="K454" s="49"/>
      <c r="L454" s="49" t="s">
        <v>255</v>
      </c>
      <c r="M454" s="49"/>
      <c r="N454" s="49"/>
      <c r="O454" s="49"/>
      <c r="P454" s="49"/>
      <c r="Q454" s="49"/>
      <c r="R454" s="49"/>
      <c r="S454" s="49"/>
      <c r="T454" s="49"/>
    </row>
    <row r="455">
      <c r="A455" s="49"/>
      <c r="B455" s="49"/>
      <c r="C455" s="49"/>
      <c r="D455" s="49"/>
      <c r="E455" s="49"/>
      <c r="F455" s="49"/>
      <c r="G455" s="49"/>
      <c r="H455" s="49"/>
      <c r="I455" s="49" t="str">
        <f>IFERROR(__xludf.DUMMYFUNCTION("""COMPUTED_VALUE"""),"#VALUE!")</f>
        <v>#VALUE!</v>
      </c>
      <c r="J455" s="49"/>
      <c r="K455" s="49"/>
      <c r="L455" s="49" t="s">
        <v>255</v>
      </c>
      <c r="M455" s="49"/>
      <c r="N455" s="49"/>
      <c r="O455" s="49"/>
      <c r="P455" s="49"/>
      <c r="Q455" s="49"/>
      <c r="R455" s="49"/>
      <c r="S455" s="49"/>
      <c r="T455" s="49"/>
    </row>
    <row r="456">
      <c r="A456" s="49"/>
      <c r="B456" s="49"/>
      <c r="C456" s="49"/>
      <c r="D456" s="49"/>
      <c r="E456" s="49"/>
      <c r="F456" s="49"/>
      <c r="G456" s="49"/>
      <c r="H456" s="49"/>
      <c r="I456" s="49" t="str">
        <f>IFERROR(__xludf.DUMMYFUNCTION("""COMPUTED_VALUE"""),"#VALUE!")</f>
        <v>#VALUE!</v>
      </c>
      <c r="J456" s="49"/>
      <c r="K456" s="49"/>
      <c r="L456" s="49" t="s">
        <v>255</v>
      </c>
      <c r="M456" s="49"/>
      <c r="N456" s="49"/>
      <c r="O456" s="49"/>
      <c r="P456" s="49"/>
      <c r="Q456" s="49"/>
      <c r="R456" s="49"/>
      <c r="S456" s="49"/>
      <c r="T456" s="49"/>
    </row>
    <row r="457">
      <c r="A457" s="49"/>
      <c r="B457" s="49"/>
      <c r="C457" s="49"/>
      <c r="D457" s="49"/>
      <c r="E457" s="49"/>
      <c r="F457" s="49"/>
      <c r="G457" s="49"/>
      <c r="H457" s="49"/>
      <c r="I457" s="49" t="str">
        <f>IFERROR(__xludf.DUMMYFUNCTION("""COMPUTED_VALUE"""),"#VALUE!")</f>
        <v>#VALUE!</v>
      </c>
      <c r="J457" s="49"/>
      <c r="K457" s="49"/>
      <c r="L457" s="49" t="s">
        <v>255</v>
      </c>
      <c r="M457" s="49"/>
      <c r="N457" s="49"/>
      <c r="O457" s="49"/>
      <c r="P457" s="49"/>
      <c r="Q457" s="49"/>
      <c r="R457" s="49"/>
      <c r="S457" s="49"/>
      <c r="T457" s="49"/>
    </row>
    <row r="458">
      <c r="A458" s="49"/>
      <c r="B458" s="49"/>
      <c r="C458" s="49"/>
      <c r="D458" s="49"/>
      <c r="E458" s="49"/>
      <c r="F458" s="49"/>
      <c r="G458" s="49"/>
      <c r="H458" s="49"/>
      <c r="I458" s="49" t="str">
        <f>IFERROR(__xludf.DUMMYFUNCTION("""COMPUTED_VALUE"""),"#VALUE!")</f>
        <v>#VALUE!</v>
      </c>
      <c r="J458" s="49"/>
      <c r="K458" s="49"/>
      <c r="L458" s="49" t="s">
        <v>255</v>
      </c>
      <c r="M458" s="49"/>
      <c r="N458" s="49"/>
      <c r="O458" s="49"/>
      <c r="P458" s="49"/>
      <c r="Q458" s="49"/>
      <c r="R458" s="49"/>
      <c r="S458" s="49"/>
      <c r="T458" s="49"/>
    </row>
    <row r="459">
      <c r="A459" s="49"/>
      <c r="B459" s="49"/>
      <c r="C459" s="49"/>
      <c r="D459" s="49"/>
      <c r="E459" s="49"/>
      <c r="F459" s="49"/>
      <c r="G459" s="49"/>
      <c r="H459" s="49"/>
      <c r="I459" s="49" t="str">
        <f>IFERROR(__xludf.DUMMYFUNCTION("""COMPUTED_VALUE"""),"#VALUE!")</f>
        <v>#VALUE!</v>
      </c>
      <c r="J459" s="49"/>
      <c r="K459" s="49"/>
      <c r="L459" s="49" t="s">
        <v>255</v>
      </c>
      <c r="M459" s="49"/>
      <c r="N459" s="49"/>
      <c r="O459" s="49"/>
      <c r="P459" s="49"/>
      <c r="Q459" s="49"/>
      <c r="R459" s="49"/>
      <c r="S459" s="49"/>
      <c r="T459" s="49"/>
    </row>
    <row r="460">
      <c r="A460" s="49"/>
      <c r="B460" s="49"/>
      <c r="C460" s="49"/>
      <c r="D460" s="49"/>
      <c r="E460" s="49"/>
      <c r="F460" s="49"/>
      <c r="G460" s="49"/>
      <c r="H460" s="49"/>
      <c r="I460" s="49" t="str">
        <f>IFERROR(__xludf.DUMMYFUNCTION("""COMPUTED_VALUE"""),"#VALUE!")</f>
        <v>#VALUE!</v>
      </c>
      <c r="J460" s="49"/>
      <c r="K460" s="49"/>
      <c r="L460" s="49" t="s">
        <v>255</v>
      </c>
      <c r="M460" s="49"/>
      <c r="N460" s="49"/>
      <c r="O460" s="49"/>
      <c r="P460" s="49"/>
      <c r="Q460" s="49"/>
      <c r="R460" s="49"/>
      <c r="S460" s="49"/>
      <c r="T460" s="49"/>
    </row>
    <row r="461">
      <c r="A461" s="49"/>
      <c r="B461" s="49"/>
      <c r="C461" s="49"/>
      <c r="D461" s="49"/>
      <c r="E461" s="49"/>
      <c r="F461" s="49"/>
      <c r="G461" s="49"/>
      <c r="H461" s="49"/>
      <c r="I461" s="49" t="str">
        <f>IFERROR(__xludf.DUMMYFUNCTION("""COMPUTED_VALUE"""),"#VALUE!")</f>
        <v>#VALUE!</v>
      </c>
      <c r="J461" s="49"/>
      <c r="K461" s="49"/>
      <c r="L461" s="49" t="s">
        <v>255</v>
      </c>
      <c r="M461" s="49"/>
      <c r="N461" s="49"/>
      <c r="O461" s="49"/>
      <c r="P461" s="49"/>
      <c r="Q461" s="49"/>
      <c r="R461" s="49"/>
      <c r="S461" s="49"/>
      <c r="T461" s="49"/>
    </row>
    <row r="462">
      <c r="A462" s="49"/>
      <c r="B462" s="49"/>
      <c r="C462" s="49"/>
      <c r="D462" s="49"/>
      <c r="E462" s="49"/>
      <c r="F462" s="49"/>
      <c r="G462" s="49"/>
      <c r="H462" s="49"/>
      <c r="I462" s="49" t="str">
        <f>IFERROR(__xludf.DUMMYFUNCTION("""COMPUTED_VALUE"""),"#VALUE!")</f>
        <v>#VALUE!</v>
      </c>
      <c r="J462" s="49"/>
      <c r="K462" s="49"/>
      <c r="L462" s="49" t="s">
        <v>255</v>
      </c>
      <c r="M462" s="49"/>
      <c r="N462" s="49"/>
      <c r="O462" s="49"/>
      <c r="P462" s="49"/>
      <c r="Q462" s="49"/>
      <c r="R462" s="49"/>
      <c r="S462" s="49"/>
      <c r="T462" s="49"/>
    </row>
    <row r="463">
      <c r="A463" s="49"/>
      <c r="B463" s="49"/>
      <c r="C463" s="49"/>
      <c r="D463" s="49"/>
      <c r="E463" s="49"/>
      <c r="F463" s="49"/>
      <c r="G463" s="49"/>
      <c r="H463" s="49"/>
      <c r="I463" s="49" t="str">
        <f>IFERROR(__xludf.DUMMYFUNCTION("""COMPUTED_VALUE"""),"#VALUE!")</f>
        <v>#VALUE!</v>
      </c>
      <c r="J463" s="49"/>
      <c r="K463" s="49"/>
      <c r="L463" s="49" t="s">
        <v>255</v>
      </c>
      <c r="M463" s="49"/>
      <c r="N463" s="49"/>
      <c r="O463" s="49"/>
      <c r="P463" s="49"/>
      <c r="Q463" s="49"/>
      <c r="R463" s="49"/>
      <c r="S463" s="49"/>
      <c r="T463" s="49"/>
    </row>
    <row r="464">
      <c r="A464" s="49"/>
      <c r="B464" s="49"/>
      <c r="C464" s="49"/>
      <c r="D464" s="49"/>
      <c r="E464" s="49"/>
      <c r="F464" s="49"/>
      <c r="G464" s="49"/>
      <c r="H464" s="49"/>
      <c r="I464" s="49" t="str">
        <f>IFERROR(__xludf.DUMMYFUNCTION("""COMPUTED_VALUE"""),"#VALUE!")</f>
        <v>#VALUE!</v>
      </c>
      <c r="J464" s="49"/>
      <c r="K464" s="49"/>
      <c r="L464" s="49" t="s">
        <v>255</v>
      </c>
      <c r="M464" s="49"/>
      <c r="N464" s="49"/>
      <c r="O464" s="49"/>
      <c r="P464" s="49"/>
      <c r="Q464" s="49"/>
      <c r="R464" s="49"/>
      <c r="S464" s="49"/>
      <c r="T464" s="49"/>
    </row>
    <row r="465">
      <c r="A465" s="49"/>
      <c r="B465" s="49"/>
      <c r="C465" s="49"/>
      <c r="D465" s="49"/>
      <c r="E465" s="49"/>
      <c r="F465" s="49"/>
      <c r="G465" s="49"/>
      <c r="H465" s="49"/>
      <c r="I465" s="49" t="str">
        <f>IFERROR(__xludf.DUMMYFUNCTION("""COMPUTED_VALUE"""),"#VALUE!")</f>
        <v>#VALUE!</v>
      </c>
      <c r="J465" s="49"/>
      <c r="K465" s="49"/>
      <c r="L465" s="49" t="s">
        <v>255</v>
      </c>
      <c r="M465" s="49"/>
      <c r="N465" s="49"/>
      <c r="O465" s="49"/>
      <c r="P465" s="49"/>
      <c r="Q465" s="49"/>
      <c r="R465" s="49"/>
      <c r="S465" s="49"/>
      <c r="T465" s="49"/>
    </row>
    <row r="466">
      <c r="A466" s="49"/>
      <c r="B466" s="49"/>
      <c r="C466" s="49"/>
      <c r="D466" s="49"/>
      <c r="E466" s="49"/>
      <c r="F466" s="49"/>
      <c r="G466" s="49"/>
      <c r="H466" s="49"/>
      <c r="I466" s="49" t="str">
        <f>IFERROR(__xludf.DUMMYFUNCTION("""COMPUTED_VALUE"""),"#VALUE!")</f>
        <v>#VALUE!</v>
      </c>
      <c r="J466" s="49"/>
      <c r="K466" s="49"/>
      <c r="L466" s="49" t="s">
        <v>255</v>
      </c>
      <c r="M466" s="49"/>
      <c r="N466" s="49"/>
      <c r="O466" s="49"/>
      <c r="P466" s="49"/>
      <c r="Q466" s="49"/>
      <c r="R466" s="49"/>
      <c r="S466" s="49"/>
      <c r="T466" s="49"/>
    </row>
    <row r="467">
      <c r="A467" s="49"/>
      <c r="B467" s="49"/>
      <c r="C467" s="49"/>
      <c r="D467" s="49"/>
      <c r="E467" s="49"/>
      <c r="F467" s="49"/>
      <c r="G467" s="49"/>
      <c r="H467" s="49"/>
      <c r="I467" s="49" t="str">
        <f>IFERROR(__xludf.DUMMYFUNCTION("""COMPUTED_VALUE"""),"#VALUE!")</f>
        <v>#VALUE!</v>
      </c>
      <c r="J467" s="49"/>
      <c r="K467" s="49"/>
      <c r="L467" s="49" t="s">
        <v>255</v>
      </c>
      <c r="M467" s="49"/>
      <c r="N467" s="49"/>
      <c r="O467" s="49"/>
      <c r="P467" s="49"/>
      <c r="Q467" s="49"/>
      <c r="R467" s="49"/>
      <c r="S467" s="49"/>
      <c r="T467" s="49"/>
    </row>
    <row r="468">
      <c r="A468" s="49"/>
      <c r="B468" s="49"/>
      <c r="C468" s="49"/>
      <c r="D468" s="49"/>
      <c r="E468" s="49"/>
      <c r="F468" s="49"/>
      <c r="G468" s="49"/>
      <c r="H468" s="49"/>
      <c r="I468" s="49" t="str">
        <f>IFERROR(__xludf.DUMMYFUNCTION("""COMPUTED_VALUE"""),"#VALUE!")</f>
        <v>#VALUE!</v>
      </c>
      <c r="J468" s="49"/>
      <c r="K468" s="49"/>
      <c r="L468" s="49" t="s">
        <v>255</v>
      </c>
      <c r="M468" s="49"/>
      <c r="N468" s="49"/>
      <c r="O468" s="49"/>
      <c r="P468" s="49"/>
      <c r="Q468" s="49"/>
      <c r="R468" s="49"/>
      <c r="S468" s="49"/>
      <c r="T468" s="49"/>
    </row>
    <row r="469">
      <c r="A469" s="49"/>
      <c r="B469" s="49"/>
      <c r="C469" s="49"/>
      <c r="D469" s="49"/>
      <c r="E469" s="49"/>
      <c r="F469" s="49"/>
      <c r="G469" s="49"/>
      <c r="H469" s="49"/>
      <c r="I469" s="49" t="str">
        <f>IFERROR(__xludf.DUMMYFUNCTION("""COMPUTED_VALUE"""),"#VALUE!")</f>
        <v>#VALUE!</v>
      </c>
      <c r="J469" s="49"/>
      <c r="K469" s="49"/>
      <c r="L469" s="49" t="s">
        <v>255</v>
      </c>
      <c r="M469" s="49"/>
      <c r="N469" s="49"/>
      <c r="O469" s="49"/>
      <c r="P469" s="49"/>
      <c r="Q469" s="49"/>
      <c r="R469" s="49"/>
      <c r="S469" s="49"/>
      <c r="T469" s="49"/>
    </row>
    <row r="470">
      <c r="A470" s="49"/>
      <c r="B470" s="49"/>
      <c r="C470" s="49"/>
      <c r="D470" s="49"/>
      <c r="E470" s="49"/>
      <c r="F470" s="49"/>
      <c r="G470" s="49"/>
      <c r="H470" s="49"/>
      <c r="I470" s="49" t="str">
        <f>IFERROR(__xludf.DUMMYFUNCTION("""COMPUTED_VALUE"""),"#VALUE!")</f>
        <v>#VALUE!</v>
      </c>
      <c r="J470" s="49"/>
      <c r="K470" s="49"/>
      <c r="L470" s="49" t="s">
        <v>255</v>
      </c>
      <c r="M470" s="49"/>
      <c r="N470" s="49"/>
      <c r="O470" s="49"/>
      <c r="P470" s="49"/>
      <c r="Q470" s="49"/>
      <c r="R470" s="49"/>
      <c r="S470" s="49"/>
      <c r="T470" s="49"/>
    </row>
    <row r="471">
      <c r="A471" s="49"/>
      <c r="B471" s="49"/>
      <c r="C471" s="49"/>
      <c r="D471" s="49"/>
      <c r="E471" s="49"/>
      <c r="F471" s="49"/>
      <c r="G471" s="49"/>
      <c r="H471" s="49"/>
      <c r="I471" s="49" t="str">
        <f>IFERROR(__xludf.DUMMYFUNCTION("""COMPUTED_VALUE"""),"#VALUE!")</f>
        <v>#VALUE!</v>
      </c>
      <c r="J471" s="49"/>
      <c r="K471" s="49"/>
      <c r="L471" s="49" t="s">
        <v>255</v>
      </c>
      <c r="M471" s="49"/>
      <c r="N471" s="49"/>
      <c r="O471" s="49"/>
      <c r="P471" s="49"/>
      <c r="Q471" s="49"/>
      <c r="R471" s="49"/>
      <c r="S471" s="49"/>
      <c r="T471" s="49"/>
    </row>
    <row r="472">
      <c r="A472" s="49"/>
      <c r="B472" s="49"/>
      <c r="C472" s="49"/>
      <c r="D472" s="49"/>
      <c r="E472" s="49"/>
      <c r="F472" s="49"/>
      <c r="G472" s="49"/>
      <c r="H472" s="49"/>
      <c r="I472" s="49" t="str">
        <f>IFERROR(__xludf.DUMMYFUNCTION("""COMPUTED_VALUE"""),"#VALUE!")</f>
        <v>#VALUE!</v>
      </c>
      <c r="J472" s="49"/>
      <c r="K472" s="49"/>
      <c r="L472" s="49" t="s">
        <v>255</v>
      </c>
      <c r="M472" s="49"/>
      <c r="N472" s="49"/>
      <c r="O472" s="49"/>
      <c r="P472" s="49"/>
      <c r="Q472" s="49"/>
      <c r="R472" s="49"/>
      <c r="S472" s="49"/>
      <c r="T472" s="49"/>
    </row>
    <row r="473">
      <c r="A473" s="49"/>
      <c r="B473" s="49"/>
      <c r="C473" s="49"/>
      <c r="D473" s="49"/>
      <c r="E473" s="49"/>
      <c r="F473" s="49"/>
      <c r="G473" s="49"/>
      <c r="H473" s="49"/>
      <c r="I473" s="49" t="str">
        <f>IFERROR(__xludf.DUMMYFUNCTION("""COMPUTED_VALUE"""),"#VALUE!")</f>
        <v>#VALUE!</v>
      </c>
      <c r="J473" s="49"/>
      <c r="K473" s="49"/>
      <c r="L473" s="49" t="s">
        <v>255</v>
      </c>
      <c r="M473" s="49"/>
      <c r="N473" s="49"/>
      <c r="O473" s="49"/>
      <c r="P473" s="49"/>
      <c r="Q473" s="49"/>
      <c r="R473" s="49"/>
      <c r="S473" s="49"/>
      <c r="T473" s="49"/>
    </row>
    <row r="474">
      <c r="A474" s="49"/>
      <c r="B474" s="49"/>
      <c r="C474" s="49"/>
      <c r="D474" s="49"/>
      <c r="E474" s="49"/>
      <c r="F474" s="49"/>
      <c r="G474" s="49"/>
      <c r="H474" s="49"/>
      <c r="I474" s="49" t="str">
        <f>IFERROR(__xludf.DUMMYFUNCTION("""COMPUTED_VALUE"""),"#VALUE!")</f>
        <v>#VALUE!</v>
      </c>
      <c r="J474" s="49"/>
      <c r="K474" s="49"/>
      <c r="L474" s="49" t="s">
        <v>255</v>
      </c>
      <c r="M474" s="49"/>
      <c r="N474" s="49"/>
      <c r="O474" s="49"/>
      <c r="P474" s="49"/>
      <c r="Q474" s="49"/>
      <c r="R474" s="49"/>
      <c r="S474" s="49"/>
      <c r="T474" s="49"/>
    </row>
    <row r="475">
      <c r="A475" s="49"/>
      <c r="B475" s="49"/>
      <c r="C475" s="49"/>
      <c r="D475" s="49"/>
      <c r="E475" s="49"/>
      <c r="F475" s="49"/>
      <c r="G475" s="49"/>
      <c r="H475" s="49"/>
      <c r="I475" s="49" t="str">
        <f>IFERROR(__xludf.DUMMYFUNCTION("""COMPUTED_VALUE"""),"#VALUE!")</f>
        <v>#VALUE!</v>
      </c>
      <c r="J475" s="49"/>
      <c r="K475" s="49"/>
      <c r="L475" s="49" t="s">
        <v>255</v>
      </c>
      <c r="M475" s="49"/>
      <c r="N475" s="49"/>
      <c r="O475" s="49"/>
      <c r="P475" s="49"/>
      <c r="Q475" s="49"/>
      <c r="R475" s="49"/>
      <c r="S475" s="49"/>
      <c r="T475" s="49"/>
    </row>
    <row r="476">
      <c r="A476" s="49"/>
      <c r="B476" s="49"/>
      <c r="C476" s="49"/>
      <c r="D476" s="49"/>
      <c r="E476" s="49"/>
      <c r="F476" s="49"/>
      <c r="G476" s="49"/>
      <c r="H476" s="49"/>
      <c r="I476" s="49" t="str">
        <f>IFERROR(__xludf.DUMMYFUNCTION("""COMPUTED_VALUE"""),"#VALUE!")</f>
        <v>#VALUE!</v>
      </c>
      <c r="J476" s="49"/>
      <c r="K476" s="49"/>
      <c r="L476" s="49" t="s">
        <v>255</v>
      </c>
      <c r="M476" s="49"/>
      <c r="N476" s="49"/>
      <c r="O476" s="49"/>
      <c r="P476" s="49"/>
      <c r="Q476" s="49"/>
      <c r="R476" s="49"/>
      <c r="S476" s="49"/>
      <c r="T476" s="49"/>
    </row>
    <row r="477">
      <c r="A477" s="49"/>
      <c r="B477" s="49"/>
      <c r="C477" s="49"/>
      <c r="D477" s="49"/>
      <c r="E477" s="49"/>
      <c r="F477" s="49"/>
      <c r="G477" s="49"/>
      <c r="H477" s="49"/>
      <c r="I477" s="49" t="str">
        <f>IFERROR(__xludf.DUMMYFUNCTION("""COMPUTED_VALUE"""),"#VALUE!")</f>
        <v>#VALUE!</v>
      </c>
      <c r="J477" s="49"/>
      <c r="K477" s="49"/>
      <c r="L477" s="49" t="s">
        <v>255</v>
      </c>
      <c r="M477" s="49"/>
      <c r="N477" s="49"/>
      <c r="O477" s="49"/>
      <c r="P477" s="49"/>
      <c r="Q477" s="49"/>
      <c r="R477" s="49"/>
      <c r="S477" s="49"/>
      <c r="T477" s="49"/>
    </row>
    <row r="478">
      <c r="A478" s="49"/>
      <c r="B478" s="49"/>
      <c r="C478" s="49"/>
      <c r="D478" s="49"/>
      <c r="E478" s="49"/>
      <c r="F478" s="49"/>
      <c r="G478" s="49"/>
      <c r="H478" s="49"/>
      <c r="I478" s="49" t="str">
        <f>IFERROR(__xludf.DUMMYFUNCTION("""COMPUTED_VALUE"""),"#VALUE!")</f>
        <v>#VALUE!</v>
      </c>
      <c r="J478" s="49"/>
      <c r="K478" s="49"/>
      <c r="L478" s="49" t="s">
        <v>255</v>
      </c>
      <c r="M478" s="49"/>
      <c r="N478" s="49"/>
      <c r="O478" s="49"/>
      <c r="P478" s="49"/>
      <c r="Q478" s="49"/>
      <c r="R478" s="49"/>
      <c r="S478" s="49"/>
      <c r="T478" s="49"/>
    </row>
    <row r="479">
      <c r="A479" s="49"/>
      <c r="B479" s="49"/>
      <c r="C479" s="49"/>
      <c r="D479" s="49"/>
      <c r="E479" s="49"/>
      <c r="F479" s="49"/>
      <c r="G479" s="49"/>
      <c r="H479" s="49"/>
      <c r="I479" s="49" t="str">
        <f>IFERROR(__xludf.DUMMYFUNCTION("""COMPUTED_VALUE"""),"#VALUE!")</f>
        <v>#VALUE!</v>
      </c>
      <c r="J479" s="49"/>
      <c r="K479" s="49"/>
      <c r="L479" s="49" t="s">
        <v>255</v>
      </c>
      <c r="M479" s="49"/>
      <c r="N479" s="49"/>
      <c r="O479" s="49"/>
      <c r="P479" s="49"/>
      <c r="Q479" s="49"/>
      <c r="R479" s="49"/>
      <c r="S479" s="49"/>
      <c r="T479" s="49"/>
    </row>
    <row r="480">
      <c r="A480" s="49"/>
      <c r="B480" s="49"/>
      <c r="C480" s="49"/>
      <c r="D480" s="49"/>
      <c r="E480" s="49"/>
      <c r="F480" s="49"/>
      <c r="G480" s="49"/>
      <c r="H480" s="49"/>
      <c r="I480" s="49" t="str">
        <f>IFERROR(__xludf.DUMMYFUNCTION("""COMPUTED_VALUE"""),"#VALUE!")</f>
        <v>#VALUE!</v>
      </c>
      <c r="J480" s="49"/>
      <c r="K480" s="49"/>
      <c r="L480" s="49" t="s">
        <v>255</v>
      </c>
      <c r="M480" s="49"/>
      <c r="N480" s="49"/>
      <c r="O480" s="49"/>
      <c r="P480" s="49"/>
      <c r="Q480" s="49"/>
      <c r="R480" s="49"/>
      <c r="S480" s="49"/>
      <c r="T480" s="49"/>
    </row>
    <row r="481">
      <c r="A481" s="49"/>
      <c r="B481" s="49"/>
      <c r="C481" s="49"/>
      <c r="D481" s="49"/>
      <c r="E481" s="49"/>
      <c r="F481" s="49"/>
      <c r="G481" s="49"/>
      <c r="H481" s="49"/>
      <c r="I481" s="49" t="str">
        <f>IFERROR(__xludf.DUMMYFUNCTION("""COMPUTED_VALUE"""),"#VALUE!")</f>
        <v>#VALUE!</v>
      </c>
      <c r="J481" s="49"/>
      <c r="K481" s="49"/>
      <c r="L481" s="49" t="s">
        <v>255</v>
      </c>
      <c r="M481" s="49"/>
      <c r="N481" s="49"/>
      <c r="O481" s="49"/>
      <c r="P481" s="49"/>
      <c r="Q481" s="49"/>
      <c r="R481" s="49"/>
      <c r="S481" s="49"/>
      <c r="T481" s="49"/>
    </row>
    <row r="482">
      <c r="A482" s="49"/>
      <c r="B482" s="49"/>
      <c r="C482" s="49"/>
      <c r="D482" s="49"/>
      <c r="E482" s="49"/>
      <c r="F482" s="49"/>
      <c r="G482" s="49"/>
      <c r="H482" s="49"/>
      <c r="I482" s="49" t="str">
        <f>IFERROR(__xludf.DUMMYFUNCTION("""COMPUTED_VALUE"""),"#VALUE!")</f>
        <v>#VALUE!</v>
      </c>
      <c r="J482" s="49"/>
      <c r="K482" s="49"/>
      <c r="L482" s="49" t="s">
        <v>255</v>
      </c>
      <c r="M482" s="49"/>
      <c r="N482" s="49"/>
      <c r="O482" s="49"/>
      <c r="P482" s="49"/>
      <c r="Q482" s="49"/>
      <c r="R482" s="49"/>
      <c r="S482" s="49"/>
      <c r="T482" s="49"/>
    </row>
    <row r="483">
      <c r="A483" s="49"/>
      <c r="B483" s="49"/>
      <c r="C483" s="49"/>
      <c r="D483" s="49"/>
      <c r="E483" s="49"/>
      <c r="F483" s="49"/>
      <c r="G483" s="49"/>
      <c r="H483" s="49"/>
      <c r="I483" s="49" t="str">
        <f>IFERROR(__xludf.DUMMYFUNCTION("""COMPUTED_VALUE"""),"#VALUE!")</f>
        <v>#VALUE!</v>
      </c>
      <c r="J483" s="49"/>
      <c r="K483" s="49"/>
      <c r="L483" s="49" t="s">
        <v>255</v>
      </c>
      <c r="M483" s="49"/>
      <c r="N483" s="49"/>
      <c r="O483" s="49"/>
      <c r="P483" s="49"/>
      <c r="Q483" s="49"/>
      <c r="R483" s="49"/>
      <c r="S483" s="49"/>
      <c r="T483" s="49"/>
    </row>
    <row r="484">
      <c r="A484" s="49"/>
      <c r="B484" s="49"/>
      <c r="C484" s="49"/>
      <c r="D484" s="49"/>
      <c r="E484" s="49"/>
      <c r="F484" s="49"/>
      <c r="G484" s="49"/>
      <c r="H484" s="49"/>
      <c r="I484" s="49" t="str">
        <f>IFERROR(__xludf.DUMMYFUNCTION("""COMPUTED_VALUE"""),"#VALUE!")</f>
        <v>#VALUE!</v>
      </c>
      <c r="J484" s="49"/>
      <c r="K484" s="49"/>
      <c r="L484" s="49" t="s">
        <v>255</v>
      </c>
      <c r="M484" s="49"/>
      <c r="N484" s="49"/>
      <c r="O484" s="49"/>
      <c r="P484" s="49"/>
      <c r="Q484" s="49"/>
      <c r="R484" s="49"/>
      <c r="S484" s="49"/>
      <c r="T484" s="49"/>
    </row>
    <row r="485">
      <c r="A485" s="49"/>
      <c r="B485" s="49"/>
      <c r="C485" s="49"/>
      <c r="D485" s="49"/>
      <c r="E485" s="49"/>
      <c r="F485" s="49"/>
      <c r="G485" s="49"/>
      <c r="H485" s="49"/>
      <c r="I485" s="49" t="str">
        <f>IFERROR(__xludf.DUMMYFUNCTION("""COMPUTED_VALUE"""),"#VALUE!")</f>
        <v>#VALUE!</v>
      </c>
      <c r="J485" s="49"/>
      <c r="K485" s="49"/>
      <c r="L485" s="49" t="s">
        <v>255</v>
      </c>
      <c r="M485" s="49"/>
      <c r="N485" s="49"/>
      <c r="O485" s="49"/>
      <c r="P485" s="49"/>
      <c r="Q485" s="49"/>
      <c r="R485" s="49"/>
      <c r="S485" s="49"/>
      <c r="T485" s="49"/>
    </row>
    <row r="486">
      <c r="A486" s="49"/>
      <c r="B486" s="49"/>
      <c r="C486" s="49"/>
      <c r="D486" s="49"/>
      <c r="E486" s="49"/>
      <c r="F486" s="49"/>
      <c r="G486" s="49"/>
      <c r="H486" s="49"/>
      <c r="I486" s="49" t="str">
        <f>IFERROR(__xludf.DUMMYFUNCTION("""COMPUTED_VALUE"""),"#VALUE!")</f>
        <v>#VALUE!</v>
      </c>
      <c r="J486" s="49"/>
      <c r="K486" s="49"/>
      <c r="L486" s="49" t="s">
        <v>255</v>
      </c>
      <c r="M486" s="49"/>
      <c r="N486" s="49"/>
      <c r="O486" s="49"/>
      <c r="P486" s="49"/>
      <c r="Q486" s="49"/>
      <c r="R486" s="49"/>
      <c r="S486" s="49"/>
      <c r="T486" s="49"/>
    </row>
    <row r="487">
      <c r="A487" s="49"/>
      <c r="B487" s="49"/>
      <c r="C487" s="49"/>
      <c r="D487" s="49"/>
      <c r="E487" s="49"/>
      <c r="F487" s="49"/>
      <c r="G487" s="49"/>
      <c r="H487" s="49"/>
      <c r="I487" s="49" t="str">
        <f>IFERROR(__xludf.DUMMYFUNCTION("""COMPUTED_VALUE"""),"#VALUE!")</f>
        <v>#VALUE!</v>
      </c>
      <c r="J487" s="49"/>
      <c r="K487" s="49"/>
      <c r="L487" s="49" t="s">
        <v>255</v>
      </c>
      <c r="M487" s="49"/>
      <c r="N487" s="49"/>
      <c r="O487" s="49"/>
      <c r="P487" s="49"/>
      <c r="Q487" s="49"/>
      <c r="R487" s="49"/>
      <c r="S487" s="49"/>
      <c r="T487" s="49"/>
    </row>
    <row r="488">
      <c r="A488" s="49"/>
      <c r="B488" s="49"/>
      <c r="C488" s="49"/>
      <c r="D488" s="49"/>
      <c r="E488" s="49"/>
      <c r="F488" s="49"/>
      <c r="G488" s="49"/>
      <c r="H488" s="49"/>
      <c r="I488" s="49" t="str">
        <f>IFERROR(__xludf.DUMMYFUNCTION("""COMPUTED_VALUE"""),"#VALUE!")</f>
        <v>#VALUE!</v>
      </c>
      <c r="J488" s="49"/>
      <c r="K488" s="49"/>
      <c r="L488" s="49" t="s">
        <v>255</v>
      </c>
      <c r="M488" s="49"/>
      <c r="N488" s="49"/>
      <c r="O488" s="49"/>
      <c r="P488" s="49"/>
      <c r="Q488" s="49"/>
      <c r="R488" s="49"/>
      <c r="S488" s="49"/>
      <c r="T488" s="49"/>
    </row>
    <row r="489">
      <c r="A489" s="49"/>
      <c r="B489" s="49"/>
      <c r="C489" s="49"/>
      <c r="D489" s="49"/>
      <c r="E489" s="49"/>
      <c r="F489" s="49"/>
      <c r="G489" s="49"/>
      <c r="H489" s="49"/>
      <c r="I489" s="49" t="str">
        <f>IFERROR(__xludf.DUMMYFUNCTION("""COMPUTED_VALUE"""),"#VALUE!")</f>
        <v>#VALUE!</v>
      </c>
      <c r="J489" s="49"/>
      <c r="K489" s="49"/>
      <c r="L489" s="49" t="s">
        <v>255</v>
      </c>
      <c r="M489" s="49"/>
      <c r="N489" s="49"/>
      <c r="O489" s="49"/>
      <c r="P489" s="49"/>
      <c r="Q489" s="49"/>
      <c r="R489" s="49"/>
      <c r="S489" s="49"/>
      <c r="T489" s="49"/>
    </row>
    <row r="490">
      <c r="A490" s="49"/>
      <c r="B490" s="49"/>
      <c r="C490" s="49"/>
      <c r="D490" s="49"/>
      <c r="E490" s="49"/>
      <c r="F490" s="49"/>
      <c r="G490" s="49"/>
      <c r="H490" s="49"/>
      <c r="I490" s="49" t="str">
        <f>IFERROR(__xludf.DUMMYFUNCTION("""COMPUTED_VALUE"""),"#VALUE!")</f>
        <v>#VALUE!</v>
      </c>
      <c r="J490" s="49"/>
      <c r="K490" s="49"/>
      <c r="L490" s="49" t="s">
        <v>255</v>
      </c>
      <c r="M490" s="49"/>
      <c r="N490" s="49"/>
      <c r="O490" s="49"/>
      <c r="P490" s="49"/>
      <c r="Q490" s="49"/>
      <c r="R490" s="49"/>
      <c r="S490" s="49"/>
      <c r="T490" s="49"/>
    </row>
    <row r="491">
      <c r="A491" s="49"/>
      <c r="B491" s="49"/>
      <c r="C491" s="49"/>
      <c r="D491" s="49"/>
      <c r="E491" s="49"/>
      <c r="F491" s="49"/>
      <c r="G491" s="49"/>
      <c r="H491" s="49"/>
      <c r="I491" s="49" t="str">
        <f>IFERROR(__xludf.DUMMYFUNCTION("""COMPUTED_VALUE"""),"#VALUE!")</f>
        <v>#VALUE!</v>
      </c>
      <c r="J491" s="49"/>
      <c r="K491" s="49"/>
      <c r="L491" s="49" t="s">
        <v>255</v>
      </c>
      <c r="M491" s="49"/>
      <c r="N491" s="49"/>
      <c r="O491" s="49"/>
      <c r="P491" s="49"/>
      <c r="Q491" s="49"/>
      <c r="R491" s="49"/>
      <c r="S491" s="49"/>
      <c r="T491" s="49"/>
    </row>
    <row r="492">
      <c r="A492" s="49"/>
      <c r="B492" s="49"/>
      <c r="C492" s="49"/>
      <c r="D492" s="49"/>
      <c r="E492" s="49"/>
      <c r="F492" s="49"/>
      <c r="G492" s="49"/>
      <c r="H492" s="49"/>
      <c r="I492" s="49" t="str">
        <f>IFERROR(__xludf.DUMMYFUNCTION("""COMPUTED_VALUE"""),"#VALUE!")</f>
        <v>#VALUE!</v>
      </c>
      <c r="J492" s="49"/>
      <c r="K492" s="49"/>
      <c r="L492" s="49" t="s">
        <v>255</v>
      </c>
      <c r="M492" s="49"/>
      <c r="N492" s="49"/>
      <c r="O492" s="49"/>
      <c r="P492" s="49"/>
      <c r="Q492" s="49"/>
      <c r="R492" s="49"/>
      <c r="S492" s="49"/>
      <c r="T492" s="49"/>
    </row>
    <row r="493">
      <c r="A493" s="49"/>
      <c r="B493" s="49"/>
      <c r="C493" s="49"/>
      <c r="D493" s="49"/>
      <c r="E493" s="49"/>
      <c r="F493" s="49"/>
      <c r="G493" s="49"/>
      <c r="H493" s="49"/>
      <c r="I493" s="49" t="str">
        <f>IFERROR(__xludf.DUMMYFUNCTION("""COMPUTED_VALUE"""),"#VALUE!")</f>
        <v>#VALUE!</v>
      </c>
      <c r="J493" s="49"/>
      <c r="K493" s="49"/>
      <c r="L493" s="49" t="s">
        <v>255</v>
      </c>
      <c r="M493" s="49"/>
      <c r="N493" s="49"/>
      <c r="O493" s="49"/>
      <c r="P493" s="49"/>
      <c r="Q493" s="49"/>
      <c r="R493" s="49"/>
      <c r="S493" s="49"/>
      <c r="T493" s="49"/>
    </row>
    <row r="494">
      <c r="A494" s="49"/>
      <c r="B494" s="49"/>
      <c r="C494" s="49"/>
      <c r="D494" s="49"/>
      <c r="E494" s="49"/>
      <c r="F494" s="49"/>
      <c r="G494" s="49"/>
      <c r="H494" s="49"/>
      <c r="I494" s="49" t="str">
        <f>IFERROR(__xludf.DUMMYFUNCTION("""COMPUTED_VALUE"""),"#VALUE!")</f>
        <v>#VALUE!</v>
      </c>
      <c r="J494" s="49"/>
      <c r="K494" s="49"/>
      <c r="L494" s="49" t="s">
        <v>255</v>
      </c>
      <c r="M494" s="49"/>
      <c r="N494" s="49"/>
      <c r="O494" s="49"/>
      <c r="P494" s="49"/>
      <c r="Q494" s="49"/>
      <c r="R494" s="49"/>
      <c r="S494" s="49"/>
      <c r="T494" s="49"/>
    </row>
    <row r="495">
      <c r="A495" s="49"/>
      <c r="B495" s="49"/>
      <c r="C495" s="49"/>
      <c r="D495" s="49"/>
      <c r="E495" s="49"/>
      <c r="F495" s="49"/>
      <c r="G495" s="49"/>
      <c r="H495" s="49"/>
      <c r="I495" s="49" t="str">
        <f>IFERROR(__xludf.DUMMYFUNCTION("""COMPUTED_VALUE"""),"#VALUE!")</f>
        <v>#VALUE!</v>
      </c>
      <c r="J495" s="49"/>
      <c r="K495" s="49"/>
      <c r="L495" s="49" t="s">
        <v>255</v>
      </c>
      <c r="M495" s="49"/>
      <c r="N495" s="49"/>
      <c r="O495" s="49"/>
      <c r="P495" s="49"/>
      <c r="Q495" s="49"/>
      <c r="R495" s="49"/>
      <c r="S495" s="49"/>
      <c r="T495" s="49"/>
    </row>
    <row r="496">
      <c r="A496" s="49"/>
      <c r="B496" s="49"/>
      <c r="C496" s="49"/>
      <c r="D496" s="49"/>
      <c r="E496" s="49"/>
      <c r="F496" s="49"/>
      <c r="G496" s="49"/>
      <c r="H496" s="49"/>
      <c r="I496" s="49" t="str">
        <f>IFERROR(__xludf.DUMMYFUNCTION("""COMPUTED_VALUE"""),"#VALUE!")</f>
        <v>#VALUE!</v>
      </c>
      <c r="J496" s="49"/>
      <c r="K496" s="49"/>
      <c r="L496" s="49" t="s">
        <v>255</v>
      </c>
      <c r="M496" s="49"/>
      <c r="N496" s="49"/>
      <c r="O496" s="49"/>
      <c r="P496" s="49"/>
      <c r="Q496" s="49"/>
      <c r="R496" s="49"/>
      <c r="S496" s="49"/>
      <c r="T496" s="49"/>
    </row>
    <row r="497">
      <c r="A497" s="49"/>
      <c r="B497" s="49"/>
      <c r="C497" s="49"/>
      <c r="D497" s="49"/>
      <c r="E497" s="49"/>
      <c r="F497" s="49"/>
      <c r="G497" s="49"/>
      <c r="H497" s="49"/>
      <c r="I497" s="49" t="str">
        <f>IFERROR(__xludf.DUMMYFUNCTION("""COMPUTED_VALUE"""),"#VALUE!")</f>
        <v>#VALUE!</v>
      </c>
      <c r="J497" s="49"/>
      <c r="K497" s="49"/>
      <c r="L497" s="49" t="s">
        <v>255</v>
      </c>
      <c r="M497" s="49"/>
      <c r="N497" s="49"/>
      <c r="O497" s="49"/>
      <c r="P497" s="49"/>
      <c r="Q497" s="49"/>
      <c r="R497" s="49"/>
      <c r="S497" s="49"/>
      <c r="T497" s="49"/>
    </row>
    <row r="498">
      <c r="A498" s="49"/>
      <c r="B498" s="49"/>
      <c r="C498" s="49"/>
      <c r="D498" s="49"/>
      <c r="E498" s="49"/>
      <c r="F498" s="49"/>
      <c r="G498" s="49"/>
      <c r="H498" s="49"/>
      <c r="I498" s="49" t="str">
        <f>IFERROR(__xludf.DUMMYFUNCTION("""COMPUTED_VALUE"""),"#VALUE!")</f>
        <v>#VALUE!</v>
      </c>
      <c r="J498" s="49"/>
      <c r="K498" s="49"/>
      <c r="L498" s="49" t="s">
        <v>255</v>
      </c>
      <c r="M498" s="49"/>
      <c r="N498" s="49"/>
      <c r="O498" s="49"/>
      <c r="P498" s="49"/>
      <c r="Q498" s="49"/>
      <c r="R498" s="49"/>
      <c r="S498" s="49"/>
      <c r="T498" s="49"/>
    </row>
    <row r="499">
      <c r="A499" s="49"/>
      <c r="B499" s="49"/>
      <c r="C499" s="49"/>
      <c r="D499" s="49"/>
      <c r="E499" s="49"/>
      <c r="F499" s="49"/>
      <c r="G499" s="49"/>
      <c r="H499" s="49"/>
      <c r="I499" s="49" t="str">
        <f>IFERROR(__xludf.DUMMYFUNCTION("""COMPUTED_VALUE"""),"#VALUE!")</f>
        <v>#VALUE!</v>
      </c>
      <c r="J499" s="49"/>
      <c r="K499" s="49"/>
      <c r="L499" s="49" t="s">
        <v>255</v>
      </c>
      <c r="M499" s="49"/>
      <c r="N499" s="49"/>
      <c r="O499" s="49"/>
      <c r="P499" s="49"/>
      <c r="Q499" s="49"/>
      <c r="R499" s="49"/>
      <c r="S499" s="49"/>
      <c r="T499" s="49"/>
    </row>
    <row r="500">
      <c r="A500" s="49"/>
      <c r="B500" s="49"/>
      <c r="C500" s="49"/>
      <c r="D500" s="49"/>
      <c r="E500" s="49"/>
      <c r="F500" s="49"/>
      <c r="G500" s="49"/>
      <c r="H500" s="49"/>
      <c r="I500" s="49" t="str">
        <f>IFERROR(__xludf.DUMMYFUNCTION("""COMPUTED_VALUE"""),"#VALUE!")</f>
        <v>#VALUE!</v>
      </c>
      <c r="J500" s="49"/>
      <c r="K500" s="49"/>
      <c r="L500" s="49" t="s">
        <v>255</v>
      </c>
      <c r="M500" s="49"/>
      <c r="N500" s="49"/>
      <c r="O500" s="49"/>
      <c r="P500" s="49"/>
      <c r="Q500" s="49"/>
      <c r="R500" s="49"/>
      <c r="S500" s="49"/>
      <c r="T500" s="49"/>
    </row>
    <row r="501">
      <c r="A501" s="49"/>
      <c r="B501" s="49"/>
      <c r="C501" s="49"/>
      <c r="D501" s="49"/>
      <c r="E501" s="49"/>
      <c r="F501" s="49"/>
      <c r="G501" s="49"/>
      <c r="H501" s="49"/>
      <c r="I501" s="49" t="str">
        <f>IFERROR(__xludf.DUMMYFUNCTION("""COMPUTED_VALUE"""),"#VALUE!")</f>
        <v>#VALUE!</v>
      </c>
      <c r="J501" s="49"/>
      <c r="K501" s="49"/>
      <c r="L501" s="49" t="s">
        <v>255</v>
      </c>
      <c r="M501" s="49"/>
      <c r="N501" s="49"/>
      <c r="O501" s="49"/>
      <c r="P501" s="49"/>
      <c r="Q501" s="49"/>
      <c r="R501" s="49"/>
      <c r="S501" s="49"/>
      <c r="T501" s="49"/>
    </row>
    <row r="502">
      <c r="A502" s="49"/>
      <c r="B502" s="49"/>
      <c r="C502" s="49"/>
      <c r="D502" s="49"/>
      <c r="E502" s="49"/>
      <c r="F502" s="49"/>
      <c r="G502" s="49"/>
      <c r="H502" s="49"/>
      <c r="I502" s="49" t="str">
        <f>IFERROR(__xludf.DUMMYFUNCTION("""COMPUTED_VALUE"""),"#VALUE!")</f>
        <v>#VALUE!</v>
      </c>
      <c r="J502" s="49"/>
      <c r="K502" s="49"/>
      <c r="L502" s="49" t="s">
        <v>255</v>
      </c>
      <c r="M502" s="49"/>
      <c r="N502" s="49"/>
      <c r="O502" s="49"/>
      <c r="P502" s="49"/>
      <c r="Q502" s="49"/>
      <c r="R502" s="49"/>
      <c r="S502" s="49"/>
      <c r="T502" s="49"/>
    </row>
    <row r="503">
      <c r="A503" s="49"/>
      <c r="B503" s="49"/>
      <c r="C503" s="49"/>
      <c r="D503" s="49"/>
      <c r="E503" s="49"/>
      <c r="F503" s="49"/>
      <c r="G503" s="49"/>
      <c r="H503" s="49"/>
      <c r="I503" s="49" t="str">
        <f>IFERROR(__xludf.DUMMYFUNCTION("""COMPUTED_VALUE"""),"#VALUE!")</f>
        <v>#VALUE!</v>
      </c>
      <c r="J503" s="49"/>
      <c r="K503" s="49"/>
      <c r="L503" s="49" t="s">
        <v>255</v>
      </c>
      <c r="M503" s="49"/>
      <c r="N503" s="49"/>
      <c r="O503" s="49"/>
      <c r="P503" s="49"/>
      <c r="Q503" s="49"/>
      <c r="R503" s="49"/>
      <c r="S503" s="49"/>
      <c r="T503" s="49"/>
    </row>
    <row r="504">
      <c r="A504" s="49"/>
      <c r="B504" s="49"/>
      <c r="C504" s="49"/>
      <c r="D504" s="49"/>
      <c r="E504" s="49"/>
      <c r="F504" s="49"/>
      <c r="G504" s="49"/>
      <c r="H504" s="49"/>
      <c r="I504" s="49" t="str">
        <f>IFERROR(__xludf.DUMMYFUNCTION("""COMPUTED_VALUE"""),"#VALUE!")</f>
        <v>#VALUE!</v>
      </c>
      <c r="J504" s="49"/>
      <c r="K504" s="49"/>
      <c r="L504" s="49" t="s">
        <v>255</v>
      </c>
      <c r="M504" s="49"/>
      <c r="N504" s="49"/>
      <c r="O504" s="49"/>
      <c r="P504" s="49"/>
      <c r="Q504" s="49"/>
      <c r="R504" s="49"/>
      <c r="S504" s="49"/>
      <c r="T504" s="49"/>
    </row>
    <row r="505">
      <c r="A505" s="49"/>
      <c r="B505" s="49"/>
      <c r="C505" s="49"/>
      <c r="D505" s="49"/>
      <c r="E505" s="49"/>
      <c r="F505" s="49"/>
      <c r="G505" s="49"/>
      <c r="H505" s="49"/>
      <c r="I505" s="49" t="str">
        <f>IFERROR(__xludf.DUMMYFUNCTION("""COMPUTED_VALUE"""),"#VALUE!")</f>
        <v>#VALUE!</v>
      </c>
      <c r="J505" s="49"/>
      <c r="K505" s="49"/>
      <c r="L505" s="49" t="s">
        <v>255</v>
      </c>
      <c r="M505" s="49"/>
      <c r="N505" s="49"/>
      <c r="O505" s="49"/>
      <c r="P505" s="49"/>
      <c r="Q505" s="49"/>
      <c r="R505" s="49"/>
      <c r="S505" s="49"/>
      <c r="T505" s="49"/>
    </row>
    <row r="506">
      <c r="A506" s="49"/>
      <c r="B506" s="49"/>
      <c r="C506" s="49"/>
      <c r="D506" s="49"/>
      <c r="E506" s="49"/>
      <c r="F506" s="49"/>
      <c r="G506" s="49"/>
      <c r="H506" s="49"/>
      <c r="I506" s="49" t="str">
        <f>IFERROR(__xludf.DUMMYFUNCTION("""COMPUTED_VALUE"""),"#VALUE!")</f>
        <v>#VALUE!</v>
      </c>
      <c r="J506" s="49"/>
      <c r="K506" s="49"/>
      <c r="L506" s="49" t="s">
        <v>255</v>
      </c>
      <c r="M506" s="49"/>
      <c r="N506" s="49"/>
      <c r="O506" s="49"/>
      <c r="P506" s="49"/>
      <c r="Q506" s="49"/>
      <c r="R506" s="49"/>
      <c r="S506" s="49"/>
      <c r="T506" s="49"/>
    </row>
    <row r="507">
      <c r="A507" s="49"/>
      <c r="B507" s="49"/>
      <c r="C507" s="49"/>
      <c r="D507" s="49"/>
      <c r="E507" s="49"/>
      <c r="F507" s="49"/>
      <c r="G507" s="49"/>
      <c r="H507" s="49"/>
      <c r="I507" s="49" t="str">
        <f>IFERROR(__xludf.DUMMYFUNCTION("""COMPUTED_VALUE"""),"#VALUE!")</f>
        <v>#VALUE!</v>
      </c>
      <c r="J507" s="49"/>
      <c r="K507" s="49"/>
      <c r="L507" s="49" t="s">
        <v>255</v>
      </c>
      <c r="M507" s="49"/>
      <c r="N507" s="49"/>
      <c r="O507" s="49"/>
      <c r="P507" s="49"/>
      <c r="Q507" s="49"/>
      <c r="R507" s="49"/>
      <c r="S507" s="49"/>
      <c r="T507" s="49"/>
    </row>
    <row r="508">
      <c r="A508" s="49"/>
      <c r="B508" s="49"/>
      <c r="C508" s="49"/>
      <c r="D508" s="49"/>
      <c r="E508" s="49"/>
      <c r="F508" s="49"/>
      <c r="G508" s="49"/>
      <c r="H508" s="49"/>
      <c r="I508" s="49" t="str">
        <f>IFERROR(__xludf.DUMMYFUNCTION("""COMPUTED_VALUE"""),"#VALUE!")</f>
        <v>#VALUE!</v>
      </c>
      <c r="J508" s="49"/>
      <c r="K508" s="49"/>
      <c r="L508" s="49" t="s">
        <v>255</v>
      </c>
      <c r="M508" s="49"/>
      <c r="N508" s="49"/>
      <c r="O508" s="49"/>
      <c r="P508" s="49"/>
      <c r="Q508" s="49"/>
      <c r="R508" s="49"/>
      <c r="S508" s="49"/>
      <c r="T508" s="49"/>
    </row>
    <row r="509">
      <c r="A509" s="49"/>
      <c r="B509" s="49"/>
      <c r="C509" s="49"/>
      <c r="D509" s="49"/>
      <c r="E509" s="49"/>
      <c r="F509" s="49"/>
      <c r="G509" s="49"/>
      <c r="H509" s="49"/>
      <c r="I509" s="49" t="str">
        <f>IFERROR(__xludf.DUMMYFUNCTION("""COMPUTED_VALUE"""),"#VALUE!")</f>
        <v>#VALUE!</v>
      </c>
      <c r="J509" s="49"/>
      <c r="K509" s="49"/>
      <c r="L509" s="49" t="s">
        <v>255</v>
      </c>
      <c r="M509" s="49"/>
      <c r="N509" s="49"/>
      <c r="O509" s="49"/>
      <c r="P509" s="49"/>
      <c r="Q509" s="49"/>
      <c r="R509" s="49"/>
      <c r="S509" s="49"/>
      <c r="T509" s="49"/>
    </row>
  </sheetData>
  <conditionalFormatting sqref="O2:O12">
    <cfRule type="containsText" dxfId="4" priority="1" operator="containsText" text="YES">
      <formula>NOT(ISERROR(SEARCH(("YES"),(O2))))</formula>
    </cfRule>
  </conditionalFormatting>
  <conditionalFormatting sqref="O2:O12">
    <cfRule type="cellIs" dxfId="5" priority="2" operator="equal">
      <formula>"NO"</formula>
    </cfRule>
  </conditionalFormatting>
  <conditionalFormatting sqref="P2:P12">
    <cfRule type="cellIs" dxfId="4" priority="3" operator="equal">
      <formula>"AVAILABLE"</formula>
    </cfRule>
  </conditionalFormatting>
  <conditionalFormatting sqref="P2:P12">
    <cfRule type="cellIs" dxfId="5" priority="4" operator="equal">
      <formula>"NOT AVAILABLE"</formula>
    </cfRule>
  </conditionalFormatting>
  <conditionalFormatting sqref="Q2:Q12">
    <cfRule type="cellIs" dxfId="4" priority="5" operator="equal">
      <formula>"AVAILABLE"</formula>
    </cfRule>
  </conditionalFormatting>
  <conditionalFormatting sqref="Q2:Q12">
    <cfRule type="cellIs" dxfId="6" priority="6" operator="equal">
      <formula>"UPLOADING"</formula>
    </cfRule>
  </conditionalFormatting>
  <conditionalFormatting sqref="Q2:Q12">
    <cfRule type="cellIs" dxfId="5" priority="7" operator="equal">
      <formula>"NOT AVAILABLE"</formula>
    </cfRule>
  </conditionalFormatting>
  <dataValidations>
    <dataValidation type="list" allowBlank="1" sqref="O2:O12">
      <formula1>"YES,NO"</formula1>
    </dataValidation>
    <dataValidation type="list" allowBlank="1" sqref="P2:P12">
      <formula1>"AVAILABLE,NOT AVAILABLE"</formula1>
    </dataValidation>
    <dataValidation type="list" allowBlank="1" sqref="Q2:Q12">
      <formula1>"AVAILABLE,UPLOADING,NOT AVAILABLE"</formula1>
    </dataValidation>
  </dataValidations>
  <drawing r:id="rId1"/>
  <tableParts count="1">
    <tablePart r:id="rId3"/>
  </tableParts>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43"/>
    <col customWidth="1" min="3" max="3" width="27.14"/>
    <col hidden="1" min="4" max="5" width="14.43"/>
    <col customWidth="1" min="6" max="6" width="35.71"/>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'Auto/Tech &amp; TalkRobot' ORDER BY F"")"),"How our first million connected vehicles and machines support our customers’ business")</f>
        <v>How our first million connected vehicles and machines support our customers’ business</v>
      </c>
      <c r="B2" s="49" t="str">
        <f>IFERROR(__xludf.DUMMYFUNCTION("""COMPUTED_VALUE"""),"Auto/Tech &amp; TalkRobot")</f>
        <v>Auto/Tech &amp; TalkRobot</v>
      </c>
      <c r="C2" s="51" t="str">
        <f>IFERROR(__xludf.DUMMYFUNCTION("""COMPUTED_VALUE"""),"Anna Westerberg")</f>
        <v>Anna Westerberg</v>
      </c>
      <c r="D2" s="49" t="str">
        <f>IFERROR(__xludf.DUMMYFUNCTION("""COMPUTED_VALUE"""),"2019/11/05 10:45:00")</f>
        <v>2019/11/05 10:45:00</v>
      </c>
      <c r="E2" s="49" t="str">
        <f>IFERROR(__xludf.DUMMYFUNCTION("""COMPUTED_VALUE"""),"2019/11/05 11:00:00")</f>
        <v>2019/11/05 11:00:00</v>
      </c>
      <c r="F2" s="49" t="str">
        <f>IFERROR(__xludf.DUMMYFUNCTION("""COMPUTED_VALUE"""),"aa45042f-9e31-402a-954f-b94a0f7d0aa2")</f>
        <v>aa45042f-9e31-402a-954f-b94a0f7d0aa2</v>
      </c>
      <c r="G2" s="54">
        <f>IFERROR(__xludf.DUMMYFUNCTION("ARRAYFORMULA(SPLIT(D2:D565,"" ""))"),43774.0)</f>
        <v>43774</v>
      </c>
      <c r="H2" s="53">
        <f>IFERROR(__xludf.DUMMYFUNCTION("""COMPUTED_VALUE"""),0.4479166666666667)</f>
        <v>0.4479166667</v>
      </c>
      <c r="I2" s="54">
        <f>IFERROR(__xludf.DUMMYFUNCTION("ARRAYFORMULA(SPLIT(E2:E565,"" ""))"),43774.0)</f>
        <v>43774</v>
      </c>
      <c r="J2" s="53">
        <f>IFERROR(__xludf.DUMMYFUNCTION("""COMPUTED_VALUE"""),0.4583333333333333)</f>
        <v>0.4583333333</v>
      </c>
      <c r="K2" s="53">
        <f t="shared" ref="K2:K64" si="1">J2-H2</f>
        <v>0.01041666667</v>
      </c>
      <c r="L2" s="50" t="str">
        <f t="array" ref="L2:L565">TEXT(K2:K565,"hhmmss")</f>
        <v>001500</v>
      </c>
      <c r="M2" s="62" t="s">
        <v>625</v>
      </c>
      <c r="N2" s="62" t="str">
        <f t="shared" ref="N2:N48" si="2">CONCATENATE(M2,"_",F2,"_","000000_000000.mp4")</f>
        <v>AT_5_1_aa45042f-9e31-402a-954f-b94a0f7d0aa2_000000_000000.mp4</v>
      </c>
      <c r="O2" s="48"/>
      <c r="P2" s="48"/>
      <c r="Q2" s="63"/>
      <c r="R2" s="49"/>
      <c r="S2" s="49"/>
      <c r="T2" s="49"/>
    </row>
    <row r="3">
      <c r="A3" s="49" t="str">
        <f>IFERROR(__xludf.DUMMYFUNCTION("""COMPUTED_VALUE"""),"Looking at mobility's new viability")</f>
        <v>Looking at mobility's new viability</v>
      </c>
      <c r="B3" s="49" t="str">
        <f>IFERROR(__xludf.DUMMYFUNCTION("""COMPUTED_VALUE"""),"Auto/Tech &amp; TalkRobot")</f>
        <v>Auto/Tech &amp; TalkRobot</v>
      </c>
      <c r="C3" s="51" t="str">
        <f>IFERROR(__xludf.DUMMYFUNCTION("""COMPUTED_VALUE"""),"Yan Li and Leisha Santorelli")</f>
        <v>Yan Li and Leisha Santorelli</v>
      </c>
      <c r="D3" s="49" t="str">
        <f>IFERROR(__xludf.DUMMYFUNCTION("""COMPUTED_VALUE"""),"2019/11/05 11:00:00")</f>
        <v>2019/11/05 11:00:00</v>
      </c>
      <c r="E3" s="49" t="str">
        <f>IFERROR(__xludf.DUMMYFUNCTION("""COMPUTED_VALUE"""),"2019/11/05 11:20:00")</f>
        <v>2019/11/05 11:20:00</v>
      </c>
      <c r="F3" s="49" t="str">
        <f>IFERROR(__xludf.DUMMYFUNCTION("""COMPUTED_VALUE"""),"be71a662-b8b7-460f-8bd2-abd1415f3e5c")</f>
        <v>be71a662-b8b7-460f-8bd2-abd1415f3e5c</v>
      </c>
      <c r="G3" s="52">
        <f>IFERROR(__xludf.DUMMYFUNCTION("""COMPUTED_VALUE"""),43774.0)</f>
        <v>43774</v>
      </c>
      <c r="H3" s="53">
        <f>IFERROR(__xludf.DUMMYFUNCTION("""COMPUTED_VALUE"""),0.4583333333333333)</f>
        <v>0.4583333333</v>
      </c>
      <c r="I3" s="52">
        <f>IFERROR(__xludf.DUMMYFUNCTION("""COMPUTED_VALUE"""),43774.0)</f>
        <v>43774</v>
      </c>
      <c r="J3" s="53">
        <f>IFERROR(__xludf.DUMMYFUNCTION("""COMPUTED_VALUE"""),0.4722222222222222)</f>
        <v>0.4722222222</v>
      </c>
      <c r="K3" s="53">
        <f t="shared" si="1"/>
        <v>0.01388888889</v>
      </c>
      <c r="L3" s="49" t="s">
        <v>109</v>
      </c>
      <c r="M3" s="62" t="s">
        <v>632</v>
      </c>
      <c r="N3" s="62" t="str">
        <f t="shared" si="2"/>
        <v>AT_5_2_be71a662-b8b7-460f-8bd2-abd1415f3e5c_000000_000000.mp4</v>
      </c>
      <c r="O3" s="48"/>
      <c r="P3" s="48"/>
      <c r="Q3" s="63"/>
      <c r="R3" s="49"/>
      <c r="S3" s="49"/>
      <c r="T3" s="49"/>
    </row>
    <row r="4">
      <c r="A4" s="49" t="str">
        <f>IFERROR(__xludf.DUMMYFUNCTION("""COMPUTED_VALUE"""),"Let's play: gaming in the auto industry")</f>
        <v>Let's play: gaming in the auto industry</v>
      </c>
      <c r="B4" s="49" t="str">
        <f>IFERROR(__xludf.DUMMYFUNCTION("""COMPUTED_VALUE"""),"Auto/Tech &amp; TalkRobot")</f>
        <v>Auto/Tech &amp; TalkRobot</v>
      </c>
      <c r="C4" s="51" t="str">
        <f>IFERROR(__xludf.DUMMYFUNCTION("""COMPUTED_VALUE"""),"Tim Smith")</f>
        <v>Tim Smith</v>
      </c>
      <c r="D4" s="49" t="str">
        <f>IFERROR(__xludf.DUMMYFUNCTION("""COMPUTED_VALUE"""),"2019/11/05 11:20:00")</f>
        <v>2019/11/05 11:20:00</v>
      </c>
      <c r="E4" s="49" t="str">
        <f>IFERROR(__xludf.DUMMYFUNCTION("""COMPUTED_VALUE"""),"2019/11/05 11:40:00")</f>
        <v>2019/11/05 11:40:00</v>
      </c>
      <c r="F4" s="49" t="str">
        <f>IFERROR(__xludf.DUMMYFUNCTION("""COMPUTED_VALUE"""),"7e3f0b84-3f7c-4706-bad3-dc5adf4c32b7")</f>
        <v>7e3f0b84-3f7c-4706-bad3-dc5adf4c32b7</v>
      </c>
      <c r="G4" s="52">
        <f>IFERROR(__xludf.DUMMYFUNCTION("""COMPUTED_VALUE"""),43774.0)</f>
        <v>43774</v>
      </c>
      <c r="H4" s="53">
        <f>IFERROR(__xludf.DUMMYFUNCTION("""COMPUTED_VALUE"""),0.4722222222222222)</f>
        <v>0.4722222222</v>
      </c>
      <c r="I4" s="52">
        <f>IFERROR(__xludf.DUMMYFUNCTION("""COMPUTED_VALUE"""),43774.0)</f>
        <v>43774</v>
      </c>
      <c r="J4" s="53">
        <f>IFERROR(__xludf.DUMMYFUNCTION("""COMPUTED_VALUE"""),0.4861111111111111)</f>
        <v>0.4861111111</v>
      </c>
      <c r="K4" s="53">
        <f t="shared" si="1"/>
        <v>0.01388888889</v>
      </c>
      <c r="L4" s="49" t="s">
        <v>109</v>
      </c>
      <c r="M4" s="62" t="s">
        <v>633</v>
      </c>
      <c r="N4" s="62" t="str">
        <f t="shared" si="2"/>
        <v>AT_5_3_7e3f0b84-3f7c-4706-bad3-dc5adf4c32b7_000000_000000.mp4</v>
      </c>
      <c r="O4" s="48"/>
      <c r="P4" s="48"/>
      <c r="Q4" s="63"/>
      <c r="R4" s="49"/>
      <c r="S4" s="49"/>
      <c r="T4" s="49"/>
    </row>
    <row r="5">
      <c r="A5" s="49" t="str">
        <f>IFERROR(__xludf.DUMMYFUNCTION("""COMPUTED_VALUE"""),"How we're going to travel in 2025?")</f>
        <v>How we're going to travel in 2025?</v>
      </c>
      <c r="B5" s="49" t="str">
        <f>IFERROR(__xludf.DUMMYFUNCTION("""COMPUTED_VALUE"""),"Auto/Tech &amp; TalkRobot")</f>
        <v>Auto/Tech &amp; TalkRobot</v>
      </c>
      <c r="C5" s="51" t="str">
        <f>IFERROR(__xludf.DUMMYFUNCTION("""COMPUTED_VALUE"""),"Jan Rezab, Meagen Eisenberg, Philipp Mintchin and Emil Protalinski")</f>
        <v>Jan Rezab, Meagen Eisenberg, Philipp Mintchin and Emil Protalinski</v>
      </c>
      <c r="D5" s="49" t="str">
        <f>IFERROR(__xludf.DUMMYFUNCTION("""COMPUTED_VALUE"""),"2019/11/05 11:40:00")</f>
        <v>2019/11/05 11:40:00</v>
      </c>
      <c r="E5" s="49" t="str">
        <f>IFERROR(__xludf.DUMMYFUNCTION("""COMPUTED_VALUE"""),"2019/11/05 12:00:00")</f>
        <v>2019/11/05 12:00:00</v>
      </c>
      <c r="F5" s="49" t="str">
        <f>IFERROR(__xludf.DUMMYFUNCTION("""COMPUTED_VALUE"""),"33bad70e-de0a-49a2-8e31-0d94525bb5b5")</f>
        <v>33bad70e-de0a-49a2-8e31-0d94525bb5b5</v>
      </c>
      <c r="G5" s="52">
        <f>IFERROR(__xludf.DUMMYFUNCTION("""COMPUTED_VALUE"""),43774.0)</f>
        <v>43774</v>
      </c>
      <c r="H5" s="53">
        <f>IFERROR(__xludf.DUMMYFUNCTION("""COMPUTED_VALUE"""),0.4861111111111111)</f>
        <v>0.4861111111</v>
      </c>
      <c r="I5" s="52">
        <f>IFERROR(__xludf.DUMMYFUNCTION("""COMPUTED_VALUE"""),43774.0)</f>
        <v>43774</v>
      </c>
      <c r="J5" s="53">
        <f>IFERROR(__xludf.DUMMYFUNCTION("""COMPUTED_VALUE"""),0.5)</f>
        <v>0.5</v>
      </c>
      <c r="K5" s="53">
        <f t="shared" si="1"/>
        <v>0.01388888889</v>
      </c>
      <c r="L5" s="49" t="s">
        <v>109</v>
      </c>
      <c r="M5" s="62" t="s">
        <v>634</v>
      </c>
      <c r="N5" s="62" t="str">
        <f t="shared" si="2"/>
        <v>AT_5_4_33bad70e-de0a-49a2-8e31-0d94525bb5b5_000000_000000.mp4</v>
      </c>
      <c r="O5" s="48"/>
      <c r="P5" s="48"/>
      <c r="Q5" s="63"/>
      <c r="R5" s="49"/>
      <c r="S5" s="49"/>
      <c r="T5" s="49"/>
    </row>
    <row r="6">
      <c r="A6" s="49" t="str">
        <f>IFERROR(__xludf.DUMMYFUNCTION("""COMPUTED_VALUE"""),"AI and decision intelligence")</f>
        <v>AI and decision intelligence</v>
      </c>
      <c r="B6" s="49" t="str">
        <f>IFERROR(__xludf.DUMMYFUNCTION("""COMPUTED_VALUE"""),"Auto/Tech &amp; TalkRobot")</f>
        <v>Auto/Tech &amp; TalkRobot</v>
      </c>
      <c r="C6" s="51" t="str">
        <f>IFERROR(__xludf.DUMMYFUNCTION("""COMPUTED_VALUE"""),"Cassie Kozyrkov")</f>
        <v>Cassie Kozyrkov</v>
      </c>
      <c r="D6" s="49" t="str">
        <f>IFERROR(__xludf.DUMMYFUNCTION("""COMPUTED_VALUE"""),"2019/11/05 12:00:00")</f>
        <v>2019/11/05 12:00:00</v>
      </c>
      <c r="E6" s="49" t="str">
        <f>IFERROR(__xludf.DUMMYFUNCTION("""COMPUTED_VALUE"""),"2019/11/05 12:20:00")</f>
        <v>2019/11/05 12:20:00</v>
      </c>
      <c r="F6" s="49" t="str">
        <f>IFERROR(__xludf.DUMMYFUNCTION("""COMPUTED_VALUE"""),"2c378424-194e-4a32-b56e-a1e8f521fe0f")</f>
        <v>2c378424-194e-4a32-b56e-a1e8f521fe0f</v>
      </c>
      <c r="G6" s="52">
        <f>IFERROR(__xludf.DUMMYFUNCTION("""COMPUTED_VALUE"""),43774.0)</f>
        <v>43774</v>
      </c>
      <c r="H6" s="53">
        <f>IFERROR(__xludf.DUMMYFUNCTION("""COMPUTED_VALUE"""),0.5)</f>
        <v>0.5</v>
      </c>
      <c r="I6" s="52">
        <f>IFERROR(__xludf.DUMMYFUNCTION("""COMPUTED_VALUE"""),43774.0)</f>
        <v>43774</v>
      </c>
      <c r="J6" s="53">
        <f>IFERROR(__xludf.DUMMYFUNCTION("""COMPUTED_VALUE"""),0.5138888888888888)</f>
        <v>0.5138888889</v>
      </c>
      <c r="K6" s="53">
        <f t="shared" si="1"/>
        <v>0.01388888889</v>
      </c>
      <c r="L6" s="49" t="s">
        <v>109</v>
      </c>
      <c r="M6" s="62" t="s">
        <v>635</v>
      </c>
      <c r="N6" s="62" t="str">
        <f t="shared" si="2"/>
        <v>AT_5_5_2c378424-194e-4a32-b56e-a1e8f521fe0f_000000_000000.mp4</v>
      </c>
      <c r="O6" s="48"/>
      <c r="P6" s="48"/>
      <c r="Q6" s="63"/>
      <c r="R6" s="49"/>
      <c r="S6" s="49"/>
      <c r="T6" s="49"/>
    </row>
    <row r="7">
      <c r="A7" s="49" t="str">
        <f>IFERROR(__xludf.DUMMYFUNCTION("""COMPUTED_VALUE"""),"Re-imagining the global transport ecosystem")</f>
        <v>Re-imagining the global transport ecosystem</v>
      </c>
      <c r="B7" s="49" t="str">
        <f>IFERROR(__xludf.DUMMYFUNCTION("""COMPUTED_VALUE"""),"Auto/Tech &amp; TalkRobot")</f>
        <v>Auto/Tech &amp; TalkRobot</v>
      </c>
      <c r="C7" s="51" t="str">
        <f>IFERROR(__xludf.DUMMYFUNCTION("""COMPUTED_VALUE"""),"Markus Villig, Carlos Moyses and Tim Stevens")</f>
        <v>Markus Villig, Carlos Moyses and Tim Stevens</v>
      </c>
      <c r="D7" s="49" t="str">
        <f>IFERROR(__xludf.DUMMYFUNCTION("""COMPUTED_VALUE"""),"2019/11/05 12:20:00")</f>
        <v>2019/11/05 12:20:00</v>
      </c>
      <c r="E7" s="49" t="str">
        <f>IFERROR(__xludf.DUMMYFUNCTION("""COMPUTED_VALUE"""),"2019/11/05 12:40:00")</f>
        <v>2019/11/05 12:40:00</v>
      </c>
      <c r="F7" s="49" t="str">
        <f>IFERROR(__xludf.DUMMYFUNCTION("""COMPUTED_VALUE"""),"90cdbb60-825d-4005-87ff-0852810ba234")</f>
        <v>90cdbb60-825d-4005-87ff-0852810ba234</v>
      </c>
      <c r="G7" s="52">
        <f>IFERROR(__xludf.DUMMYFUNCTION("""COMPUTED_VALUE"""),43774.0)</f>
        <v>43774</v>
      </c>
      <c r="H7" s="53">
        <f>IFERROR(__xludf.DUMMYFUNCTION("""COMPUTED_VALUE"""),0.5138888888888888)</f>
        <v>0.5138888889</v>
      </c>
      <c r="I7" s="52">
        <f>IFERROR(__xludf.DUMMYFUNCTION("""COMPUTED_VALUE"""),43774.0)</f>
        <v>43774</v>
      </c>
      <c r="J7" s="53">
        <f>IFERROR(__xludf.DUMMYFUNCTION("""COMPUTED_VALUE"""),0.5277777777777778)</f>
        <v>0.5277777778</v>
      </c>
      <c r="K7" s="53">
        <f t="shared" si="1"/>
        <v>0.01388888889</v>
      </c>
      <c r="L7" s="49" t="s">
        <v>109</v>
      </c>
      <c r="M7" s="62" t="s">
        <v>636</v>
      </c>
      <c r="N7" s="62" t="str">
        <f t="shared" si="2"/>
        <v>AT_5_6_90cdbb60-825d-4005-87ff-0852810ba234_000000_000000.mp4</v>
      </c>
      <c r="O7" s="48"/>
      <c r="P7" s="48"/>
      <c r="Q7" s="63"/>
      <c r="R7" s="49"/>
      <c r="S7" s="49"/>
      <c r="T7" s="49"/>
    </row>
    <row r="8">
      <c r="A8" s="49" t="str">
        <f>IFERROR(__xludf.DUMMYFUNCTION("""COMPUTED_VALUE"""),"Is AI really that intelligent?")</f>
        <v>Is AI really that intelligent?</v>
      </c>
      <c r="B8" s="49" t="str">
        <f>IFERROR(__xludf.DUMMYFUNCTION("""COMPUTED_VALUE"""),"Auto/Tech &amp; TalkRobot")</f>
        <v>Auto/Tech &amp; TalkRobot</v>
      </c>
      <c r="C8" s="51" t="str">
        <f>IFERROR(__xludf.DUMMYFUNCTION("""COMPUTED_VALUE"""),"Frida Polli and Javier Zamora")</f>
        <v>Frida Polli and Javier Zamora</v>
      </c>
      <c r="D8" s="49" t="str">
        <f>IFERROR(__xludf.DUMMYFUNCTION("""COMPUTED_VALUE"""),"2019/11/05 12:40:00")</f>
        <v>2019/11/05 12:40:00</v>
      </c>
      <c r="E8" s="49" t="str">
        <f>IFERROR(__xludf.DUMMYFUNCTION("""COMPUTED_VALUE"""),"2019/11/05 13:00:00")</f>
        <v>2019/11/05 13:00:00</v>
      </c>
      <c r="F8" s="49" t="str">
        <f>IFERROR(__xludf.DUMMYFUNCTION("""COMPUTED_VALUE"""),"6b69d4cb-163a-4f72-a06a-733873508a7e")</f>
        <v>6b69d4cb-163a-4f72-a06a-733873508a7e</v>
      </c>
      <c r="G8" s="52">
        <f>IFERROR(__xludf.DUMMYFUNCTION("""COMPUTED_VALUE"""),43774.0)</f>
        <v>43774</v>
      </c>
      <c r="H8" s="53">
        <f>IFERROR(__xludf.DUMMYFUNCTION("""COMPUTED_VALUE"""),0.5277777777777778)</f>
        <v>0.5277777778</v>
      </c>
      <c r="I8" s="52">
        <f>IFERROR(__xludf.DUMMYFUNCTION("""COMPUTED_VALUE"""),43774.0)</f>
        <v>43774</v>
      </c>
      <c r="J8" s="53">
        <f>IFERROR(__xludf.DUMMYFUNCTION("""COMPUTED_VALUE"""),0.5416666666666666)</f>
        <v>0.5416666667</v>
      </c>
      <c r="K8" s="53">
        <f t="shared" si="1"/>
        <v>0.01388888889</v>
      </c>
      <c r="L8" s="49" t="s">
        <v>109</v>
      </c>
      <c r="M8" s="62" t="s">
        <v>637</v>
      </c>
      <c r="N8" s="62" t="str">
        <f t="shared" si="2"/>
        <v>AT_5_7_6b69d4cb-163a-4f72-a06a-733873508a7e_000000_000000.mp4</v>
      </c>
      <c r="O8" s="48"/>
      <c r="P8" s="48"/>
      <c r="Q8" s="63"/>
      <c r="R8" s="49"/>
      <c r="S8" s="49"/>
      <c r="T8" s="49"/>
    </row>
    <row r="9">
      <c r="A9" s="49" t="str">
        <f>IFERROR(__xludf.DUMMYFUNCTION("""COMPUTED_VALUE"""),"Porsche's vision for mobility")</f>
        <v>Porsche's vision for mobility</v>
      </c>
      <c r="B9" s="49" t="str">
        <f>IFERROR(__xludf.DUMMYFUNCTION("""COMPUTED_VALUE"""),"Auto/Tech &amp; TalkRobot")</f>
        <v>Auto/Tech &amp; TalkRobot</v>
      </c>
      <c r="C9" s="51" t="str">
        <f>IFERROR(__xludf.DUMMYFUNCTION("""COMPUTED_VALUE"""),"Nils Wollny, Christian Knörle, Laurens Laudowicz and Alison Griswold")</f>
        <v>Nils Wollny, Christian Knörle, Laurens Laudowicz and Alison Griswold</v>
      </c>
      <c r="D9" s="49" t="str">
        <f>IFERROR(__xludf.DUMMYFUNCTION("""COMPUTED_VALUE"""),"2019/11/05 13:00:00")</f>
        <v>2019/11/05 13:00:00</v>
      </c>
      <c r="E9" s="49" t="str">
        <f>IFERROR(__xludf.DUMMYFUNCTION("""COMPUTED_VALUE"""),"2019/11/05 13:20:00")</f>
        <v>2019/11/05 13:20:00</v>
      </c>
      <c r="F9" s="49" t="str">
        <f>IFERROR(__xludf.DUMMYFUNCTION("""COMPUTED_VALUE"""),"0d4c2baf-2227-4339-9e95-89fb976d3579")</f>
        <v>0d4c2baf-2227-4339-9e95-89fb976d3579</v>
      </c>
      <c r="G9" s="52">
        <f>IFERROR(__xludf.DUMMYFUNCTION("""COMPUTED_VALUE"""),43774.0)</f>
        <v>43774</v>
      </c>
      <c r="H9" s="53">
        <f>IFERROR(__xludf.DUMMYFUNCTION("""COMPUTED_VALUE"""),0.5416666666666666)</f>
        <v>0.5416666667</v>
      </c>
      <c r="I9" s="52">
        <f>IFERROR(__xludf.DUMMYFUNCTION("""COMPUTED_VALUE"""),43774.0)</f>
        <v>43774</v>
      </c>
      <c r="J9" s="53">
        <f>IFERROR(__xludf.DUMMYFUNCTION("""COMPUTED_VALUE"""),0.5555555555555556)</f>
        <v>0.5555555556</v>
      </c>
      <c r="K9" s="53">
        <f t="shared" si="1"/>
        <v>0.01388888889</v>
      </c>
      <c r="L9" s="49" t="s">
        <v>109</v>
      </c>
      <c r="M9" s="62" t="s">
        <v>638</v>
      </c>
      <c r="N9" s="62" t="str">
        <f t="shared" si="2"/>
        <v>AT_5_8_0d4c2baf-2227-4339-9e95-89fb976d3579_000000_000000.mp4</v>
      </c>
      <c r="O9" s="48"/>
      <c r="P9" s="48"/>
      <c r="Q9" s="63"/>
      <c r="R9" s="49"/>
      <c r="S9" s="49"/>
      <c r="T9" s="49"/>
    </row>
    <row r="10">
      <c r="A10" s="49" t="str">
        <f>IFERROR(__xludf.DUMMYFUNCTION("""COMPUTED_VALUE"""),"Lunch break")</f>
        <v>Lunch break</v>
      </c>
      <c r="B10" s="49" t="str">
        <f>IFERROR(__xludf.DUMMYFUNCTION("""COMPUTED_VALUE"""),"Auto/Tech &amp; TalkRobot")</f>
        <v>Auto/Tech &amp; TalkRobot</v>
      </c>
      <c r="C10" s="51" t="str">
        <f>IFERROR(__xludf.DUMMYFUNCTION("""COMPUTED_VALUE"""),"")</f>
        <v/>
      </c>
      <c r="D10" s="49" t="str">
        <f>IFERROR(__xludf.DUMMYFUNCTION("""COMPUTED_VALUE"""),"2019/11/05 13:20:00")</f>
        <v>2019/11/05 13:20:00</v>
      </c>
      <c r="E10" s="49" t="str">
        <f>IFERROR(__xludf.DUMMYFUNCTION("""COMPUTED_VALUE"""),"2019/11/05 14:05:00")</f>
        <v>2019/11/05 14:05:00</v>
      </c>
      <c r="F10" s="49" t="str">
        <f>IFERROR(__xludf.DUMMYFUNCTION("""COMPUTED_VALUE"""),"3d27d484-34eb-41a7-b86c-b4aeec184dcf")</f>
        <v>3d27d484-34eb-41a7-b86c-b4aeec184dcf</v>
      </c>
      <c r="G10" s="52">
        <f>IFERROR(__xludf.DUMMYFUNCTION("""COMPUTED_VALUE"""),43774.0)</f>
        <v>43774</v>
      </c>
      <c r="H10" s="53">
        <f>IFERROR(__xludf.DUMMYFUNCTION("""COMPUTED_VALUE"""),0.5555555555555556)</f>
        <v>0.5555555556</v>
      </c>
      <c r="I10" s="52">
        <f>IFERROR(__xludf.DUMMYFUNCTION("""COMPUTED_VALUE"""),43774.0)</f>
        <v>43774</v>
      </c>
      <c r="J10" s="53">
        <f>IFERROR(__xludf.DUMMYFUNCTION("""COMPUTED_VALUE"""),0.5868055555555556)</f>
        <v>0.5868055556</v>
      </c>
      <c r="K10" s="53">
        <f t="shared" si="1"/>
        <v>0.03125</v>
      </c>
      <c r="L10" s="49" t="s">
        <v>127</v>
      </c>
      <c r="M10" s="49"/>
      <c r="N10" s="62" t="str">
        <f t="shared" si="2"/>
        <v>_3d27d484-34eb-41a7-b86c-b4aeec184dcf_000000_000000.mp4</v>
      </c>
      <c r="O10" s="48"/>
      <c r="P10" s="48"/>
      <c r="Q10" s="63"/>
      <c r="R10" s="49"/>
      <c r="S10" s="49"/>
      <c r="T10" s="49"/>
    </row>
    <row r="11">
      <c r="A11" s="49" t="str">
        <f>IFERROR(__xludf.DUMMYFUNCTION("""COMPUTED_VALUE"""),"Cells to space to salads: what's a robot good for?")</f>
        <v>Cells to space to salads: what's a robot good for?</v>
      </c>
      <c r="B11" s="49" t="str">
        <f>IFERROR(__xludf.DUMMYFUNCTION("""COMPUTED_VALUE"""),"Auto/Tech &amp; TalkRobot")</f>
        <v>Auto/Tech &amp; TalkRobot</v>
      </c>
      <c r="C11" s="51" t="str">
        <f>IFERROR(__xludf.DUMMYFUNCTION("""COMPUTED_VALUE"""),"Kaigham Gabriel")</f>
        <v>Kaigham Gabriel</v>
      </c>
      <c r="D11" s="49" t="str">
        <f>IFERROR(__xludf.DUMMYFUNCTION("""COMPUTED_VALUE"""),"2019/11/05 14:05:00")</f>
        <v>2019/11/05 14:05:00</v>
      </c>
      <c r="E11" s="49" t="str">
        <f>IFERROR(__xludf.DUMMYFUNCTION("""COMPUTED_VALUE"""),"2019/11/05 14:25:00")</f>
        <v>2019/11/05 14:25:00</v>
      </c>
      <c r="F11" s="49" t="str">
        <f>IFERROR(__xludf.DUMMYFUNCTION("""COMPUTED_VALUE"""),"8ded08dc-0720-4e17-a17d-2b5d3b1c3c27")</f>
        <v>8ded08dc-0720-4e17-a17d-2b5d3b1c3c27</v>
      </c>
      <c r="G11" s="52">
        <f>IFERROR(__xludf.DUMMYFUNCTION("""COMPUTED_VALUE"""),43774.0)</f>
        <v>43774</v>
      </c>
      <c r="H11" s="53">
        <f>IFERROR(__xludf.DUMMYFUNCTION("""COMPUTED_VALUE"""),0.5868055555555556)</f>
        <v>0.5868055556</v>
      </c>
      <c r="I11" s="52">
        <f>IFERROR(__xludf.DUMMYFUNCTION("""COMPUTED_VALUE"""),43774.0)</f>
        <v>43774</v>
      </c>
      <c r="J11" s="53">
        <f>IFERROR(__xludf.DUMMYFUNCTION("""COMPUTED_VALUE"""),0.6006944444444444)</f>
        <v>0.6006944444</v>
      </c>
      <c r="K11" s="53">
        <f t="shared" si="1"/>
        <v>0.01388888889</v>
      </c>
      <c r="L11" s="49" t="s">
        <v>109</v>
      </c>
      <c r="M11" s="62" t="s">
        <v>639</v>
      </c>
      <c r="N11" s="62" t="str">
        <f t="shared" si="2"/>
        <v>AT_5_9_8ded08dc-0720-4e17-a17d-2b5d3b1c3c27_000000_000000.mp4</v>
      </c>
      <c r="O11" s="48"/>
      <c r="P11" s="48"/>
      <c r="Q11" s="63"/>
      <c r="R11" s="49"/>
      <c r="S11" s="49"/>
      <c r="T11" s="49"/>
    </row>
    <row r="12">
      <c r="A12" s="49" t="str">
        <f>IFERROR(__xludf.DUMMYFUNCTION("""COMPUTED_VALUE"""),"How shared &amp; electric mobility transforms the city: a world tour")</f>
        <v>How shared &amp; electric mobility transforms the city: a world tour</v>
      </c>
      <c r="B12" s="49" t="str">
        <f>IFERROR(__xludf.DUMMYFUNCTION("""COMPUTED_VALUE"""),"Auto/Tech &amp; TalkRobot")</f>
        <v>Auto/Tech &amp; TalkRobot</v>
      </c>
      <c r="C12" s="51" t="str">
        <f>IFERROR(__xludf.DUMMYFUNCTION("""COMPUTED_VALUE"""),"Gregory Ducongé")</f>
        <v>Gregory Ducongé</v>
      </c>
      <c r="D12" s="49" t="str">
        <f>IFERROR(__xludf.DUMMYFUNCTION("""COMPUTED_VALUE"""),"2019/11/05 14:25:00")</f>
        <v>2019/11/05 14:25:00</v>
      </c>
      <c r="E12" s="49" t="str">
        <f>IFERROR(__xludf.DUMMYFUNCTION("""COMPUTED_VALUE"""),"2019/11/05 14:45:00")</f>
        <v>2019/11/05 14:45:00</v>
      </c>
      <c r="F12" s="49" t="str">
        <f>IFERROR(__xludf.DUMMYFUNCTION("""COMPUTED_VALUE"""),"99306970-1d82-4d33-876d-df4916c6025e")</f>
        <v>99306970-1d82-4d33-876d-df4916c6025e</v>
      </c>
      <c r="G12" s="52">
        <f>IFERROR(__xludf.DUMMYFUNCTION("""COMPUTED_VALUE"""),43774.0)</f>
        <v>43774</v>
      </c>
      <c r="H12" s="53">
        <f>IFERROR(__xludf.DUMMYFUNCTION("""COMPUTED_VALUE"""),0.6006944444444444)</f>
        <v>0.6006944444</v>
      </c>
      <c r="I12" s="52">
        <f>IFERROR(__xludf.DUMMYFUNCTION("""COMPUTED_VALUE"""),43774.0)</f>
        <v>43774</v>
      </c>
      <c r="J12" s="53">
        <f>IFERROR(__xludf.DUMMYFUNCTION("""COMPUTED_VALUE"""),0.6145833333333334)</f>
        <v>0.6145833333</v>
      </c>
      <c r="K12" s="53">
        <f t="shared" si="1"/>
        <v>0.01388888889</v>
      </c>
      <c r="L12" s="49" t="s">
        <v>109</v>
      </c>
      <c r="M12" s="62" t="s">
        <v>640</v>
      </c>
      <c r="N12" s="62" t="str">
        <f t="shared" si="2"/>
        <v>AT_5_10_99306970-1d82-4d33-876d-df4916c6025e_000000_000000.mp4</v>
      </c>
      <c r="O12" s="48"/>
      <c r="P12" s="48"/>
      <c r="Q12" s="63"/>
      <c r="R12" s="49"/>
      <c r="S12" s="49"/>
      <c r="T12" s="49"/>
    </row>
    <row r="13">
      <c r="A13" s="49" t="str">
        <f>IFERROR(__xludf.DUMMYFUNCTION("""COMPUTED_VALUE"""),"It takes a village to build a city")</f>
        <v>It takes a village to build a city</v>
      </c>
      <c r="B13" s="49" t="str">
        <f>IFERROR(__xludf.DUMMYFUNCTION("""COMPUTED_VALUE"""),"Auto/Tech &amp; TalkRobot")</f>
        <v>Auto/Tech &amp; TalkRobot</v>
      </c>
      <c r="C13" s="51" t="str">
        <f>IFERROR(__xludf.DUMMYFUNCTION("""COMPUTED_VALUE"""),"Micah Kotch, Pasquale Romano, Ro Gupta, Carrie Shuler and Jim Motavalli")</f>
        <v>Micah Kotch, Pasquale Romano, Ro Gupta, Carrie Shuler and Jim Motavalli</v>
      </c>
      <c r="D13" s="49" t="str">
        <f>IFERROR(__xludf.DUMMYFUNCTION("""COMPUTED_VALUE"""),"2019/11/05 14:45:00")</f>
        <v>2019/11/05 14:45:00</v>
      </c>
      <c r="E13" s="49" t="str">
        <f>IFERROR(__xludf.DUMMYFUNCTION("""COMPUTED_VALUE"""),"2019/11/05 15:05:00")</f>
        <v>2019/11/05 15:05:00</v>
      </c>
      <c r="F13" s="49" t="str">
        <f>IFERROR(__xludf.DUMMYFUNCTION("""COMPUTED_VALUE"""),"6b611ede-e5a2-4d94-bac4-6649abd4aaef")</f>
        <v>6b611ede-e5a2-4d94-bac4-6649abd4aaef</v>
      </c>
      <c r="G13" s="52">
        <f>IFERROR(__xludf.DUMMYFUNCTION("""COMPUTED_VALUE"""),43774.0)</f>
        <v>43774</v>
      </c>
      <c r="H13" s="53">
        <f>IFERROR(__xludf.DUMMYFUNCTION("""COMPUTED_VALUE"""),0.6145833333333334)</f>
        <v>0.6145833333</v>
      </c>
      <c r="I13" s="52">
        <f>IFERROR(__xludf.DUMMYFUNCTION("""COMPUTED_VALUE"""),43774.0)</f>
        <v>43774</v>
      </c>
      <c r="J13" s="53">
        <f>IFERROR(__xludf.DUMMYFUNCTION("""COMPUTED_VALUE"""),0.6284722222222222)</f>
        <v>0.6284722222</v>
      </c>
      <c r="K13" s="53">
        <f t="shared" si="1"/>
        <v>0.01388888889</v>
      </c>
      <c r="L13" s="49" t="s">
        <v>109</v>
      </c>
      <c r="M13" s="62" t="s">
        <v>641</v>
      </c>
      <c r="N13" s="62" t="str">
        <f t="shared" si="2"/>
        <v>AT_5_11_6b611ede-e5a2-4d94-bac4-6649abd4aaef_000000_000000.mp4</v>
      </c>
      <c r="O13" s="48"/>
      <c r="P13" s="48"/>
      <c r="Q13" s="63"/>
      <c r="R13" s="49"/>
      <c r="S13" s="49"/>
      <c r="T13" s="49"/>
    </row>
    <row r="14">
      <c r="A14" s="49" t="str">
        <f>IFERROR(__xludf.DUMMYFUNCTION("""COMPUTED_VALUE"""),"Building an empire from your garage")</f>
        <v>Building an empire from your garage</v>
      </c>
      <c r="B14" s="49" t="str">
        <f>IFERROR(__xludf.DUMMYFUNCTION("""COMPUTED_VALUE"""),"Auto/Tech &amp; TalkRobot")</f>
        <v>Auto/Tech &amp; TalkRobot</v>
      </c>
      <c r="C14" s="51" t="str">
        <f>IFERROR(__xludf.DUMMYFUNCTION("""COMPUTED_VALUE"""),"Halldora von Koenigsegg")</f>
        <v>Halldora von Koenigsegg</v>
      </c>
      <c r="D14" s="49" t="str">
        <f>IFERROR(__xludf.DUMMYFUNCTION("""COMPUTED_VALUE"""),"2019/11/05 15:05:00")</f>
        <v>2019/11/05 15:05:00</v>
      </c>
      <c r="E14" s="49" t="str">
        <f>IFERROR(__xludf.DUMMYFUNCTION("""COMPUTED_VALUE"""),"2019/11/05 15:25:00")</f>
        <v>2019/11/05 15:25:00</v>
      </c>
      <c r="F14" s="49" t="str">
        <f>IFERROR(__xludf.DUMMYFUNCTION("""COMPUTED_VALUE"""),"64ef74ee-7a05-48e7-b330-5edc2a0f563f")</f>
        <v>64ef74ee-7a05-48e7-b330-5edc2a0f563f</v>
      </c>
      <c r="G14" s="52">
        <f>IFERROR(__xludf.DUMMYFUNCTION("""COMPUTED_VALUE"""),43774.0)</f>
        <v>43774</v>
      </c>
      <c r="H14" s="53">
        <f>IFERROR(__xludf.DUMMYFUNCTION("""COMPUTED_VALUE"""),0.6284722222222222)</f>
        <v>0.6284722222</v>
      </c>
      <c r="I14" s="52">
        <f>IFERROR(__xludf.DUMMYFUNCTION("""COMPUTED_VALUE"""),43774.0)</f>
        <v>43774</v>
      </c>
      <c r="J14" s="53">
        <f>IFERROR(__xludf.DUMMYFUNCTION("""COMPUTED_VALUE"""),0.6423611111111112)</f>
        <v>0.6423611111</v>
      </c>
      <c r="K14" s="53">
        <f t="shared" si="1"/>
        <v>0.01388888889</v>
      </c>
      <c r="L14" s="49" t="s">
        <v>109</v>
      </c>
      <c r="M14" s="62" t="s">
        <v>642</v>
      </c>
      <c r="N14" s="62" t="str">
        <f t="shared" si="2"/>
        <v>AT_5_12_64ef74ee-7a05-48e7-b330-5edc2a0f563f_000000_000000.mp4</v>
      </c>
      <c r="O14" s="48"/>
      <c r="P14" s="48"/>
      <c r="Q14" s="63"/>
      <c r="R14" s="49"/>
      <c r="S14" s="49"/>
      <c r="T14" s="49"/>
    </row>
    <row r="15">
      <c r="A15" s="49" t="str">
        <f>IFERROR(__xludf.DUMMYFUNCTION("""COMPUTED_VALUE"""),"Our future doesn't have to be a boring dystopia")</f>
        <v>Our future doesn't have to be a boring dystopia</v>
      </c>
      <c r="B15" s="49" t="str">
        <f>IFERROR(__xludf.DUMMYFUNCTION("""COMPUTED_VALUE"""),"Auto/Tech &amp; TalkRobot")</f>
        <v>Auto/Tech &amp; TalkRobot</v>
      </c>
      <c r="C15" s="51" t="str">
        <f>IFERROR(__xludf.DUMMYFUNCTION("""COMPUTED_VALUE"""),"Falon Fatemi, Wendy Queen, Fouzia Adjailia and Emil Protalinski")</f>
        <v>Falon Fatemi, Wendy Queen, Fouzia Adjailia and Emil Protalinski</v>
      </c>
      <c r="D15" s="49" t="str">
        <f>IFERROR(__xludf.DUMMYFUNCTION("""COMPUTED_VALUE"""),"2019/11/05 15:25:00")</f>
        <v>2019/11/05 15:25:00</v>
      </c>
      <c r="E15" s="49" t="str">
        <f>IFERROR(__xludf.DUMMYFUNCTION("""COMPUTED_VALUE"""),"2019/11/05 15:45:00")</f>
        <v>2019/11/05 15:45:00</v>
      </c>
      <c r="F15" s="49" t="str">
        <f>IFERROR(__xludf.DUMMYFUNCTION("""COMPUTED_VALUE"""),"1a5a3ff0-7fd7-439c-bf0c-160aeec22399")</f>
        <v>1a5a3ff0-7fd7-439c-bf0c-160aeec22399</v>
      </c>
      <c r="G15" s="52">
        <f>IFERROR(__xludf.DUMMYFUNCTION("""COMPUTED_VALUE"""),43774.0)</f>
        <v>43774</v>
      </c>
      <c r="H15" s="53">
        <f>IFERROR(__xludf.DUMMYFUNCTION("""COMPUTED_VALUE"""),0.6423611111111112)</f>
        <v>0.6423611111</v>
      </c>
      <c r="I15" s="52">
        <f>IFERROR(__xludf.DUMMYFUNCTION("""COMPUTED_VALUE"""),43774.0)</f>
        <v>43774</v>
      </c>
      <c r="J15" s="53">
        <f>IFERROR(__xludf.DUMMYFUNCTION("""COMPUTED_VALUE"""),0.65625)</f>
        <v>0.65625</v>
      </c>
      <c r="K15" s="53">
        <f t="shared" si="1"/>
        <v>0.01388888889</v>
      </c>
      <c r="L15" s="49" t="s">
        <v>109</v>
      </c>
      <c r="M15" s="62" t="s">
        <v>643</v>
      </c>
      <c r="N15" s="62" t="str">
        <f t="shared" si="2"/>
        <v>AT_5_13_1a5a3ff0-7fd7-439c-bf0c-160aeec22399_000000_000000.mp4</v>
      </c>
      <c r="O15" s="48"/>
      <c r="P15" s="48"/>
      <c r="Q15" s="63"/>
      <c r="R15" s="49"/>
      <c r="S15" s="49"/>
      <c r="T15" s="49"/>
    </row>
    <row r="16">
      <c r="A16" s="49" t="str">
        <f>IFERROR(__xludf.DUMMYFUNCTION("""COMPUTED_VALUE"""),"How to be a leader in the autotech space")</f>
        <v>How to be a leader in the autotech space</v>
      </c>
      <c r="B16" s="49" t="str">
        <f>IFERROR(__xludf.DUMMYFUNCTION("""COMPUTED_VALUE"""),"Auto/Tech &amp; TalkRobot")</f>
        <v>Auto/Tech &amp; TalkRobot</v>
      </c>
      <c r="C16" s="51" t="str">
        <f>IFERROR(__xludf.DUMMYFUNCTION("""COMPUTED_VALUE"""),"Corinne Vigreux, Nicolas Brusson and Jonathan Weber")</f>
        <v>Corinne Vigreux, Nicolas Brusson and Jonathan Weber</v>
      </c>
      <c r="D16" s="49" t="str">
        <f>IFERROR(__xludf.DUMMYFUNCTION("""COMPUTED_VALUE"""),"2019/11/05 15:45:00")</f>
        <v>2019/11/05 15:45:00</v>
      </c>
      <c r="E16" s="49" t="str">
        <f>IFERROR(__xludf.DUMMYFUNCTION("""COMPUTED_VALUE"""),"2019/11/05 16:05:00")</f>
        <v>2019/11/05 16:05:00</v>
      </c>
      <c r="F16" s="49" t="str">
        <f>IFERROR(__xludf.DUMMYFUNCTION("""COMPUTED_VALUE"""),"cfe33ce2-e349-4ac0-bee4-a1132de86dd3")</f>
        <v>cfe33ce2-e349-4ac0-bee4-a1132de86dd3</v>
      </c>
      <c r="G16" s="52">
        <f>IFERROR(__xludf.DUMMYFUNCTION("""COMPUTED_VALUE"""),43774.0)</f>
        <v>43774</v>
      </c>
      <c r="H16" s="53">
        <f>IFERROR(__xludf.DUMMYFUNCTION("""COMPUTED_VALUE"""),0.65625)</f>
        <v>0.65625</v>
      </c>
      <c r="I16" s="52">
        <f>IFERROR(__xludf.DUMMYFUNCTION("""COMPUTED_VALUE"""),43774.0)</f>
        <v>43774</v>
      </c>
      <c r="J16" s="53">
        <f>IFERROR(__xludf.DUMMYFUNCTION("""COMPUTED_VALUE"""),0.6701388888888888)</f>
        <v>0.6701388889</v>
      </c>
      <c r="K16" s="53">
        <f t="shared" si="1"/>
        <v>0.01388888889</v>
      </c>
      <c r="L16" s="49" t="s">
        <v>109</v>
      </c>
      <c r="M16" s="62" t="s">
        <v>644</v>
      </c>
      <c r="N16" s="62" t="str">
        <f t="shared" si="2"/>
        <v>AT_5_14_cfe33ce2-e349-4ac0-bee4-a1132de86dd3_000000_000000.mp4</v>
      </c>
      <c r="O16" s="48"/>
      <c r="P16" s="48"/>
      <c r="Q16" s="63"/>
      <c r="R16" s="49"/>
      <c r="S16" s="49"/>
      <c r="T16" s="49"/>
    </row>
    <row r="17">
      <c r="A17" s="49" t="str">
        <f>IFERROR(__xludf.DUMMYFUNCTION("""COMPUTED_VALUE"""),"Privacy meets innovation in a global marketplace")</f>
        <v>Privacy meets innovation in a global marketplace</v>
      </c>
      <c r="B17" s="49" t="str">
        <f>IFERROR(__xludf.DUMMYFUNCTION("""COMPUTED_VALUE"""),"Auto/Tech &amp; TalkRobot")</f>
        <v>Auto/Tech &amp; TalkRobot</v>
      </c>
      <c r="C17" s="51" t="str">
        <f>IFERROR(__xludf.DUMMYFUNCTION("""COMPUTED_VALUE"""),"Ruby Zefo and Charlie Warzel")</f>
        <v>Ruby Zefo and Charlie Warzel</v>
      </c>
      <c r="D17" s="49" t="str">
        <f>IFERROR(__xludf.DUMMYFUNCTION("""COMPUTED_VALUE"""),"2019/11/05 16:05:00")</f>
        <v>2019/11/05 16:05:00</v>
      </c>
      <c r="E17" s="49" t="str">
        <f>IFERROR(__xludf.DUMMYFUNCTION("""COMPUTED_VALUE"""),"2019/11/05 16:25:00")</f>
        <v>2019/11/05 16:25:00</v>
      </c>
      <c r="F17" s="49" t="str">
        <f>IFERROR(__xludf.DUMMYFUNCTION("""COMPUTED_VALUE"""),"eb050208-6dbc-428f-893b-caf9613dce08")</f>
        <v>eb050208-6dbc-428f-893b-caf9613dce08</v>
      </c>
      <c r="G17" s="52">
        <f>IFERROR(__xludf.DUMMYFUNCTION("""COMPUTED_VALUE"""),43774.0)</f>
        <v>43774</v>
      </c>
      <c r="H17" s="53">
        <f>IFERROR(__xludf.DUMMYFUNCTION("""COMPUTED_VALUE"""),0.6701388888888888)</f>
        <v>0.6701388889</v>
      </c>
      <c r="I17" s="52">
        <f>IFERROR(__xludf.DUMMYFUNCTION("""COMPUTED_VALUE"""),43774.0)</f>
        <v>43774</v>
      </c>
      <c r="J17" s="53">
        <f>IFERROR(__xludf.DUMMYFUNCTION("""COMPUTED_VALUE"""),0.6840277777777778)</f>
        <v>0.6840277778</v>
      </c>
      <c r="K17" s="53">
        <f t="shared" si="1"/>
        <v>0.01388888889</v>
      </c>
      <c r="L17" s="49" t="s">
        <v>109</v>
      </c>
      <c r="M17" s="62" t="s">
        <v>646</v>
      </c>
      <c r="N17" s="62" t="str">
        <f t="shared" si="2"/>
        <v>AT_5_15_eb050208-6dbc-428f-893b-caf9613dce08_000000_000000.mp4</v>
      </c>
      <c r="O17" s="48"/>
      <c r="P17" s="48"/>
      <c r="Q17" s="63"/>
      <c r="R17" s="49"/>
      <c r="S17" s="49"/>
      <c r="T17" s="49"/>
    </row>
    <row r="18">
      <c r="A18" s="49" t="str">
        <f>IFERROR(__xludf.DUMMYFUNCTION("""COMPUTED_VALUE"""),"Drones and food delivery: A marriage made in heaven")</f>
        <v>Drones and food delivery: A marriage made in heaven</v>
      </c>
      <c r="B18" s="49" t="str">
        <f>IFERROR(__xludf.DUMMYFUNCTION("""COMPUTED_VALUE"""),"Auto/Tech &amp; TalkRobot")</f>
        <v>Auto/Tech &amp; TalkRobot</v>
      </c>
      <c r="C18" s="51" t="str">
        <f>IFERROR(__xludf.DUMMYFUNCTION("""COMPUTED_VALUE"""),"Bobby Healy")</f>
        <v>Bobby Healy</v>
      </c>
      <c r="D18" s="49" t="str">
        <f>IFERROR(__xludf.DUMMYFUNCTION("""COMPUTED_VALUE"""),"2019/11/06 11:00:00")</f>
        <v>2019/11/06 11:00:00</v>
      </c>
      <c r="E18" s="49" t="str">
        <f>IFERROR(__xludf.DUMMYFUNCTION("""COMPUTED_VALUE"""),"2019/11/06 11:15:00")</f>
        <v>2019/11/06 11:15:00</v>
      </c>
      <c r="F18" s="49" t="str">
        <f>IFERROR(__xludf.DUMMYFUNCTION("""COMPUTED_VALUE"""),"2995ac8d-f975-4e2b-a3aa-cc39ebebe916")</f>
        <v>2995ac8d-f975-4e2b-a3aa-cc39ebebe916</v>
      </c>
      <c r="G18" s="52">
        <f>IFERROR(__xludf.DUMMYFUNCTION("""COMPUTED_VALUE"""),43775.0)</f>
        <v>43775</v>
      </c>
      <c r="H18" s="53">
        <f>IFERROR(__xludf.DUMMYFUNCTION("""COMPUTED_VALUE"""),0.4583333333333333)</f>
        <v>0.4583333333</v>
      </c>
      <c r="I18" s="52">
        <f>IFERROR(__xludf.DUMMYFUNCTION("""COMPUTED_VALUE"""),43775.0)</f>
        <v>43775</v>
      </c>
      <c r="J18" s="53">
        <f>IFERROR(__xludf.DUMMYFUNCTION("""COMPUTED_VALUE"""),0.46875)</f>
        <v>0.46875</v>
      </c>
      <c r="K18" s="53">
        <f t="shared" si="1"/>
        <v>0.01041666667</v>
      </c>
      <c r="L18" s="49" t="s">
        <v>118</v>
      </c>
      <c r="M18" s="62" t="s">
        <v>648</v>
      </c>
      <c r="N18" s="62" t="str">
        <f t="shared" si="2"/>
        <v>AT_6_1_2995ac8d-f975-4e2b-a3aa-cc39ebebe916_000000_000000.mp4</v>
      </c>
      <c r="O18" s="48"/>
      <c r="P18" s="48"/>
      <c r="Q18" s="63"/>
      <c r="R18" s="49"/>
      <c r="S18" s="49"/>
      <c r="T18" s="49"/>
    </row>
    <row r="19">
      <c r="A19" s="49" t="str">
        <f>IFERROR(__xludf.DUMMYFUNCTION("""COMPUTED_VALUE"""),"How startups can collaborate with the big players")</f>
        <v>How startups can collaborate with the big players</v>
      </c>
      <c r="B19" s="49" t="str">
        <f>IFERROR(__xludf.DUMMYFUNCTION("""COMPUTED_VALUE"""),"Auto/Tech &amp; TalkRobot")</f>
        <v>Auto/Tech &amp; TalkRobot</v>
      </c>
      <c r="C19" s="51" t="str">
        <f>IFERROR(__xludf.DUMMYFUNCTION("""COMPUTED_VALUE"""),"Christian Knörle, Jörg Rheinboldt and Tim Stevens")</f>
        <v>Christian Knörle, Jörg Rheinboldt and Tim Stevens</v>
      </c>
      <c r="D19" s="49" t="str">
        <f>IFERROR(__xludf.DUMMYFUNCTION("""COMPUTED_VALUE"""),"2019/11/06 11:15:00")</f>
        <v>2019/11/06 11:15:00</v>
      </c>
      <c r="E19" s="49" t="str">
        <f>IFERROR(__xludf.DUMMYFUNCTION("""COMPUTED_VALUE"""),"2019/11/06 11:35:00")</f>
        <v>2019/11/06 11:35:00</v>
      </c>
      <c r="F19" s="49" t="str">
        <f>IFERROR(__xludf.DUMMYFUNCTION("""COMPUTED_VALUE"""),"75d20622-3324-4d75-a824-e9e51d547416")</f>
        <v>75d20622-3324-4d75-a824-e9e51d547416</v>
      </c>
      <c r="G19" s="52">
        <f>IFERROR(__xludf.DUMMYFUNCTION("""COMPUTED_VALUE"""),43775.0)</f>
        <v>43775</v>
      </c>
      <c r="H19" s="53">
        <f>IFERROR(__xludf.DUMMYFUNCTION("""COMPUTED_VALUE"""),0.46875)</f>
        <v>0.46875</v>
      </c>
      <c r="I19" s="52">
        <f>IFERROR(__xludf.DUMMYFUNCTION("""COMPUTED_VALUE"""),43775.0)</f>
        <v>43775</v>
      </c>
      <c r="J19" s="53">
        <f>IFERROR(__xludf.DUMMYFUNCTION("""COMPUTED_VALUE"""),0.4826388888888889)</f>
        <v>0.4826388889</v>
      </c>
      <c r="K19" s="53">
        <f t="shared" si="1"/>
        <v>0.01388888889</v>
      </c>
      <c r="L19" s="49" t="s">
        <v>109</v>
      </c>
      <c r="M19" s="62" t="s">
        <v>650</v>
      </c>
      <c r="N19" s="62" t="str">
        <f t="shared" si="2"/>
        <v>AT_6_2_75d20622-3324-4d75-a824-e9e51d547416_000000_000000.mp4</v>
      </c>
      <c r="O19" s="48"/>
      <c r="P19" s="48"/>
      <c r="Q19" s="63"/>
      <c r="R19" s="49"/>
      <c r="S19" s="49"/>
      <c r="T19" s="49"/>
    </row>
    <row r="20">
      <c r="A20" s="49" t="str">
        <f>IFERROR(__xludf.DUMMYFUNCTION("""COMPUTED_VALUE"""),"The rise of the flying car")</f>
        <v>The rise of the flying car</v>
      </c>
      <c r="B20" s="49" t="str">
        <f>IFERROR(__xludf.DUMMYFUNCTION("""COMPUTED_VALUE"""),"Auto/Tech &amp; TalkRobot")</f>
        <v>Auto/Tech &amp; TalkRobot</v>
      </c>
      <c r="C20" s="51" t="str">
        <f>IFERROR(__xludf.DUMMYFUNCTION("""COMPUTED_VALUE"""),"Alexander Zosel")</f>
        <v>Alexander Zosel</v>
      </c>
      <c r="D20" s="49" t="str">
        <f>IFERROR(__xludf.DUMMYFUNCTION("""COMPUTED_VALUE"""),"2019/11/06 11:35:00")</f>
        <v>2019/11/06 11:35:00</v>
      </c>
      <c r="E20" s="49" t="str">
        <f>IFERROR(__xludf.DUMMYFUNCTION("""COMPUTED_VALUE"""),"2019/11/06 11:55:00")</f>
        <v>2019/11/06 11:55:00</v>
      </c>
      <c r="F20" s="49" t="str">
        <f>IFERROR(__xludf.DUMMYFUNCTION("""COMPUTED_VALUE"""),"4a81895b-4cb8-4975-9492-4d63d1963cc5")</f>
        <v>4a81895b-4cb8-4975-9492-4d63d1963cc5</v>
      </c>
      <c r="G20" s="52">
        <f>IFERROR(__xludf.DUMMYFUNCTION("""COMPUTED_VALUE"""),43775.0)</f>
        <v>43775</v>
      </c>
      <c r="H20" s="53">
        <f>IFERROR(__xludf.DUMMYFUNCTION("""COMPUTED_VALUE"""),0.4826388888888889)</f>
        <v>0.4826388889</v>
      </c>
      <c r="I20" s="52">
        <f>IFERROR(__xludf.DUMMYFUNCTION("""COMPUTED_VALUE"""),43775.0)</f>
        <v>43775</v>
      </c>
      <c r="J20" s="53">
        <f>IFERROR(__xludf.DUMMYFUNCTION("""COMPUTED_VALUE"""),0.4965277777777778)</f>
        <v>0.4965277778</v>
      </c>
      <c r="K20" s="53">
        <f t="shared" si="1"/>
        <v>0.01388888889</v>
      </c>
      <c r="L20" s="49" t="s">
        <v>109</v>
      </c>
      <c r="M20" s="62" t="s">
        <v>652</v>
      </c>
      <c r="N20" s="62" t="str">
        <f t="shared" si="2"/>
        <v>AT_6_3_4a81895b-4cb8-4975-9492-4d63d1963cc5_000000_000000.mp4</v>
      </c>
      <c r="O20" s="48"/>
      <c r="P20" s="48"/>
      <c r="Q20" s="63"/>
      <c r="R20" s="49"/>
      <c r="S20" s="49"/>
      <c r="T20" s="49"/>
    </row>
    <row r="21">
      <c r="A21" s="49" t="str">
        <f>IFERROR(__xludf.DUMMYFUNCTION("""COMPUTED_VALUE"""),"No downside to the sharing economy")</f>
        <v>No downside to the sharing economy</v>
      </c>
      <c r="B21" s="49" t="str">
        <f>IFERROR(__xludf.DUMMYFUNCTION("""COMPUTED_VALUE"""),"Auto/Tech &amp; TalkRobot")</f>
        <v>Auto/Tech &amp; TalkRobot</v>
      </c>
      <c r="C21" s="51" t="str">
        <f>IFERROR(__xludf.DUMMYFUNCTION("""COMPUTED_VALUE"""),"Sam Zaid, Scott Painter and Alyssa Newcomb")</f>
        <v>Sam Zaid, Scott Painter and Alyssa Newcomb</v>
      </c>
      <c r="D21" s="49" t="str">
        <f>IFERROR(__xludf.DUMMYFUNCTION("""COMPUTED_VALUE"""),"2019/11/06 11:55:00")</f>
        <v>2019/11/06 11:55:00</v>
      </c>
      <c r="E21" s="49" t="str">
        <f>IFERROR(__xludf.DUMMYFUNCTION("""COMPUTED_VALUE"""),"2019/11/06 12:15:00")</f>
        <v>2019/11/06 12:15:00</v>
      </c>
      <c r="F21" s="49" t="str">
        <f>IFERROR(__xludf.DUMMYFUNCTION("""COMPUTED_VALUE"""),"bb57d8d9-330b-4704-bd3d-6983c7c0465f")</f>
        <v>bb57d8d9-330b-4704-bd3d-6983c7c0465f</v>
      </c>
      <c r="G21" s="52">
        <f>IFERROR(__xludf.DUMMYFUNCTION("""COMPUTED_VALUE"""),43775.0)</f>
        <v>43775</v>
      </c>
      <c r="H21" s="53">
        <f>IFERROR(__xludf.DUMMYFUNCTION("""COMPUTED_VALUE"""),0.4965277777777778)</f>
        <v>0.4965277778</v>
      </c>
      <c r="I21" s="52">
        <f>IFERROR(__xludf.DUMMYFUNCTION("""COMPUTED_VALUE"""),43775.0)</f>
        <v>43775</v>
      </c>
      <c r="J21" s="53">
        <f>IFERROR(__xludf.DUMMYFUNCTION("""COMPUTED_VALUE"""),0.5104166666666666)</f>
        <v>0.5104166667</v>
      </c>
      <c r="K21" s="53">
        <f t="shared" si="1"/>
        <v>0.01388888889</v>
      </c>
      <c r="L21" s="49" t="s">
        <v>109</v>
      </c>
      <c r="M21" s="62" t="s">
        <v>654</v>
      </c>
      <c r="N21" s="62" t="str">
        <f t="shared" si="2"/>
        <v>AT_6_4_bb57d8d9-330b-4704-bd3d-6983c7c0465f_000000_000000.mp4</v>
      </c>
      <c r="O21" s="48"/>
      <c r="P21" s="48"/>
      <c r="Q21" s="63"/>
      <c r="R21" s="49"/>
      <c r="S21" s="49"/>
      <c r="T21" s="49"/>
    </row>
    <row r="22">
      <c r="A22" s="49" t="str">
        <f>IFERROR(__xludf.DUMMYFUNCTION("""COMPUTED_VALUE"""),"Freight's new autonomous journey")</f>
        <v>Freight's new autonomous journey</v>
      </c>
      <c r="B22" s="49" t="str">
        <f>IFERROR(__xludf.DUMMYFUNCTION("""COMPUTED_VALUE"""),"Auto/Tech &amp; TalkRobot")</f>
        <v>Auto/Tech &amp; TalkRobot</v>
      </c>
      <c r="C22" s="51" t="str">
        <f>IFERROR(__xludf.DUMMYFUNCTION("""COMPUTED_VALUE"""),"Xiaodi Hou")</f>
        <v>Xiaodi Hou</v>
      </c>
      <c r="D22" s="49" t="str">
        <f>IFERROR(__xludf.DUMMYFUNCTION("""COMPUTED_VALUE"""),"2019/11/06 12:15:00")</f>
        <v>2019/11/06 12:15:00</v>
      </c>
      <c r="E22" s="49" t="str">
        <f>IFERROR(__xludf.DUMMYFUNCTION("""COMPUTED_VALUE"""),"2019/11/06 12:35:00")</f>
        <v>2019/11/06 12:35:00</v>
      </c>
      <c r="F22" s="49" t="str">
        <f>IFERROR(__xludf.DUMMYFUNCTION("""COMPUTED_VALUE"""),"7517f303-8897-4621-90d5-bff273efa63e")</f>
        <v>7517f303-8897-4621-90d5-bff273efa63e</v>
      </c>
      <c r="G22" s="52">
        <f>IFERROR(__xludf.DUMMYFUNCTION("""COMPUTED_VALUE"""),43775.0)</f>
        <v>43775</v>
      </c>
      <c r="H22" s="53">
        <f>IFERROR(__xludf.DUMMYFUNCTION("""COMPUTED_VALUE"""),0.5104166666666666)</f>
        <v>0.5104166667</v>
      </c>
      <c r="I22" s="52">
        <f>IFERROR(__xludf.DUMMYFUNCTION("""COMPUTED_VALUE"""),43775.0)</f>
        <v>43775</v>
      </c>
      <c r="J22" s="53">
        <f>IFERROR(__xludf.DUMMYFUNCTION("""COMPUTED_VALUE"""),0.5243055555555556)</f>
        <v>0.5243055556</v>
      </c>
      <c r="K22" s="53">
        <f t="shared" si="1"/>
        <v>0.01388888889</v>
      </c>
      <c r="L22" s="49" t="s">
        <v>109</v>
      </c>
      <c r="M22" s="62" t="s">
        <v>656</v>
      </c>
      <c r="N22" s="62" t="str">
        <f t="shared" si="2"/>
        <v>AT_6_5_7517f303-8897-4621-90d5-bff273efa63e_000000_000000.mp4</v>
      </c>
      <c r="O22" s="48"/>
      <c r="P22" s="48"/>
      <c r="Q22" s="63"/>
      <c r="R22" s="49"/>
      <c r="S22" s="49"/>
      <c r="T22" s="49"/>
    </row>
    <row r="23">
      <c r="A23" s="49" t="str">
        <f>IFERROR(__xludf.DUMMYFUNCTION("""COMPUTED_VALUE"""),"The moon, for your next-level business ")</f>
        <v>The moon, for your next-level business </v>
      </c>
      <c r="B23" s="49" t="str">
        <f>IFERROR(__xludf.DUMMYFUNCTION("""COMPUTED_VALUE"""),"Auto/Tech &amp; TalkRobot")</f>
        <v>Auto/Tech &amp; TalkRobot</v>
      </c>
      <c r="C23" s="51" t="str">
        <f>IFERROR(__xludf.DUMMYFUNCTION("""COMPUTED_VALUE"""),"Takeshi Hakamada")</f>
        <v>Takeshi Hakamada</v>
      </c>
      <c r="D23" s="49" t="str">
        <f>IFERROR(__xludf.DUMMYFUNCTION("""COMPUTED_VALUE"""),"2019/11/06 12:35:00")</f>
        <v>2019/11/06 12:35:00</v>
      </c>
      <c r="E23" s="49" t="str">
        <f>IFERROR(__xludf.DUMMYFUNCTION("""COMPUTED_VALUE"""),"2019/11/06 12:55:00")</f>
        <v>2019/11/06 12:55:00</v>
      </c>
      <c r="F23" s="49" t="str">
        <f>IFERROR(__xludf.DUMMYFUNCTION("""COMPUTED_VALUE"""),"2d2605c0-2036-4e02-a704-55fb46ddbf1b")</f>
        <v>2d2605c0-2036-4e02-a704-55fb46ddbf1b</v>
      </c>
      <c r="G23" s="52">
        <f>IFERROR(__xludf.DUMMYFUNCTION("""COMPUTED_VALUE"""),43775.0)</f>
        <v>43775</v>
      </c>
      <c r="H23" s="53">
        <f>IFERROR(__xludf.DUMMYFUNCTION("""COMPUTED_VALUE"""),0.5243055555555556)</f>
        <v>0.5243055556</v>
      </c>
      <c r="I23" s="52">
        <f>IFERROR(__xludf.DUMMYFUNCTION("""COMPUTED_VALUE"""),43775.0)</f>
        <v>43775</v>
      </c>
      <c r="J23" s="53">
        <f>IFERROR(__xludf.DUMMYFUNCTION("""COMPUTED_VALUE"""),0.5381944444444444)</f>
        <v>0.5381944444</v>
      </c>
      <c r="K23" s="53">
        <f t="shared" si="1"/>
        <v>0.01388888889</v>
      </c>
      <c r="L23" s="49" t="s">
        <v>109</v>
      </c>
      <c r="M23" s="62" t="s">
        <v>658</v>
      </c>
      <c r="N23" s="62" t="str">
        <f t="shared" si="2"/>
        <v>AT_6_6_2d2605c0-2036-4e02-a704-55fb46ddbf1b_000000_000000.mp4</v>
      </c>
      <c r="O23" s="48"/>
      <c r="P23" s="48"/>
      <c r="Q23" s="63"/>
      <c r="R23" s="49"/>
      <c r="S23" s="49"/>
      <c r="T23" s="49"/>
    </row>
    <row r="24">
      <c r="A24" s="49" t="str">
        <f>IFERROR(__xludf.DUMMYFUNCTION("""COMPUTED_VALUE"""),"Do androids dream of electric sheep?")</f>
        <v>Do androids dream of electric sheep?</v>
      </c>
      <c r="B24" s="49" t="str">
        <f>IFERROR(__xludf.DUMMYFUNCTION("""COMPUTED_VALUE"""),"Auto/Tech &amp; TalkRobot")</f>
        <v>Auto/Tech &amp; TalkRobot</v>
      </c>
      <c r="C24" s="51" t="str">
        <f>IFERROR(__xludf.DUMMYFUNCTION("""COMPUTED_VALUE"""),"Ben Goertzel")</f>
        <v>Ben Goertzel</v>
      </c>
      <c r="D24" s="49" t="str">
        <f>IFERROR(__xludf.DUMMYFUNCTION("""COMPUTED_VALUE"""),"2019/11/06 12:55:00")</f>
        <v>2019/11/06 12:55:00</v>
      </c>
      <c r="E24" s="49" t="str">
        <f>IFERROR(__xludf.DUMMYFUNCTION("""COMPUTED_VALUE"""),"2019/11/06 13:15:00")</f>
        <v>2019/11/06 13:15:00</v>
      </c>
      <c r="F24" s="49" t="str">
        <f>IFERROR(__xludf.DUMMYFUNCTION("""COMPUTED_VALUE"""),"e36cd054-3b0b-4eab-b359-039a2a7694c3")</f>
        <v>e36cd054-3b0b-4eab-b359-039a2a7694c3</v>
      </c>
      <c r="G24" s="52">
        <f>IFERROR(__xludf.DUMMYFUNCTION("""COMPUTED_VALUE"""),43775.0)</f>
        <v>43775</v>
      </c>
      <c r="H24" s="53">
        <f>IFERROR(__xludf.DUMMYFUNCTION("""COMPUTED_VALUE"""),0.5381944444444444)</f>
        <v>0.5381944444</v>
      </c>
      <c r="I24" s="52">
        <f>IFERROR(__xludf.DUMMYFUNCTION("""COMPUTED_VALUE"""),43775.0)</f>
        <v>43775</v>
      </c>
      <c r="J24" s="53">
        <f>IFERROR(__xludf.DUMMYFUNCTION("""COMPUTED_VALUE"""),0.5520833333333334)</f>
        <v>0.5520833333</v>
      </c>
      <c r="K24" s="53">
        <f t="shared" si="1"/>
        <v>0.01388888889</v>
      </c>
      <c r="L24" s="49" t="s">
        <v>109</v>
      </c>
      <c r="M24" s="62" t="s">
        <v>660</v>
      </c>
      <c r="N24" s="62" t="str">
        <f t="shared" si="2"/>
        <v>AT_6_7_e36cd054-3b0b-4eab-b359-039a2a7694c3_000000_000000.mp4</v>
      </c>
      <c r="O24" s="48"/>
      <c r="P24" s="48"/>
      <c r="Q24" s="63"/>
      <c r="R24" s="49"/>
      <c r="S24" s="49"/>
      <c r="T24" s="49"/>
    </row>
    <row r="25">
      <c r="A25" s="49" t="str">
        <f>IFERROR(__xludf.DUMMYFUNCTION("""COMPUTED_VALUE"""),"Lunch break")</f>
        <v>Lunch break</v>
      </c>
      <c r="B25" s="49" t="str">
        <f>IFERROR(__xludf.DUMMYFUNCTION("""COMPUTED_VALUE"""),"Auto/Tech &amp; TalkRobot")</f>
        <v>Auto/Tech &amp; TalkRobot</v>
      </c>
      <c r="C25" s="51" t="str">
        <f>IFERROR(__xludf.DUMMYFUNCTION("""COMPUTED_VALUE"""),"")</f>
        <v/>
      </c>
      <c r="D25" s="49" t="str">
        <f>IFERROR(__xludf.DUMMYFUNCTION("""COMPUTED_VALUE"""),"2019/11/06 13:15:00")</f>
        <v>2019/11/06 13:15:00</v>
      </c>
      <c r="E25" s="49" t="str">
        <f>IFERROR(__xludf.DUMMYFUNCTION("""COMPUTED_VALUE"""),"2019/11/06 14:00:00")</f>
        <v>2019/11/06 14:00:00</v>
      </c>
      <c r="F25" s="49" t="str">
        <f>IFERROR(__xludf.DUMMYFUNCTION("""COMPUTED_VALUE"""),"2ac7eaf8-3025-400b-aa2a-ae1c008fc618")</f>
        <v>2ac7eaf8-3025-400b-aa2a-ae1c008fc618</v>
      </c>
      <c r="G25" s="52">
        <f>IFERROR(__xludf.DUMMYFUNCTION("""COMPUTED_VALUE"""),43775.0)</f>
        <v>43775</v>
      </c>
      <c r="H25" s="53">
        <f>IFERROR(__xludf.DUMMYFUNCTION("""COMPUTED_VALUE"""),0.5520833333333334)</f>
        <v>0.5520833333</v>
      </c>
      <c r="I25" s="52">
        <f>IFERROR(__xludf.DUMMYFUNCTION("""COMPUTED_VALUE"""),43775.0)</f>
        <v>43775</v>
      </c>
      <c r="J25" s="53">
        <f>IFERROR(__xludf.DUMMYFUNCTION("""COMPUTED_VALUE"""),0.5833333333333334)</f>
        <v>0.5833333333</v>
      </c>
      <c r="K25" s="53">
        <f t="shared" si="1"/>
        <v>0.03125</v>
      </c>
      <c r="L25" s="49" t="s">
        <v>127</v>
      </c>
      <c r="M25" s="49"/>
      <c r="N25" s="62" t="str">
        <f t="shared" si="2"/>
        <v>_2ac7eaf8-3025-400b-aa2a-ae1c008fc618_000000_000000.mp4</v>
      </c>
      <c r="O25" s="48"/>
      <c r="P25" s="48"/>
      <c r="Q25" s="63"/>
      <c r="R25" s="49"/>
      <c r="S25" s="49"/>
      <c r="T25" s="49"/>
    </row>
    <row r="26">
      <c r="A26" s="49" t="str">
        <f>IFERROR(__xludf.DUMMYFUNCTION("""COMPUTED_VALUE"""),"In conversation with Lime's Brad Bao")</f>
        <v>In conversation with Lime's Brad Bao</v>
      </c>
      <c r="B26" s="49" t="str">
        <f>IFERROR(__xludf.DUMMYFUNCTION("""COMPUTED_VALUE"""),"Auto/Tech &amp; TalkRobot")</f>
        <v>Auto/Tech &amp; TalkRobot</v>
      </c>
      <c r="C26" s="51" t="str">
        <f>IFERROR(__xludf.DUMMYFUNCTION("""COMPUTED_VALUE"""),"Brad Bao and Alison Griswold")</f>
        <v>Brad Bao and Alison Griswold</v>
      </c>
      <c r="D26" s="49" t="str">
        <f>IFERROR(__xludf.DUMMYFUNCTION("""COMPUTED_VALUE"""),"2019/11/06 14:00:00")</f>
        <v>2019/11/06 14:00:00</v>
      </c>
      <c r="E26" s="49" t="str">
        <f>IFERROR(__xludf.DUMMYFUNCTION("""COMPUTED_VALUE"""),"2019/11/06 14:20:00")</f>
        <v>2019/11/06 14:20:00</v>
      </c>
      <c r="F26" s="49" t="str">
        <f>IFERROR(__xludf.DUMMYFUNCTION("""COMPUTED_VALUE"""),"29ef26ef-8606-410b-9f6e-29982d4f9b12")</f>
        <v>29ef26ef-8606-410b-9f6e-29982d4f9b12</v>
      </c>
      <c r="G26" s="52">
        <f>IFERROR(__xludf.DUMMYFUNCTION("""COMPUTED_VALUE"""),43775.0)</f>
        <v>43775</v>
      </c>
      <c r="H26" s="53">
        <f>IFERROR(__xludf.DUMMYFUNCTION("""COMPUTED_VALUE"""),0.5833333333333334)</f>
        <v>0.5833333333</v>
      </c>
      <c r="I26" s="52">
        <f>IFERROR(__xludf.DUMMYFUNCTION("""COMPUTED_VALUE"""),43775.0)</f>
        <v>43775</v>
      </c>
      <c r="J26" s="53">
        <f>IFERROR(__xludf.DUMMYFUNCTION("""COMPUTED_VALUE"""),0.5972222222222222)</f>
        <v>0.5972222222</v>
      </c>
      <c r="K26" s="53">
        <f t="shared" si="1"/>
        <v>0.01388888889</v>
      </c>
      <c r="L26" s="49" t="s">
        <v>109</v>
      </c>
      <c r="M26" s="62" t="s">
        <v>663</v>
      </c>
      <c r="N26" s="62" t="str">
        <f t="shared" si="2"/>
        <v>AT_6_8_29ef26ef-8606-410b-9f6e-29982d4f9b12_000000_000000.mp4</v>
      </c>
      <c r="O26" s="48"/>
      <c r="P26" s="48"/>
      <c r="Q26" s="63"/>
      <c r="R26" s="49"/>
      <c r="S26" s="49"/>
      <c r="T26" s="49"/>
    </row>
    <row r="27">
      <c r="A27" s="49" t="str">
        <f>IFERROR(__xludf.DUMMYFUNCTION("""COMPUTED_VALUE"""),"How do investors look at mobility?")</f>
        <v>How do investors look at mobility?</v>
      </c>
      <c r="B27" s="49" t="str">
        <f>IFERROR(__xludf.DUMMYFUNCTION("""COMPUTED_VALUE"""),"Auto/Tech &amp; TalkRobot")</f>
        <v>Auto/Tech &amp; TalkRobot</v>
      </c>
      <c r="C27" s="51" t="str">
        <f>IFERROR(__xludf.DUMMYFUNCTION("""COMPUTED_VALUE"""),"Philipp von Hagen, Olaf Sakkers and Kimberly Weisul")</f>
        <v>Philipp von Hagen, Olaf Sakkers and Kimberly Weisul</v>
      </c>
      <c r="D27" s="49" t="str">
        <f>IFERROR(__xludf.DUMMYFUNCTION("""COMPUTED_VALUE"""),"2019/11/06 14:20:00")</f>
        <v>2019/11/06 14:20:00</v>
      </c>
      <c r="E27" s="49" t="str">
        <f>IFERROR(__xludf.DUMMYFUNCTION("""COMPUTED_VALUE"""),"2019/11/06 14:40:00")</f>
        <v>2019/11/06 14:40:00</v>
      </c>
      <c r="F27" s="49" t="str">
        <f>IFERROR(__xludf.DUMMYFUNCTION("""COMPUTED_VALUE"""),"a38698a7-a96b-48c2-baef-5bae369c2ef3")</f>
        <v>a38698a7-a96b-48c2-baef-5bae369c2ef3</v>
      </c>
      <c r="G27" s="52">
        <f>IFERROR(__xludf.DUMMYFUNCTION("""COMPUTED_VALUE"""),43775.0)</f>
        <v>43775</v>
      </c>
      <c r="H27" s="53">
        <f>IFERROR(__xludf.DUMMYFUNCTION("""COMPUTED_VALUE"""),0.5972222222222222)</f>
        <v>0.5972222222</v>
      </c>
      <c r="I27" s="52">
        <f>IFERROR(__xludf.DUMMYFUNCTION("""COMPUTED_VALUE"""),43775.0)</f>
        <v>43775</v>
      </c>
      <c r="J27" s="53">
        <f>IFERROR(__xludf.DUMMYFUNCTION("""COMPUTED_VALUE"""),0.6111111111111112)</f>
        <v>0.6111111111</v>
      </c>
      <c r="K27" s="53">
        <f t="shared" si="1"/>
        <v>0.01388888889</v>
      </c>
      <c r="L27" s="49" t="s">
        <v>109</v>
      </c>
      <c r="M27" s="62" t="s">
        <v>666</v>
      </c>
      <c r="N27" s="62" t="str">
        <f t="shared" si="2"/>
        <v>AT_6_9_a38698a7-a96b-48c2-baef-5bae369c2ef3_000000_000000.mp4</v>
      </c>
      <c r="O27" s="48"/>
      <c r="P27" s="48"/>
      <c r="Q27" s="63"/>
      <c r="R27" s="49"/>
      <c r="S27" s="49"/>
      <c r="T27" s="49"/>
    </row>
    <row r="28">
      <c r="A28" s="49" t="str">
        <f>IFERROR(__xludf.DUMMYFUNCTION("""COMPUTED_VALUE"""),"Are our cars smart enough?")</f>
        <v>Are our cars smart enough?</v>
      </c>
      <c r="B28" s="49" t="str">
        <f>IFERROR(__xludf.DUMMYFUNCTION("""COMPUTED_VALUE"""),"Auto/Tech &amp; TalkRobot")</f>
        <v>Auto/Tech &amp; TalkRobot</v>
      </c>
      <c r="C28" s="51" t="str">
        <f>IFERROR(__xludf.DUMMYFUNCTION("""COMPUTED_VALUE"""),"Christopher Heiser, Karlheinz Wurm, Dieter May and Jim Motavalli")</f>
        <v>Christopher Heiser, Karlheinz Wurm, Dieter May and Jim Motavalli</v>
      </c>
      <c r="D28" s="49" t="str">
        <f>IFERROR(__xludf.DUMMYFUNCTION("""COMPUTED_VALUE"""),"2019/11/06 14:40:00")</f>
        <v>2019/11/06 14:40:00</v>
      </c>
      <c r="E28" s="49" t="str">
        <f>IFERROR(__xludf.DUMMYFUNCTION("""COMPUTED_VALUE"""),"2019/11/06 15:00:00")</f>
        <v>2019/11/06 15:00:00</v>
      </c>
      <c r="F28" s="49" t="str">
        <f>IFERROR(__xludf.DUMMYFUNCTION("""COMPUTED_VALUE"""),"0fdbfb24-a37b-4cbc-b2f1-5bb73dd1471e")</f>
        <v>0fdbfb24-a37b-4cbc-b2f1-5bb73dd1471e</v>
      </c>
      <c r="G28" s="52">
        <f>IFERROR(__xludf.DUMMYFUNCTION("""COMPUTED_VALUE"""),43775.0)</f>
        <v>43775</v>
      </c>
      <c r="H28" s="53">
        <f>IFERROR(__xludf.DUMMYFUNCTION("""COMPUTED_VALUE"""),0.6111111111111112)</f>
        <v>0.6111111111</v>
      </c>
      <c r="I28" s="52">
        <f>IFERROR(__xludf.DUMMYFUNCTION("""COMPUTED_VALUE"""),43775.0)</f>
        <v>43775</v>
      </c>
      <c r="J28" s="53">
        <f>IFERROR(__xludf.DUMMYFUNCTION("""COMPUTED_VALUE"""),0.625)</f>
        <v>0.625</v>
      </c>
      <c r="K28" s="53">
        <f t="shared" si="1"/>
        <v>0.01388888889</v>
      </c>
      <c r="L28" s="49" t="s">
        <v>109</v>
      </c>
      <c r="M28" s="62" t="s">
        <v>668</v>
      </c>
      <c r="N28" s="62" t="str">
        <f t="shared" si="2"/>
        <v>AT_6_10_0fdbfb24-a37b-4cbc-b2f1-5bb73dd1471e_000000_000000.mp4</v>
      </c>
      <c r="O28" s="48"/>
      <c r="P28" s="48"/>
      <c r="Q28" s="63"/>
      <c r="R28" s="49"/>
      <c r="S28" s="49"/>
      <c r="T28" s="49"/>
    </row>
    <row r="29">
      <c r="A29" s="49" t="str">
        <f>IFERROR(__xludf.DUMMYFUNCTION("""COMPUTED_VALUE"""),"The drive for 5: Where is level 5 autonomy?")</f>
        <v>The drive for 5: Where is level 5 autonomy?</v>
      </c>
      <c r="B29" s="49" t="str">
        <f>IFERROR(__xludf.DUMMYFUNCTION("""COMPUTED_VALUE"""),"Auto/Tech &amp; TalkRobot")</f>
        <v>Auto/Tech &amp; TalkRobot</v>
      </c>
      <c r="C29" s="51" t="str">
        <f>IFERROR(__xludf.DUMMYFUNCTION("""COMPUTED_VALUE"""),"Moshe Shlisel, Ransom Wuller and Tom Honeyands")</f>
        <v>Moshe Shlisel, Ransom Wuller and Tom Honeyands</v>
      </c>
      <c r="D29" s="49" t="str">
        <f>IFERROR(__xludf.DUMMYFUNCTION("""COMPUTED_VALUE"""),"2019/11/06 15:00:00")</f>
        <v>2019/11/06 15:00:00</v>
      </c>
      <c r="E29" s="49" t="str">
        <f>IFERROR(__xludf.DUMMYFUNCTION("""COMPUTED_VALUE"""),"2019/11/06 15:20:00")</f>
        <v>2019/11/06 15:20:00</v>
      </c>
      <c r="F29" s="49" t="str">
        <f>IFERROR(__xludf.DUMMYFUNCTION("""COMPUTED_VALUE"""),"1fc1cef6-0141-46b2-8350-76391099c092")</f>
        <v>1fc1cef6-0141-46b2-8350-76391099c092</v>
      </c>
      <c r="G29" s="52">
        <f>IFERROR(__xludf.DUMMYFUNCTION("""COMPUTED_VALUE"""),43775.0)</f>
        <v>43775</v>
      </c>
      <c r="H29" s="53">
        <f>IFERROR(__xludf.DUMMYFUNCTION("""COMPUTED_VALUE"""),0.625)</f>
        <v>0.625</v>
      </c>
      <c r="I29" s="52">
        <f>IFERROR(__xludf.DUMMYFUNCTION("""COMPUTED_VALUE"""),43775.0)</f>
        <v>43775</v>
      </c>
      <c r="J29" s="53">
        <f>IFERROR(__xludf.DUMMYFUNCTION("""COMPUTED_VALUE"""),0.6388888888888888)</f>
        <v>0.6388888889</v>
      </c>
      <c r="K29" s="53">
        <f t="shared" si="1"/>
        <v>0.01388888889</v>
      </c>
      <c r="L29" s="49" t="s">
        <v>109</v>
      </c>
      <c r="M29" s="62" t="s">
        <v>670</v>
      </c>
      <c r="N29" s="62" t="str">
        <f t="shared" si="2"/>
        <v>AT_6_11_1fc1cef6-0141-46b2-8350-76391099c092_000000_000000.mp4</v>
      </c>
      <c r="O29" s="48"/>
      <c r="P29" s="48"/>
      <c r="Q29" s="63"/>
      <c r="R29" s="49"/>
      <c r="S29" s="49"/>
      <c r="T29" s="49"/>
    </row>
    <row r="30">
      <c r="A30" s="49" t="str">
        <f>IFERROR(__xludf.DUMMYFUNCTION("""COMPUTED_VALUE"""),"A bold move? Insights from our journey to be a leading multiservice mobility provider in Europe")</f>
        <v>A bold move? Insights from our journey to be a leading multiservice mobility provider in Europe</v>
      </c>
      <c r="B30" s="49" t="str">
        <f>IFERROR(__xludf.DUMMYFUNCTION("""COMPUTED_VALUE"""),"Auto/Tech &amp; TalkRobot")</f>
        <v>Auto/Tech &amp; TalkRobot</v>
      </c>
      <c r="C30" s="51" t="str">
        <f>IFERROR(__xludf.DUMMYFUNCTION("""COMPUTED_VALUE"""),"Marc Berg")</f>
        <v>Marc Berg</v>
      </c>
      <c r="D30" s="49" t="str">
        <f>IFERROR(__xludf.DUMMYFUNCTION("""COMPUTED_VALUE"""),"2019/11/06 15:20:00")</f>
        <v>2019/11/06 15:20:00</v>
      </c>
      <c r="E30" s="49" t="str">
        <f>IFERROR(__xludf.DUMMYFUNCTION("""COMPUTED_VALUE"""),"2019/11/06 15:40:00")</f>
        <v>2019/11/06 15:40:00</v>
      </c>
      <c r="F30" s="49" t="str">
        <f>IFERROR(__xludf.DUMMYFUNCTION("""COMPUTED_VALUE"""),"dd043b4c-6000-47fb-a67c-6547b28e85af")</f>
        <v>dd043b4c-6000-47fb-a67c-6547b28e85af</v>
      </c>
      <c r="G30" s="52">
        <f>IFERROR(__xludf.DUMMYFUNCTION("""COMPUTED_VALUE"""),43775.0)</f>
        <v>43775</v>
      </c>
      <c r="H30" s="53">
        <f>IFERROR(__xludf.DUMMYFUNCTION("""COMPUTED_VALUE"""),0.6388888888888888)</f>
        <v>0.6388888889</v>
      </c>
      <c r="I30" s="52">
        <f>IFERROR(__xludf.DUMMYFUNCTION("""COMPUTED_VALUE"""),43775.0)</f>
        <v>43775</v>
      </c>
      <c r="J30" s="53">
        <f>IFERROR(__xludf.DUMMYFUNCTION("""COMPUTED_VALUE"""),0.6527777777777778)</f>
        <v>0.6527777778</v>
      </c>
      <c r="K30" s="53">
        <f t="shared" si="1"/>
        <v>0.01388888889</v>
      </c>
      <c r="L30" s="49" t="s">
        <v>109</v>
      </c>
      <c r="M30" s="62" t="s">
        <v>672</v>
      </c>
      <c r="N30" s="62" t="str">
        <f t="shared" si="2"/>
        <v>AT_6_12_dd043b4c-6000-47fb-a67c-6547b28e85af_000000_000000.mp4</v>
      </c>
      <c r="O30" s="48"/>
      <c r="P30" s="48"/>
      <c r="Q30" s="63"/>
      <c r="R30" s="49"/>
      <c r="S30" s="49"/>
      <c r="T30" s="49"/>
    </row>
    <row r="31">
      <c r="A31" s="49" t="str">
        <f>IFERROR(__xludf.DUMMYFUNCTION("""COMPUTED_VALUE"""),"Taking your fare to the air: The flying taxi's new reality")</f>
        <v>Taking your fare to the air: The flying taxi's new reality</v>
      </c>
      <c r="B31" s="49" t="str">
        <f>IFERROR(__xludf.DUMMYFUNCTION("""COMPUTED_VALUE"""),"Auto/Tech &amp; TalkRobot")</f>
        <v>Auto/Tech &amp; TalkRobot</v>
      </c>
      <c r="C31" s="51" t="str">
        <f>IFERROR(__xludf.DUMMYFUNCTION("""COMPUTED_VALUE"""),"Daniel Wiegand and Steve Ranger")</f>
        <v>Daniel Wiegand and Steve Ranger</v>
      </c>
      <c r="D31" s="49" t="str">
        <f>IFERROR(__xludf.DUMMYFUNCTION("""COMPUTED_VALUE"""),"2019/11/06 15:40:00")</f>
        <v>2019/11/06 15:40:00</v>
      </c>
      <c r="E31" s="49" t="str">
        <f>IFERROR(__xludf.DUMMYFUNCTION("""COMPUTED_VALUE"""),"2019/11/06 16:00:00")</f>
        <v>2019/11/06 16:00:00</v>
      </c>
      <c r="F31" s="49" t="str">
        <f>IFERROR(__xludf.DUMMYFUNCTION("""COMPUTED_VALUE"""),"57c773b4-debd-417b-90eb-ed96a3e269f9")</f>
        <v>57c773b4-debd-417b-90eb-ed96a3e269f9</v>
      </c>
      <c r="G31" s="52">
        <f>IFERROR(__xludf.DUMMYFUNCTION("""COMPUTED_VALUE"""),43775.0)</f>
        <v>43775</v>
      </c>
      <c r="H31" s="53">
        <f>IFERROR(__xludf.DUMMYFUNCTION("""COMPUTED_VALUE"""),0.6527777777777778)</f>
        <v>0.6527777778</v>
      </c>
      <c r="I31" s="52">
        <f>IFERROR(__xludf.DUMMYFUNCTION("""COMPUTED_VALUE"""),43775.0)</f>
        <v>43775</v>
      </c>
      <c r="J31" s="53">
        <f>IFERROR(__xludf.DUMMYFUNCTION("""COMPUTED_VALUE"""),0.6666666666666666)</f>
        <v>0.6666666667</v>
      </c>
      <c r="K31" s="53">
        <f t="shared" si="1"/>
        <v>0.01388888889</v>
      </c>
      <c r="L31" s="49" t="s">
        <v>109</v>
      </c>
      <c r="M31" s="62" t="s">
        <v>674</v>
      </c>
      <c r="N31" s="62" t="str">
        <f t="shared" si="2"/>
        <v>AT_6_13_57c773b4-debd-417b-90eb-ed96a3e269f9_000000_000000.mp4</v>
      </c>
      <c r="O31" s="48"/>
      <c r="P31" s="48"/>
      <c r="Q31" s="63"/>
      <c r="R31" s="49"/>
      <c r="S31" s="49"/>
      <c r="T31" s="49"/>
    </row>
    <row r="32">
      <c r="A32" s="49" t="str">
        <f>IFERROR(__xludf.DUMMYFUNCTION("""COMPUTED_VALUE"""),"Preventing crashes by predicting the future")</f>
        <v>Preventing crashes by predicting the future</v>
      </c>
      <c r="B32" s="49" t="str">
        <f>IFERROR(__xludf.DUMMYFUNCTION("""COMPUTED_VALUE"""),"Auto/Tech &amp; TalkRobot")</f>
        <v>Auto/Tech &amp; TalkRobot</v>
      </c>
      <c r="C32" s="51" t="str">
        <f>IFERROR(__xludf.DUMMYFUNCTION("""COMPUTED_VALUE"""),"Jennifer Haroon, Stefan Heck and Jim Motavalli")</f>
        <v>Jennifer Haroon, Stefan Heck and Jim Motavalli</v>
      </c>
      <c r="D32" s="49" t="str">
        <f>IFERROR(__xludf.DUMMYFUNCTION("""COMPUTED_VALUE"""),"2019/11/06 16:00:00")</f>
        <v>2019/11/06 16:00:00</v>
      </c>
      <c r="E32" s="49" t="str">
        <f>IFERROR(__xludf.DUMMYFUNCTION("""COMPUTED_VALUE"""),"2019/11/06 16:20:00")</f>
        <v>2019/11/06 16:20:00</v>
      </c>
      <c r="F32" s="49" t="str">
        <f>IFERROR(__xludf.DUMMYFUNCTION("""COMPUTED_VALUE"""),"c71dc235-d1c7-4e31-8fbb-69a91eceb87a")</f>
        <v>c71dc235-d1c7-4e31-8fbb-69a91eceb87a</v>
      </c>
      <c r="G32" s="52">
        <f>IFERROR(__xludf.DUMMYFUNCTION("""COMPUTED_VALUE"""),43775.0)</f>
        <v>43775</v>
      </c>
      <c r="H32" s="53">
        <f>IFERROR(__xludf.DUMMYFUNCTION("""COMPUTED_VALUE"""),0.6666666666666666)</f>
        <v>0.6666666667</v>
      </c>
      <c r="I32" s="52">
        <f>IFERROR(__xludf.DUMMYFUNCTION("""COMPUTED_VALUE"""),43775.0)</f>
        <v>43775</v>
      </c>
      <c r="J32" s="53">
        <f>IFERROR(__xludf.DUMMYFUNCTION("""COMPUTED_VALUE"""),0.6805555555555556)</f>
        <v>0.6805555556</v>
      </c>
      <c r="K32" s="53">
        <f t="shared" si="1"/>
        <v>0.01388888889</v>
      </c>
      <c r="L32" s="49" t="s">
        <v>109</v>
      </c>
      <c r="M32" s="62" t="s">
        <v>676</v>
      </c>
      <c r="N32" s="62" t="str">
        <f t="shared" si="2"/>
        <v>AT_6_14_c71dc235-d1c7-4e31-8fbb-69a91eceb87a_000000_000000.mp4</v>
      </c>
      <c r="O32" s="48"/>
      <c r="P32" s="48"/>
      <c r="Q32" s="63"/>
      <c r="R32" s="49"/>
      <c r="S32" s="49"/>
      <c r="T32" s="49"/>
    </row>
    <row r="33">
      <c r="A33" s="49" t="str">
        <f>IFERROR(__xludf.DUMMYFUNCTION("""COMPUTED_VALUE"""),"Good in the Machine: Engineering Ethical AI")</f>
        <v>Good in the Machine: Engineering Ethical AI</v>
      </c>
      <c r="B33" s="49" t="str">
        <f>IFERROR(__xludf.DUMMYFUNCTION("""COMPUTED_VALUE"""),"Auto/Tech &amp; TalkRobot")</f>
        <v>Auto/Tech &amp; TalkRobot</v>
      </c>
      <c r="C33" s="51" t="str">
        <f>IFERROR(__xludf.DUMMYFUNCTION("""COMPUTED_VALUE"""),"Carolyn Herzog")</f>
        <v>Carolyn Herzog</v>
      </c>
      <c r="D33" s="49" t="str">
        <f>IFERROR(__xludf.DUMMYFUNCTION("""COMPUTED_VALUE"""),"2019/11/06 16:20:00")</f>
        <v>2019/11/06 16:20:00</v>
      </c>
      <c r="E33" s="49" t="str">
        <f>IFERROR(__xludf.DUMMYFUNCTION("""COMPUTED_VALUE"""),"2019/11/06 16:40:00")</f>
        <v>2019/11/06 16:40:00</v>
      </c>
      <c r="F33" s="49" t="str">
        <f>IFERROR(__xludf.DUMMYFUNCTION("""COMPUTED_VALUE"""),"5c721e31-d86a-4ed5-95c4-6adf1c523ba2")</f>
        <v>5c721e31-d86a-4ed5-95c4-6adf1c523ba2</v>
      </c>
      <c r="G33" s="52">
        <f>IFERROR(__xludf.DUMMYFUNCTION("""COMPUTED_VALUE"""),43775.0)</f>
        <v>43775</v>
      </c>
      <c r="H33" s="53">
        <f>IFERROR(__xludf.DUMMYFUNCTION("""COMPUTED_VALUE"""),0.6805555555555556)</f>
        <v>0.6805555556</v>
      </c>
      <c r="I33" s="52">
        <f>IFERROR(__xludf.DUMMYFUNCTION("""COMPUTED_VALUE"""),43775.0)</f>
        <v>43775</v>
      </c>
      <c r="J33" s="53">
        <f>IFERROR(__xludf.DUMMYFUNCTION("""COMPUTED_VALUE"""),0.6944444444444444)</f>
        <v>0.6944444444</v>
      </c>
      <c r="K33" s="53">
        <f t="shared" si="1"/>
        <v>0.01388888889</v>
      </c>
      <c r="L33" s="49" t="s">
        <v>109</v>
      </c>
      <c r="M33" s="62" t="s">
        <v>679</v>
      </c>
      <c r="N33" s="62" t="str">
        <f t="shared" si="2"/>
        <v>AT_6_15_5c721e31-d86a-4ed5-95c4-6adf1c523ba2_000000_000000.mp4</v>
      </c>
      <c r="O33" s="48"/>
      <c r="P33" s="48"/>
      <c r="Q33" s="63"/>
      <c r="R33" s="49"/>
      <c r="S33" s="49"/>
      <c r="T33" s="49"/>
    </row>
    <row r="34">
      <c r="A34" s="49" t="str">
        <f>IFERROR(__xludf.DUMMYFUNCTION("""COMPUTED_VALUE"""),"Opening remarks")</f>
        <v>Opening remarks</v>
      </c>
      <c r="B34" s="49" t="str">
        <f>IFERROR(__xludf.DUMMYFUNCTION("""COMPUTED_VALUE"""),"Auto/Tech &amp; TalkRobot")</f>
        <v>Auto/Tech &amp; TalkRobot</v>
      </c>
      <c r="C34" s="51" t="str">
        <f>IFERROR(__xludf.DUMMYFUNCTION("""COMPUTED_VALUE"""),"João Azevedo Coutinho")</f>
        <v>João Azevedo Coutinho</v>
      </c>
      <c r="D34" s="49" t="str">
        <f>IFERROR(__xludf.DUMMYFUNCTION("""COMPUTED_VALUE"""),"2019/11/07 11:00:00")</f>
        <v>2019/11/07 11:00:00</v>
      </c>
      <c r="E34" s="49" t="str">
        <f>IFERROR(__xludf.DUMMYFUNCTION("""COMPUTED_VALUE"""),"2019/11/07 11:15:00")</f>
        <v>2019/11/07 11:15:00</v>
      </c>
      <c r="F34" s="49" t="str">
        <f>IFERROR(__xludf.DUMMYFUNCTION("""COMPUTED_VALUE"""),"88eb473d-6fb5-41b8-9ef9-860b01fbf65c")</f>
        <v>88eb473d-6fb5-41b8-9ef9-860b01fbf65c</v>
      </c>
      <c r="G34" s="52">
        <f>IFERROR(__xludf.DUMMYFUNCTION("""COMPUTED_VALUE"""),43776.0)</f>
        <v>43776</v>
      </c>
      <c r="H34" s="53">
        <f>IFERROR(__xludf.DUMMYFUNCTION("""COMPUTED_VALUE"""),0.4583333333333333)</f>
        <v>0.4583333333</v>
      </c>
      <c r="I34" s="52">
        <f>IFERROR(__xludf.DUMMYFUNCTION("""COMPUTED_VALUE"""),43776.0)</f>
        <v>43776</v>
      </c>
      <c r="J34" s="53">
        <f>IFERROR(__xludf.DUMMYFUNCTION("""COMPUTED_VALUE"""),0.46875)</f>
        <v>0.46875</v>
      </c>
      <c r="K34" s="53">
        <f t="shared" si="1"/>
        <v>0.01041666667</v>
      </c>
      <c r="L34" s="49" t="s">
        <v>118</v>
      </c>
      <c r="M34" s="62" t="s">
        <v>681</v>
      </c>
      <c r="N34" s="62" t="str">
        <f t="shared" si="2"/>
        <v>AT_7_1_88eb473d-6fb5-41b8-9ef9-860b01fbf65c_000000_000000.mp4</v>
      </c>
      <c r="O34" s="48"/>
      <c r="P34" s="48"/>
      <c r="Q34" s="63"/>
      <c r="R34" s="49"/>
      <c r="S34" s="49"/>
      <c r="T34" s="49"/>
    </row>
    <row r="35">
      <c r="A35" s="49" t="str">
        <f>IFERROR(__xludf.DUMMYFUNCTION("""COMPUTED_VALUE"""),"What is driving innovation?")</f>
        <v>What is driving innovation?</v>
      </c>
      <c r="B35" s="49" t="str">
        <f>IFERROR(__xludf.DUMMYFUNCTION("""COMPUTED_VALUE"""),"Auto/Tech &amp; TalkRobot")</f>
        <v>Auto/Tech &amp; TalkRobot</v>
      </c>
      <c r="C35" s="51" t="str">
        <f>IFERROR(__xludf.DUMMYFUNCTION("""COMPUTED_VALUE"""),"Teemu Moisala, Alain Visser, Felix Leuschner and Jim Motavalli")</f>
        <v>Teemu Moisala, Alain Visser, Felix Leuschner and Jim Motavalli</v>
      </c>
      <c r="D35" s="49" t="str">
        <f>IFERROR(__xludf.DUMMYFUNCTION("""COMPUTED_VALUE"""),"2019/11/07 11:15:00")</f>
        <v>2019/11/07 11:15:00</v>
      </c>
      <c r="E35" s="49" t="str">
        <f>IFERROR(__xludf.DUMMYFUNCTION("""COMPUTED_VALUE"""),"2019/11/07 11:35:00")</f>
        <v>2019/11/07 11:35:00</v>
      </c>
      <c r="F35" s="49" t="str">
        <f>IFERROR(__xludf.DUMMYFUNCTION("""COMPUTED_VALUE"""),"e844abbb-1a5d-477e-a3e7-8770e387c3f5")</f>
        <v>e844abbb-1a5d-477e-a3e7-8770e387c3f5</v>
      </c>
      <c r="G35" s="52">
        <f>IFERROR(__xludf.DUMMYFUNCTION("""COMPUTED_VALUE"""),43776.0)</f>
        <v>43776</v>
      </c>
      <c r="H35" s="53">
        <f>IFERROR(__xludf.DUMMYFUNCTION("""COMPUTED_VALUE"""),0.46875)</f>
        <v>0.46875</v>
      </c>
      <c r="I35" s="52">
        <f>IFERROR(__xludf.DUMMYFUNCTION("""COMPUTED_VALUE"""),43776.0)</f>
        <v>43776</v>
      </c>
      <c r="J35" s="53">
        <f>IFERROR(__xludf.DUMMYFUNCTION("""COMPUTED_VALUE"""),0.4826388888888889)</f>
        <v>0.4826388889</v>
      </c>
      <c r="K35" s="53">
        <f t="shared" si="1"/>
        <v>0.01388888889</v>
      </c>
      <c r="L35" s="49" t="s">
        <v>109</v>
      </c>
      <c r="M35" s="62" t="s">
        <v>683</v>
      </c>
      <c r="N35" s="62" t="str">
        <f t="shared" si="2"/>
        <v>AT_7_2_e844abbb-1a5d-477e-a3e7-8770e387c3f5_000000_000000.mp4</v>
      </c>
      <c r="O35" s="48"/>
      <c r="P35" s="48"/>
      <c r="Q35" s="63"/>
      <c r="R35" s="49"/>
      <c r="S35" s="49"/>
      <c r="T35" s="49"/>
    </row>
    <row r="36">
      <c r="A36" s="49" t="str">
        <f>IFERROR(__xludf.DUMMYFUNCTION("""COMPUTED_VALUE"""),"The future of mobility is bigger than cars: disruption is coming to city transport")</f>
        <v>The future of mobility is bigger than cars: disruption is coming to city transport</v>
      </c>
      <c r="B36" s="49" t="str">
        <f>IFERROR(__xludf.DUMMYFUNCTION("""COMPUTED_VALUE"""),"Auto/Tech &amp; TalkRobot")</f>
        <v>Auto/Tech &amp; TalkRobot</v>
      </c>
      <c r="C36" s="51" t="str">
        <f>IFERROR(__xludf.DUMMYFUNCTION("""COMPUTED_VALUE"""),"Sabrina Soussan")</f>
        <v>Sabrina Soussan</v>
      </c>
      <c r="D36" s="49" t="str">
        <f>IFERROR(__xludf.DUMMYFUNCTION("""COMPUTED_VALUE"""),"2019/11/07 11:35:00")</f>
        <v>2019/11/07 11:35:00</v>
      </c>
      <c r="E36" s="49" t="str">
        <f>IFERROR(__xludf.DUMMYFUNCTION("""COMPUTED_VALUE"""),"2019/11/07 11:55:00")</f>
        <v>2019/11/07 11:55:00</v>
      </c>
      <c r="F36" s="49" t="str">
        <f>IFERROR(__xludf.DUMMYFUNCTION("""COMPUTED_VALUE"""),"8ebf9bd5-877b-4433-a33a-0c84c37d997b")</f>
        <v>8ebf9bd5-877b-4433-a33a-0c84c37d997b</v>
      </c>
      <c r="G36" s="52">
        <f>IFERROR(__xludf.DUMMYFUNCTION("""COMPUTED_VALUE"""),43776.0)</f>
        <v>43776</v>
      </c>
      <c r="H36" s="53">
        <f>IFERROR(__xludf.DUMMYFUNCTION("""COMPUTED_VALUE"""),0.4826388888888889)</f>
        <v>0.4826388889</v>
      </c>
      <c r="I36" s="52">
        <f>IFERROR(__xludf.DUMMYFUNCTION("""COMPUTED_VALUE"""),43776.0)</f>
        <v>43776</v>
      </c>
      <c r="J36" s="53">
        <f>IFERROR(__xludf.DUMMYFUNCTION("""COMPUTED_VALUE"""),0.4965277777777778)</f>
        <v>0.4965277778</v>
      </c>
      <c r="K36" s="53">
        <f t="shared" si="1"/>
        <v>0.01388888889</v>
      </c>
      <c r="L36" s="49" t="s">
        <v>109</v>
      </c>
      <c r="M36" s="62" t="s">
        <v>685</v>
      </c>
      <c r="N36" s="62" t="str">
        <f t="shared" si="2"/>
        <v>AT_7_3_8ebf9bd5-877b-4433-a33a-0c84c37d997b_000000_000000.mp4</v>
      </c>
      <c r="O36" s="48"/>
      <c r="P36" s="48"/>
      <c r="Q36" s="63"/>
      <c r="R36" s="49"/>
      <c r="S36" s="49"/>
      <c r="T36" s="49"/>
    </row>
    <row r="37">
      <c r="A37" s="49" t="str">
        <f>IFERROR(__xludf.DUMMYFUNCTION("""COMPUTED_VALUE"""),"The promise of personal robots is closer than you think")</f>
        <v>The promise of personal robots is closer than you think</v>
      </c>
      <c r="B37" s="49" t="str">
        <f>IFERROR(__xludf.DUMMYFUNCTION("""COMPUTED_VALUE"""),"Auto/Tech &amp; TalkRobot")</f>
        <v>Auto/Tech &amp; TalkRobot</v>
      </c>
      <c r="C37" s="51" t="str">
        <f>IFERROR(__xludf.DUMMYFUNCTION("""COMPUTED_VALUE"""),"Ian Bernstein and Tim Bradshaw")</f>
        <v>Ian Bernstein and Tim Bradshaw</v>
      </c>
      <c r="D37" s="49" t="str">
        <f>IFERROR(__xludf.DUMMYFUNCTION("""COMPUTED_VALUE"""),"2019/11/07 11:55:00")</f>
        <v>2019/11/07 11:55:00</v>
      </c>
      <c r="E37" s="49" t="str">
        <f>IFERROR(__xludf.DUMMYFUNCTION("""COMPUTED_VALUE"""),"2019/11/07 12:15:00")</f>
        <v>2019/11/07 12:15:00</v>
      </c>
      <c r="F37" s="49" t="str">
        <f>IFERROR(__xludf.DUMMYFUNCTION("""COMPUTED_VALUE"""),"706d18d3-daa5-49c3-a497-62acce51c3da")</f>
        <v>706d18d3-daa5-49c3-a497-62acce51c3da</v>
      </c>
      <c r="G37" s="52">
        <f>IFERROR(__xludf.DUMMYFUNCTION("""COMPUTED_VALUE"""),43776.0)</f>
        <v>43776</v>
      </c>
      <c r="H37" s="53">
        <f>IFERROR(__xludf.DUMMYFUNCTION("""COMPUTED_VALUE"""),0.4965277777777778)</f>
        <v>0.4965277778</v>
      </c>
      <c r="I37" s="52">
        <f>IFERROR(__xludf.DUMMYFUNCTION("""COMPUTED_VALUE"""),43776.0)</f>
        <v>43776</v>
      </c>
      <c r="J37" s="53">
        <f>IFERROR(__xludf.DUMMYFUNCTION("""COMPUTED_VALUE"""),0.5104166666666666)</f>
        <v>0.5104166667</v>
      </c>
      <c r="K37" s="53">
        <f t="shared" si="1"/>
        <v>0.01388888889</v>
      </c>
      <c r="L37" s="49" t="s">
        <v>109</v>
      </c>
      <c r="M37" s="62" t="s">
        <v>687</v>
      </c>
      <c r="N37" s="62" t="str">
        <f t="shared" si="2"/>
        <v>AT_7_4_706d18d3-daa5-49c3-a497-62acce51c3da_000000_000000.mp4</v>
      </c>
      <c r="O37" s="48"/>
      <c r="P37" s="48"/>
      <c r="Q37" s="63"/>
      <c r="R37" s="49"/>
      <c r="S37" s="49"/>
      <c r="T37" s="49"/>
    </row>
    <row r="38">
      <c r="A38" s="49" t="str">
        <f>IFERROR(__xludf.DUMMYFUNCTION("""COMPUTED_VALUE"""),"Why redefining cars isn't enough")</f>
        <v>Why redefining cars isn't enough</v>
      </c>
      <c r="B38" s="49" t="str">
        <f>IFERROR(__xludf.DUMMYFUNCTION("""COMPUTED_VALUE"""),"Auto/Tech &amp; TalkRobot")</f>
        <v>Auto/Tech &amp; TalkRobot</v>
      </c>
      <c r="C38" s="51" t="str">
        <f>IFERROR(__xludf.DUMMYFUNCTION("""COMPUTED_VALUE"""),"Andreas Schaaf")</f>
        <v>Andreas Schaaf</v>
      </c>
      <c r="D38" s="49" t="str">
        <f>IFERROR(__xludf.DUMMYFUNCTION("""COMPUTED_VALUE"""),"2019/11/07 12:15:00")</f>
        <v>2019/11/07 12:15:00</v>
      </c>
      <c r="E38" s="49" t="str">
        <f>IFERROR(__xludf.DUMMYFUNCTION("""COMPUTED_VALUE"""),"2019/11/07 12:35:00")</f>
        <v>2019/11/07 12:35:00</v>
      </c>
      <c r="F38" s="49" t="str">
        <f>IFERROR(__xludf.DUMMYFUNCTION("""COMPUTED_VALUE"""),"6a813eed-5f83-4aee-81e7-0883257bd1a6")</f>
        <v>6a813eed-5f83-4aee-81e7-0883257bd1a6</v>
      </c>
      <c r="G38" s="52">
        <f>IFERROR(__xludf.DUMMYFUNCTION("""COMPUTED_VALUE"""),43776.0)</f>
        <v>43776</v>
      </c>
      <c r="H38" s="53">
        <f>IFERROR(__xludf.DUMMYFUNCTION("""COMPUTED_VALUE"""),0.5104166666666666)</f>
        <v>0.5104166667</v>
      </c>
      <c r="I38" s="52">
        <f>IFERROR(__xludf.DUMMYFUNCTION("""COMPUTED_VALUE"""),43776.0)</f>
        <v>43776</v>
      </c>
      <c r="J38" s="53">
        <f>IFERROR(__xludf.DUMMYFUNCTION("""COMPUTED_VALUE"""),0.5243055555555556)</f>
        <v>0.5243055556</v>
      </c>
      <c r="K38" s="53">
        <f t="shared" si="1"/>
        <v>0.01388888889</v>
      </c>
      <c r="L38" s="49" t="s">
        <v>109</v>
      </c>
      <c r="M38" s="62" t="s">
        <v>688</v>
      </c>
      <c r="N38" s="62" t="str">
        <f t="shared" si="2"/>
        <v>AT_7_5_6a813eed-5f83-4aee-81e7-0883257bd1a6_000000_000000.mp4</v>
      </c>
      <c r="O38" s="48"/>
      <c r="P38" s="48"/>
      <c r="Q38" s="63"/>
      <c r="R38" s="49"/>
      <c r="S38" s="49"/>
      <c r="T38" s="49"/>
    </row>
    <row r="39">
      <c r="A39" s="49" t="str">
        <f>IFERROR(__xludf.DUMMYFUNCTION("""COMPUTED_VALUE"""),"No driver, no problem ")</f>
        <v>No driver, no problem </v>
      </c>
      <c r="B39" s="49" t="str">
        <f>IFERROR(__xludf.DUMMYFUNCTION("""COMPUTED_VALUE"""),"Auto/Tech &amp; TalkRobot")</f>
        <v>Auto/Tech &amp; TalkRobot</v>
      </c>
      <c r="C39" s="51" t="str">
        <f>IFERROR(__xludf.DUMMYFUNCTION("""COMPUTED_VALUE"""),"Lucas Di Grassi, Bryn Balcombe, Avinash Rugoobur and Jim Motavalli")</f>
        <v>Lucas Di Grassi, Bryn Balcombe, Avinash Rugoobur and Jim Motavalli</v>
      </c>
      <c r="D39" s="49" t="str">
        <f>IFERROR(__xludf.DUMMYFUNCTION("""COMPUTED_VALUE"""),"2019/11/07 12:35:00")</f>
        <v>2019/11/07 12:35:00</v>
      </c>
      <c r="E39" s="49" t="str">
        <f>IFERROR(__xludf.DUMMYFUNCTION("""COMPUTED_VALUE"""),"2019/11/07 12:55:00")</f>
        <v>2019/11/07 12:55:00</v>
      </c>
      <c r="F39" s="49" t="str">
        <f>IFERROR(__xludf.DUMMYFUNCTION("""COMPUTED_VALUE"""),"58dd8772-6df4-47bd-892c-ea741579c005")</f>
        <v>58dd8772-6df4-47bd-892c-ea741579c005</v>
      </c>
      <c r="G39" s="52">
        <f>IFERROR(__xludf.DUMMYFUNCTION("""COMPUTED_VALUE"""),43776.0)</f>
        <v>43776</v>
      </c>
      <c r="H39" s="53">
        <f>IFERROR(__xludf.DUMMYFUNCTION("""COMPUTED_VALUE"""),0.5243055555555556)</f>
        <v>0.5243055556</v>
      </c>
      <c r="I39" s="52">
        <f>IFERROR(__xludf.DUMMYFUNCTION("""COMPUTED_VALUE"""),43776.0)</f>
        <v>43776</v>
      </c>
      <c r="J39" s="53">
        <f>IFERROR(__xludf.DUMMYFUNCTION("""COMPUTED_VALUE"""),0.5381944444444444)</f>
        <v>0.5381944444</v>
      </c>
      <c r="K39" s="53">
        <f t="shared" si="1"/>
        <v>0.01388888889</v>
      </c>
      <c r="L39" s="49" t="s">
        <v>109</v>
      </c>
      <c r="M39" s="62" t="s">
        <v>690</v>
      </c>
      <c r="N39" s="62" t="str">
        <f t="shared" si="2"/>
        <v>AT_7_6_58dd8772-6df4-47bd-892c-ea741579c005_000000_000000.mp4</v>
      </c>
      <c r="O39" s="48"/>
      <c r="P39" s="48"/>
      <c r="Q39" s="63"/>
      <c r="R39" s="49"/>
      <c r="S39" s="49"/>
      <c r="T39" s="49"/>
    </row>
    <row r="40">
      <c r="A40" s="49" t="str">
        <f>IFERROR(__xludf.DUMMYFUNCTION("""COMPUTED_VALUE"""),"Burn the  maps: Re-inventing navigation... again")</f>
        <v>Burn the  maps: Re-inventing navigation... again</v>
      </c>
      <c r="B40" s="49" t="str">
        <f>IFERROR(__xludf.DUMMYFUNCTION("""COMPUTED_VALUE"""),"Auto/Tech &amp; TalkRobot")</f>
        <v>Auto/Tech &amp; TalkRobot</v>
      </c>
      <c r="C40" s="51" t="str">
        <f>IFERROR(__xludf.DUMMYFUNCTION("""COMPUTED_VALUE"""),"Risto Vahtra, Gideon van Dijk, Jan Feiling and Steve Ranger")</f>
        <v>Risto Vahtra, Gideon van Dijk, Jan Feiling and Steve Ranger</v>
      </c>
      <c r="D40" s="49" t="str">
        <f>IFERROR(__xludf.DUMMYFUNCTION("""COMPUTED_VALUE"""),"2019/11/07 12:55:00")</f>
        <v>2019/11/07 12:55:00</v>
      </c>
      <c r="E40" s="49" t="str">
        <f>IFERROR(__xludf.DUMMYFUNCTION("""COMPUTED_VALUE"""),"2019/11/07 13:15:00")</f>
        <v>2019/11/07 13:15:00</v>
      </c>
      <c r="F40" s="49" t="str">
        <f>IFERROR(__xludf.DUMMYFUNCTION("""COMPUTED_VALUE"""),"8bd1d885-2ccb-4623-80fc-170eab4eb74f")</f>
        <v>8bd1d885-2ccb-4623-80fc-170eab4eb74f</v>
      </c>
      <c r="G40" s="52">
        <f>IFERROR(__xludf.DUMMYFUNCTION("""COMPUTED_VALUE"""),43776.0)</f>
        <v>43776</v>
      </c>
      <c r="H40" s="53">
        <f>IFERROR(__xludf.DUMMYFUNCTION("""COMPUTED_VALUE"""),0.5381944444444444)</f>
        <v>0.5381944444</v>
      </c>
      <c r="I40" s="52">
        <f>IFERROR(__xludf.DUMMYFUNCTION("""COMPUTED_VALUE"""),43776.0)</f>
        <v>43776</v>
      </c>
      <c r="J40" s="53">
        <f>IFERROR(__xludf.DUMMYFUNCTION("""COMPUTED_VALUE"""),0.5520833333333334)</f>
        <v>0.5520833333</v>
      </c>
      <c r="K40" s="53">
        <f t="shared" si="1"/>
        <v>0.01388888889</v>
      </c>
      <c r="L40" s="49" t="s">
        <v>109</v>
      </c>
      <c r="M40" s="62" t="s">
        <v>692</v>
      </c>
      <c r="N40" s="62" t="str">
        <f t="shared" si="2"/>
        <v>AT_7_7_8bd1d885-2ccb-4623-80fc-170eab4eb74f_000000_000000.mp4</v>
      </c>
      <c r="O40" s="48"/>
      <c r="P40" s="48"/>
      <c r="Q40" s="63"/>
      <c r="R40" s="49"/>
      <c r="S40" s="49"/>
      <c r="T40" s="49"/>
    </row>
    <row r="41">
      <c r="A41" s="49" t="str">
        <f>IFERROR(__xludf.DUMMYFUNCTION("""COMPUTED_VALUE"""),"Lunch break")</f>
        <v>Lunch break</v>
      </c>
      <c r="B41" s="49" t="str">
        <f>IFERROR(__xludf.DUMMYFUNCTION("""COMPUTED_VALUE"""),"Auto/Tech &amp; TalkRobot")</f>
        <v>Auto/Tech &amp; TalkRobot</v>
      </c>
      <c r="C41" s="51" t="str">
        <f>IFERROR(__xludf.DUMMYFUNCTION("""COMPUTED_VALUE"""),"")</f>
        <v/>
      </c>
      <c r="D41" s="49" t="str">
        <f>IFERROR(__xludf.DUMMYFUNCTION("""COMPUTED_VALUE"""),"2019/11/07 13:15:00")</f>
        <v>2019/11/07 13:15:00</v>
      </c>
      <c r="E41" s="49" t="str">
        <f>IFERROR(__xludf.DUMMYFUNCTION("""COMPUTED_VALUE"""),"2019/11/07 14:00:00")</f>
        <v>2019/11/07 14:00:00</v>
      </c>
      <c r="F41" s="49" t="str">
        <f>IFERROR(__xludf.DUMMYFUNCTION("""COMPUTED_VALUE"""),"2329764e-2047-4a7c-bf60-96b7010adea9")</f>
        <v>2329764e-2047-4a7c-bf60-96b7010adea9</v>
      </c>
      <c r="G41" s="52">
        <f>IFERROR(__xludf.DUMMYFUNCTION("""COMPUTED_VALUE"""),43776.0)</f>
        <v>43776</v>
      </c>
      <c r="H41" s="53">
        <f>IFERROR(__xludf.DUMMYFUNCTION("""COMPUTED_VALUE"""),0.5520833333333334)</f>
        <v>0.5520833333</v>
      </c>
      <c r="I41" s="52">
        <f>IFERROR(__xludf.DUMMYFUNCTION("""COMPUTED_VALUE"""),43776.0)</f>
        <v>43776</v>
      </c>
      <c r="J41" s="53">
        <f>IFERROR(__xludf.DUMMYFUNCTION("""COMPUTED_VALUE"""),0.5833333333333334)</f>
        <v>0.5833333333</v>
      </c>
      <c r="K41" s="53">
        <f t="shared" si="1"/>
        <v>0.03125</v>
      </c>
      <c r="L41" s="49" t="s">
        <v>127</v>
      </c>
      <c r="M41" s="49"/>
      <c r="N41" s="62" t="str">
        <f t="shared" si="2"/>
        <v>_2329764e-2047-4a7c-bf60-96b7010adea9_000000_000000.mp4</v>
      </c>
      <c r="O41" s="48"/>
      <c r="P41" s="48"/>
      <c r="Q41" s="63"/>
      <c r="R41" s="49"/>
      <c r="S41" s="49"/>
      <c r="T41" s="49"/>
    </row>
    <row r="42">
      <c r="A42" s="49" t="str">
        <f>IFERROR(__xludf.DUMMYFUNCTION("""COMPUTED_VALUE"""),"The post-digital era is upon us")</f>
        <v>The post-digital era is upon us</v>
      </c>
      <c r="B42" s="49" t="str">
        <f>IFERROR(__xludf.DUMMYFUNCTION("""COMPUTED_VALUE"""),"Auto/Tech &amp; TalkRobot")</f>
        <v>Auto/Tech &amp; TalkRobot</v>
      </c>
      <c r="C42" s="51" t="str">
        <f>IFERROR(__xludf.DUMMYFUNCTION("""COMPUTED_VALUE"""),"Yves Bernaert")</f>
        <v>Yves Bernaert</v>
      </c>
      <c r="D42" s="49" t="str">
        <f>IFERROR(__xludf.DUMMYFUNCTION("""COMPUTED_VALUE"""),"2019/11/07 14:00:00")</f>
        <v>2019/11/07 14:00:00</v>
      </c>
      <c r="E42" s="49" t="str">
        <f>IFERROR(__xludf.DUMMYFUNCTION("""COMPUTED_VALUE"""),"2019/11/07 14:15:00")</f>
        <v>2019/11/07 14:15:00</v>
      </c>
      <c r="F42" s="49" t="str">
        <f>IFERROR(__xludf.DUMMYFUNCTION("""COMPUTED_VALUE"""),"1d46df38-c3dc-4da4-9ff8-6abc2f27e67f")</f>
        <v>1d46df38-c3dc-4da4-9ff8-6abc2f27e67f</v>
      </c>
      <c r="G42" s="52">
        <f>IFERROR(__xludf.DUMMYFUNCTION("""COMPUTED_VALUE"""),43776.0)</f>
        <v>43776</v>
      </c>
      <c r="H42" s="53">
        <f>IFERROR(__xludf.DUMMYFUNCTION("""COMPUTED_VALUE"""),0.5833333333333334)</f>
        <v>0.5833333333</v>
      </c>
      <c r="I42" s="52">
        <f>IFERROR(__xludf.DUMMYFUNCTION("""COMPUTED_VALUE"""),43776.0)</f>
        <v>43776</v>
      </c>
      <c r="J42" s="53">
        <f>IFERROR(__xludf.DUMMYFUNCTION("""COMPUTED_VALUE"""),0.59375)</f>
        <v>0.59375</v>
      </c>
      <c r="K42" s="53">
        <f t="shared" si="1"/>
        <v>0.01041666667</v>
      </c>
      <c r="L42" s="49" t="s">
        <v>118</v>
      </c>
      <c r="M42" s="62" t="s">
        <v>694</v>
      </c>
      <c r="N42" s="62" t="str">
        <f t="shared" si="2"/>
        <v>AT_7_8_1d46df38-c3dc-4da4-9ff8-6abc2f27e67f_000000_000000.mp4</v>
      </c>
      <c r="O42" s="48"/>
      <c r="P42" s="48"/>
      <c r="Q42" s="63"/>
      <c r="R42" s="49"/>
      <c r="S42" s="49"/>
      <c r="T42" s="49"/>
    </row>
    <row r="43">
      <c r="A43" s="49" t="str">
        <f>IFERROR(__xludf.DUMMYFUNCTION("""COMPUTED_VALUE"""),"Helping robots to make smarter decisions")</f>
        <v>Helping robots to make smarter decisions</v>
      </c>
      <c r="B43" s="49" t="str">
        <f>IFERROR(__xludf.DUMMYFUNCTION("""COMPUTED_VALUE"""),"Auto/Tech &amp; TalkRobot")</f>
        <v>Auto/Tech &amp; TalkRobot</v>
      </c>
      <c r="C43" s="51" t="str">
        <f>IFERROR(__xludf.DUMMYFUNCTION("""COMPUTED_VALUE"""),"Dor Skuler, Patrick Sobalvarro and Eamonn Carey")</f>
        <v>Dor Skuler, Patrick Sobalvarro and Eamonn Carey</v>
      </c>
      <c r="D43" s="49" t="str">
        <f>IFERROR(__xludf.DUMMYFUNCTION("""COMPUTED_VALUE"""),"2019/11/07 14:00:00")</f>
        <v>2019/11/07 14:00:00</v>
      </c>
      <c r="E43" s="49" t="str">
        <f>IFERROR(__xludf.DUMMYFUNCTION("""COMPUTED_VALUE"""),"2019/11/07 14:15:00")</f>
        <v>2019/11/07 14:15:00</v>
      </c>
      <c r="F43" s="49" t="str">
        <f>IFERROR(__xludf.DUMMYFUNCTION("""COMPUTED_VALUE"""),"e8988775-c079-450b-b1e7-61849bb48a62")</f>
        <v>e8988775-c079-450b-b1e7-61849bb48a62</v>
      </c>
      <c r="G43" s="52">
        <f>IFERROR(__xludf.DUMMYFUNCTION("""COMPUTED_VALUE"""),43776.0)</f>
        <v>43776</v>
      </c>
      <c r="H43" s="53">
        <f>IFERROR(__xludf.DUMMYFUNCTION("""COMPUTED_VALUE"""),0.5833333333333334)</f>
        <v>0.5833333333</v>
      </c>
      <c r="I43" s="52">
        <f>IFERROR(__xludf.DUMMYFUNCTION("""COMPUTED_VALUE"""),43776.0)</f>
        <v>43776</v>
      </c>
      <c r="J43" s="53">
        <f>IFERROR(__xludf.DUMMYFUNCTION("""COMPUTED_VALUE"""),0.59375)</f>
        <v>0.59375</v>
      </c>
      <c r="K43" s="53">
        <f t="shared" si="1"/>
        <v>0.01041666667</v>
      </c>
      <c r="L43" s="49" t="s">
        <v>118</v>
      </c>
      <c r="M43" s="62" t="s">
        <v>696</v>
      </c>
      <c r="N43" s="62" t="str">
        <f t="shared" si="2"/>
        <v>AT_7_9_e8988775-c079-450b-b1e7-61849bb48a62_000000_000000.mp4</v>
      </c>
      <c r="O43" s="48"/>
      <c r="P43" s="48"/>
      <c r="Q43" s="63"/>
      <c r="R43" s="49"/>
      <c r="S43" s="49"/>
      <c r="T43" s="49"/>
    </row>
    <row r="44">
      <c r="A44" s="49" t="str">
        <f>IFERROR(__xludf.DUMMYFUNCTION("""COMPUTED_VALUE"""),"The middle mile - breaking american car culture")</f>
        <v>The middle mile - breaking american car culture</v>
      </c>
      <c r="B44" s="49" t="str">
        <f>IFERROR(__xludf.DUMMYFUNCTION("""COMPUTED_VALUE"""),"Auto/Tech &amp; TalkRobot")</f>
        <v>Auto/Tech &amp; TalkRobot</v>
      </c>
      <c r="C44" s="51" t="str">
        <f>IFERROR(__xludf.DUMMYFUNCTION("""COMPUTED_VALUE"""),"Frank Reig")</f>
        <v>Frank Reig</v>
      </c>
      <c r="D44" s="49" t="str">
        <f>IFERROR(__xludf.DUMMYFUNCTION("""COMPUTED_VALUE"""),"2019/11/07 14:30:00")</f>
        <v>2019/11/07 14:30:00</v>
      </c>
      <c r="E44" s="49" t="str">
        <f>IFERROR(__xludf.DUMMYFUNCTION("""COMPUTED_VALUE"""),"2019/11/07 14:50:00")</f>
        <v>2019/11/07 14:50:00</v>
      </c>
      <c r="F44" s="49" t="str">
        <f>IFERROR(__xludf.DUMMYFUNCTION("""COMPUTED_VALUE"""),"a0cf0658-f16a-4c4c-a816-d9a93784684d")</f>
        <v>a0cf0658-f16a-4c4c-a816-d9a93784684d</v>
      </c>
      <c r="G44" s="52">
        <f>IFERROR(__xludf.DUMMYFUNCTION("""COMPUTED_VALUE"""),43776.0)</f>
        <v>43776</v>
      </c>
      <c r="H44" s="53">
        <f>IFERROR(__xludf.DUMMYFUNCTION("""COMPUTED_VALUE"""),0.6041666666666666)</f>
        <v>0.6041666667</v>
      </c>
      <c r="I44" s="52">
        <f>IFERROR(__xludf.DUMMYFUNCTION("""COMPUTED_VALUE"""),43776.0)</f>
        <v>43776</v>
      </c>
      <c r="J44" s="53">
        <f>IFERROR(__xludf.DUMMYFUNCTION("""COMPUTED_VALUE"""),0.6180555555555556)</f>
        <v>0.6180555556</v>
      </c>
      <c r="K44" s="53">
        <f t="shared" si="1"/>
        <v>0.01388888889</v>
      </c>
      <c r="L44" s="49" t="s">
        <v>109</v>
      </c>
      <c r="M44" s="62" t="s">
        <v>697</v>
      </c>
      <c r="N44" s="62" t="str">
        <f t="shared" si="2"/>
        <v>AT_7_10_a0cf0658-f16a-4c4c-a816-d9a93784684d_000000_000000.mp4</v>
      </c>
      <c r="O44" s="48"/>
      <c r="P44" s="48"/>
      <c r="Q44" s="63"/>
      <c r="R44" s="49"/>
      <c r="S44" s="49"/>
      <c r="T44" s="49"/>
    </row>
    <row r="45">
      <c r="A45" s="49" t="str">
        <f>IFERROR(__xludf.DUMMYFUNCTION("""COMPUTED_VALUE"""),"Looking at the new face of hypercars")</f>
        <v>Looking at the new face of hypercars</v>
      </c>
      <c r="B45" s="49" t="str">
        <f>IFERROR(__xludf.DUMMYFUNCTION("""COMPUTED_VALUE"""),"Auto/Tech &amp; TalkRobot")</f>
        <v>Auto/Tech &amp; TalkRobot</v>
      </c>
      <c r="C45" s="51" t="str">
        <f>IFERROR(__xludf.DUMMYFUNCTION("""COMPUTED_VALUE"""),"Tim Richardson")</f>
        <v>Tim Richardson</v>
      </c>
      <c r="D45" s="49" t="str">
        <f>IFERROR(__xludf.DUMMYFUNCTION("""COMPUTED_VALUE"""),"2019/11/07 14:50:00")</f>
        <v>2019/11/07 14:50:00</v>
      </c>
      <c r="E45" s="49" t="str">
        <f>IFERROR(__xludf.DUMMYFUNCTION("""COMPUTED_VALUE"""),"2019/11/07 15:10:00")</f>
        <v>2019/11/07 15:10:00</v>
      </c>
      <c r="F45" s="49" t="str">
        <f>IFERROR(__xludf.DUMMYFUNCTION("""COMPUTED_VALUE"""),"4f6e9231-2160-4443-b7db-9933415ddd50")</f>
        <v>4f6e9231-2160-4443-b7db-9933415ddd50</v>
      </c>
      <c r="G45" s="52">
        <f>IFERROR(__xludf.DUMMYFUNCTION("""COMPUTED_VALUE"""),43776.0)</f>
        <v>43776</v>
      </c>
      <c r="H45" s="53">
        <f>IFERROR(__xludf.DUMMYFUNCTION("""COMPUTED_VALUE"""),0.6180555555555556)</f>
        <v>0.6180555556</v>
      </c>
      <c r="I45" s="52">
        <f>IFERROR(__xludf.DUMMYFUNCTION("""COMPUTED_VALUE"""),43776.0)</f>
        <v>43776</v>
      </c>
      <c r="J45" s="53">
        <f>IFERROR(__xludf.DUMMYFUNCTION("""COMPUTED_VALUE"""),0.6319444444444444)</f>
        <v>0.6319444444</v>
      </c>
      <c r="K45" s="53">
        <f t="shared" si="1"/>
        <v>0.01388888889</v>
      </c>
      <c r="L45" s="49" t="s">
        <v>109</v>
      </c>
      <c r="M45" s="62" t="s">
        <v>699</v>
      </c>
      <c r="N45" s="62" t="str">
        <f t="shared" si="2"/>
        <v>AT_7_11_4f6e9231-2160-4443-b7db-9933415ddd50_000000_000000.mp4</v>
      </c>
      <c r="O45" s="48"/>
      <c r="P45" s="48"/>
      <c r="Q45" s="63"/>
      <c r="R45" s="49"/>
      <c r="S45" s="49"/>
      <c r="T45" s="49"/>
    </row>
    <row r="46">
      <c r="A46" s="49" t="str">
        <f>IFERROR(__xludf.DUMMYFUNCTION("""COMPUTED_VALUE"""),"Beyond the hype: Why everything you hear about technology is wrong")</f>
        <v>Beyond the hype: Why everything you hear about technology is wrong</v>
      </c>
      <c r="B46" s="49" t="str">
        <f>IFERROR(__xludf.DUMMYFUNCTION("""COMPUTED_VALUE"""),"Auto/Tech &amp; TalkRobot")</f>
        <v>Auto/Tech &amp; TalkRobot</v>
      </c>
      <c r="C46" s="51" t="str">
        <f>IFERROR(__xludf.DUMMYFUNCTION("""COMPUTED_VALUE"""),"Arthur Hu")</f>
        <v>Arthur Hu</v>
      </c>
      <c r="D46" s="49" t="str">
        <f>IFERROR(__xludf.DUMMYFUNCTION("""COMPUTED_VALUE"""),"2019/11/07 15:10:00")</f>
        <v>2019/11/07 15:10:00</v>
      </c>
      <c r="E46" s="49" t="str">
        <f>IFERROR(__xludf.DUMMYFUNCTION("""COMPUTED_VALUE"""),"2019/11/07 15:30:00")</f>
        <v>2019/11/07 15:30:00</v>
      </c>
      <c r="F46" s="49" t="str">
        <f>IFERROR(__xludf.DUMMYFUNCTION("""COMPUTED_VALUE"""),"d3ae6007-4ef3-40d9-9ce1-d9f59c9e330d")</f>
        <v>d3ae6007-4ef3-40d9-9ce1-d9f59c9e330d</v>
      </c>
      <c r="G46" s="52">
        <f>IFERROR(__xludf.DUMMYFUNCTION("""COMPUTED_VALUE"""),43776.0)</f>
        <v>43776</v>
      </c>
      <c r="H46" s="53">
        <f>IFERROR(__xludf.DUMMYFUNCTION("""COMPUTED_VALUE"""),0.6319444444444444)</f>
        <v>0.6319444444</v>
      </c>
      <c r="I46" s="52">
        <f>IFERROR(__xludf.DUMMYFUNCTION("""COMPUTED_VALUE"""),43776.0)</f>
        <v>43776</v>
      </c>
      <c r="J46" s="53">
        <f>IFERROR(__xludf.DUMMYFUNCTION("""COMPUTED_VALUE"""),0.6458333333333334)</f>
        <v>0.6458333333</v>
      </c>
      <c r="K46" s="53">
        <f t="shared" si="1"/>
        <v>0.01388888889</v>
      </c>
      <c r="L46" s="49" t="s">
        <v>109</v>
      </c>
      <c r="M46" s="62" t="s">
        <v>700</v>
      </c>
      <c r="N46" s="62" t="str">
        <f t="shared" si="2"/>
        <v>AT_7_12_d3ae6007-4ef3-40d9-9ce1-d9f59c9e330d_000000_000000.mp4</v>
      </c>
      <c r="O46" s="48"/>
      <c r="P46" s="48"/>
      <c r="Q46" s="63"/>
      <c r="R46" s="49"/>
      <c r="S46" s="49"/>
      <c r="T46" s="49"/>
    </row>
    <row r="47">
      <c r="A47" s="49" t="str">
        <f>IFERROR(__xludf.DUMMYFUNCTION("""COMPUTED_VALUE"""),"The auto industry's diversity problem")</f>
        <v>The auto industry's diversity problem</v>
      </c>
      <c r="B47" s="49" t="str">
        <f>IFERROR(__xludf.DUMMYFUNCTION("""COMPUTED_VALUE"""),"Auto/Tech &amp; TalkRobot")</f>
        <v>Auto/Tech &amp; TalkRobot</v>
      </c>
      <c r="C47" s="51" t="str">
        <f>IFERROR(__xludf.DUMMYFUNCTION("""COMPUTED_VALUE"""),"Michelle Fang and Jared Lindzon")</f>
        <v>Michelle Fang and Jared Lindzon</v>
      </c>
      <c r="D47" s="49" t="str">
        <f>IFERROR(__xludf.DUMMYFUNCTION("""COMPUTED_VALUE"""),"2019/11/07 15:30:00")</f>
        <v>2019/11/07 15:30:00</v>
      </c>
      <c r="E47" s="49" t="str">
        <f>IFERROR(__xludf.DUMMYFUNCTION("""COMPUTED_VALUE"""),"2019/11/07 15:50:00")</f>
        <v>2019/11/07 15:50:00</v>
      </c>
      <c r="F47" s="49" t="str">
        <f>IFERROR(__xludf.DUMMYFUNCTION("""COMPUTED_VALUE"""),"9c700166-004f-4324-ae90-fd1e121b58f0")</f>
        <v>9c700166-004f-4324-ae90-fd1e121b58f0</v>
      </c>
      <c r="G47" s="52">
        <f>IFERROR(__xludf.DUMMYFUNCTION("""COMPUTED_VALUE"""),43776.0)</f>
        <v>43776</v>
      </c>
      <c r="H47" s="53">
        <f>IFERROR(__xludf.DUMMYFUNCTION("""COMPUTED_VALUE"""),0.6458333333333334)</f>
        <v>0.6458333333</v>
      </c>
      <c r="I47" s="52">
        <f>IFERROR(__xludf.DUMMYFUNCTION("""COMPUTED_VALUE"""),43776.0)</f>
        <v>43776</v>
      </c>
      <c r="J47" s="53">
        <f>IFERROR(__xludf.DUMMYFUNCTION("""COMPUTED_VALUE"""),0.6597222222222222)</f>
        <v>0.6597222222</v>
      </c>
      <c r="K47" s="53">
        <f t="shared" si="1"/>
        <v>0.01388888889</v>
      </c>
      <c r="L47" s="49" t="s">
        <v>109</v>
      </c>
      <c r="M47" s="62" t="s">
        <v>702</v>
      </c>
      <c r="N47" s="62" t="str">
        <f t="shared" si="2"/>
        <v>AT_7_13_9c700166-004f-4324-ae90-fd1e121b58f0_000000_000000.mp4</v>
      </c>
      <c r="O47" s="48"/>
      <c r="P47" s="48"/>
      <c r="Q47" s="63"/>
      <c r="R47" s="49"/>
      <c r="S47" s="49"/>
      <c r="T47" s="49"/>
    </row>
    <row r="48">
      <c r="A48" s="49" t="str">
        <f>IFERROR(__xludf.DUMMYFUNCTION("""COMPUTED_VALUE"""),"Learn to win")</f>
        <v>Learn to win</v>
      </c>
      <c r="B48" s="49" t="str">
        <f>IFERROR(__xludf.DUMMYFUNCTION("""COMPUTED_VALUE"""),"Auto/Tech &amp; TalkRobot")</f>
        <v>Auto/Tech &amp; TalkRobot</v>
      </c>
      <c r="C48" s="51" t="str">
        <f>IFERROR(__xludf.DUMMYFUNCTION("""COMPUTED_VALUE"""),"Martin Brandenburg")</f>
        <v>Martin Brandenburg</v>
      </c>
      <c r="D48" s="49" t="str">
        <f>IFERROR(__xludf.DUMMYFUNCTION("""COMPUTED_VALUE"""),"2019/11/07 15:50:00")</f>
        <v>2019/11/07 15:50:00</v>
      </c>
      <c r="E48" s="49" t="str">
        <f>IFERROR(__xludf.DUMMYFUNCTION("""COMPUTED_VALUE"""),"2019/11/07 16:10:00")</f>
        <v>2019/11/07 16:10:00</v>
      </c>
      <c r="F48" s="49" t="str">
        <f>IFERROR(__xludf.DUMMYFUNCTION("""COMPUTED_VALUE"""),"47c37516-18b2-413f-a57b-54950f924c2c")</f>
        <v>47c37516-18b2-413f-a57b-54950f924c2c</v>
      </c>
      <c r="G48" s="52">
        <f>IFERROR(__xludf.DUMMYFUNCTION("""COMPUTED_VALUE"""),43776.0)</f>
        <v>43776</v>
      </c>
      <c r="H48" s="53">
        <f>IFERROR(__xludf.DUMMYFUNCTION("""COMPUTED_VALUE"""),0.6597222222222222)</f>
        <v>0.6597222222</v>
      </c>
      <c r="I48" s="52">
        <f>IFERROR(__xludf.DUMMYFUNCTION("""COMPUTED_VALUE"""),43776.0)</f>
        <v>43776</v>
      </c>
      <c r="J48" s="53">
        <f>IFERROR(__xludf.DUMMYFUNCTION("""COMPUTED_VALUE"""),0.6736111111111112)</f>
        <v>0.6736111111</v>
      </c>
      <c r="K48" s="53">
        <f t="shared" si="1"/>
        <v>0.01388888889</v>
      </c>
      <c r="L48" s="49" t="s">
        <v>109</v>
      </c>
      <c r="M48" s="62" t="s">
        <v>704</v>
      </c>
      <c r="N48" s="62" t="str">
        <f t="shared" si="2"/>
        <v>AT_7_14_47c37516-18b2-413f-a57b-54950f924c2c_000000_000000.mp4</v>
      </c>
      <c r="O48" s="48"/>
      <c r="P48" s="48"/>
      <c r="Q48" s="63"/>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f t="shared" si="1"/>
        <v>0</v>
      </c>
      <c r="L49" s="49" t="s">
        <v>255</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f t="shared" si="1"/>
        <v>0</v>
      </c>
      <c r="L50" s="49" t="s">
        <v>255</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f t="shared" si="1"/>
        <v>0</v>
      </c>
      <c r="L51" s="49" t="s">
        <v>255</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f t="shared" si="1"/>
        <v>0</v>
      </c>
      <c r="L52" s="49" t="s">
        <v>255</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f t="shared" si="1"/>
        <v>0</v>
      </c>
      <c r="L53" s="49" t="s">
        <v>255</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f t="shared" si="1"/>
        <v>0</v>
      </c>
      <c r="L54" s="49" t="s">
        <v>255</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f t="shared" si="1"/>
        <v>0</v>
      </c>
      <c r="L55" s="49" t="s">
        <v>255</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f t="shared" si="1"/>
        <v>0</v>
      </c>
      <c r="L56" s="49" t="s">
        <v>255</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f t="shared" si="1"/>
        <v>0</v>
      </c>
      <c r="L57" s="49" t="s">
        <v>255</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f t="shared" si="1"/>
        <v>0</v>
      </c>
      <c r="L58" s="49" t="s">
        <v>255</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f t="shared" si="1"/>
        <v>0</v>
      </c>
      <c r="L59" s="49" t="s">
        <v>255</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f t="shared" si="1"/>
        <v>0</v>
      </c>
      <c r="L60" s="49" t="s">
        <v>255</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f t="shared" si="1"/>
        <v>0</v>
      </c>
      <c r="L61" s="49" t="s">
        <v>255</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f t="shared" si="1"/>
        <v>0</v>
      </c>
      <c r="L62" s="49" t="s">
        <v>255</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f t="shared" si="1"/>
        <v>0</v>
      </c>
      <c r="L63" s="49" t="s">
        <v>255</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f t="shared" si="1"/>
        <v>0</v>
      </c>
      <c r="L64" s="49" t="s">
        <v>255</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255</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255</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255</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255</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255</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255</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255</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255</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255</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255</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255</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255</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255</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255</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255</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255</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255</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255</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255</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255</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255</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255</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255</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255</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255</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255</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255</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255</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255</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255</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255</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255</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255</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255</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255</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255</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255</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255</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255</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255</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255</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255</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255</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255</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255</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255</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255</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255</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255</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255</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255</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255</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255</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255</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255</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255</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255</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255</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255</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255</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255</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255</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255</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255</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255</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255</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255</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255</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255</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255</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255</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255</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255</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255</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255</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255</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255</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255</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255</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255</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255</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255</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255</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255</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255</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255</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255</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255</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255</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255</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255</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255</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255</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255</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255</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255</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255</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255</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255</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255</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255</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255</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255</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255</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255</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255</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255</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255</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255</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255</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255</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255</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255</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255</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255</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255</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255</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255</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255</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255</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255</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255</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255</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255</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255</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255</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255</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255</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255</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255</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255</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255</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255</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255</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255</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255</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255</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255</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255</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255</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255</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255</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255</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255</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255</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255</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255</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255</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255</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255</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255</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255</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255</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255</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255</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255</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255</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255</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255</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255</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255</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255</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255</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255</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255</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255</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255</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255</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255</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255</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255</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255</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255</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255</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255</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255</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255</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255</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255</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255</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255</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255</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255</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255</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255</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255</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255</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255</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255</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255</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255</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255</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255</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255</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255</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255</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255</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255</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255</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255</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255</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255</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255</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255</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255</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255</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255</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255</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255</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255</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255</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255</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255</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255</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255</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255</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255</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255</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255</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255</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255</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255</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255</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255</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255</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255</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255</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255</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255</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255</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255</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255</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255</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255</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255</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255</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255</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255</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255</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255</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255</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255</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255</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255</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255</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255</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255</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255</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255</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255</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255</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255</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255</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255</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255</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255</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255</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255</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255</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255</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255</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255</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255</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255</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255</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255</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255</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255</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255</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255</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255</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255</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255</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255</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255</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255</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255</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255</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255</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255</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255</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255</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255</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255</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255</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255</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255</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255</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255</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255</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255</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255</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255</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255</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255</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255</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255</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255</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255</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255</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255</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255</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255</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255</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255</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255</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255</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255</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255</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255</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255</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255</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255</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255</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255</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255</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255</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255</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255</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255</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255</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255</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255</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255</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255</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255</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255</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255</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255</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255</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255</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255</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255</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255</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255</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255</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255</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255</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255</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255</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255</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255</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255</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255</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255</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255</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255</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255</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255</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255</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255</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255</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255</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255</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255</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255</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255</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255</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255</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255</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255</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255</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255</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255</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255</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255</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255</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255</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255</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255</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255</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255</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255</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255</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255</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255</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255</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255</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255</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255</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255</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255</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255</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255</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255</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255</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255</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255</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255</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255</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255</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255</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255</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255</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255</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255</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255</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255</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255</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255</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255</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255</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255</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255</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255</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255</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255</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255</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255</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255</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255</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255</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255</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255</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255</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255</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255</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255</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255</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255</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255</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255</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255</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255</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255</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255</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255</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255</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255</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255</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255</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255</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255</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255</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255</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255</v>
      </c>
      <c r="M533" s="49"/>
      <c r="N533" s="49"/>
      <c r="O533" s="49"/>
      <c r="P533" s="49"/>
      <c r="Q533" s="49"/>
      <c r="R533" s="49"/>
      <c r="S533" s="49"/>
      <c r="T533" s="49"/>
    </row>
    <row r="534">
      <c r="A534" s="49"/>
      <c r="B534" s="49"/>
      <c r="C534" s="51"/>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255</v>
      </c>
      <c r="M534" s="49"/>
      <c r="N534" s="49"/>
      <c r="O534" s="49"/>
      <c r="P534" s="49"/>
      <c r="Q534" s="49"/>
      <c r="R534" s="49"/>
      <c r="S534" s="49"/>
      <c r="T534" s="49"/>
    </row>
    <row r="535">
      <c r="A535" s="49"/>
      <c r="B535" s="49"/>
      <c r="C535" s="51"/>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255</v>
      </c>
      <c r="M535" s="49"/>
      <c r="N535" s="49"/>
      <c r="O535" s="49"/>
      <c r="P535" s="49"/>
      <c r="Q535" s="49"/>
      <c r="R535" s="49"/>
      <c r="S535" s="49"/>
      <c r="T535" s="49"/>
    </row>
    <row r="536">
      <c r="A536" s="49"/>
      <c r="B536" s="49"/>
      <c r="C536" s="51"/>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255</v>
      </c>
      <c r="M536" s="49"/>
      <c r="N536" s="49"/>
      <c r="O536" s="49"/>
      <c r="P536" s="49"/>
      <c r="Q536" s="49"/>
      <c r="R536" s="49"/>
      <c r="S536" s="49"/>
      <c r="T536" s="49"/>
    </row>
    <row r="537">
      <c r="A537" s="49"/>
      <c r="B537" s="49"/>
      <c r="C537" s="51"/>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255</v>
      </c>
      <c r="M537" s="49"/>
      <c r="N537" s="49"/>
      <c r="O537" s="49"/>
      <c r="P537" s="49"/>
      <c r="Q537" s="49"/>
      <c r="R537" s="49"/>
      <c r="S537" s="49"/>
      <c r="T537" s="49"/>
    </row>
    <row r="538">
      <c r="A538" s="49"/>
      <c r="B538" s="49"/>
      <c r="C538" s="51"/>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255</v>
      </c>
      <c r="M538" s="49"/>
      <c r="N538" s="49"/>
      <c r="O538" s="49"/>
      <c r="P538" s="49"/>
      <c r="Q538" s="49"/>
      <c r="R538" s="49"/>
      <c r="S538" s="49"/>
      <c r="T538" s="49"/>
    </row>
    <row r="539">
      <c r="A539" s="49"/>
      <c r="B539" s="49"/>
      <c r="C539" s="51"/>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255</v>
      </c>
      <c r="M539" s="49"/>
      <c r="N539" s="49"/>
      <c r="O539" s="49"/>
      <c r="P539" s="49"/>
      <c r="Q539" s="49"/>
      <c r="R539" s="49"/>
      <c r="S539" s="49"/>
      <c r="T539" s="49"/>
    </row>
    <row r="540">
      <c r="A540" s="49"/>
      <c r="B540" s="49"/>
      <c r="C540" s="51"/>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255</v>
      </c>
      <c r="M540" s="49"/>
      <c r="N540" s="49"/>
      <c r="O540" s="49"/>
      <c r="P540" s="49"/>
      <c r="Q540" s="49"/>
      <c r="R540" s="49"/>
      <c r="S540" s="49"/>
      <c r="T540" s="49"/>
    </row>
    <row r="541">
      <c r="A541" s="49"/>
      <c r="B541" s="49"/>
      <c r="C541" s="51"/>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255</v>
      </c>
      <c r="M541" s="49"/>
      <c r="N541" s="49"/>
      <c r="O541" s="49"/>
      <c r="P541" s="49"/>
      <c r="Q541" s="49"/>
      <c r="R541" s="49"/>
      <c r="S541" s="49"/>
      <c r="T541" s="49"/>
    </row>
    <row r="542">
      <c r="A542" s="49"/>
      <c r="B542" s="49"/>
      <c r="C542" s="51"/>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255</v>
      </c>
      <c r="M542" s="49"/>
      <c r="N542" s="49"/>
      <c r="O542" s="49"/>
      <c r="P542" s="49"/>
      <c r="Q542" s="49"/>
      <c r="R542" s="49"/>
      <c r="S542" s="49"/>
      <c r="T542" s="49"/>
    </row>
    <row r="543">
      <c r="A543" s="49"/>
      <c r="B543" s="49"/>
      <c r="C543" s="51"/>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255</v>
      </c>
      <c r="M543" s="49"/>
      <c r="N543" s="49"/>
      <c r="O543" s="49"/>
      <c r="P543" s="49"/>
      <c r="Q543" s="49"/>
      <c r="R543" s="49"/>
      <c r="S543" s="49"/>
      <c r="T543" s="49"/>
    </row>
    <row r="544">
      <c r="A544" s="49"/>
      <c r="B544" s="49"/>
      <c r="C544" s="51"/>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255</v>
      </c>
      <c r="M544" s="49"/>
      <c r="N544" s="49"/>
      <c r="O544" s="49"/>
      <c r="P544" s="49"/>
      <c r="Q544" s="49"/>
      <c r="R544" s="49"/>
      <c r="S544" s="49"/>
      <c r="T544" s="49"/>
    </row>
    <row r="545">
      <c r="A545" s="49"/>
      <c r="B545" s="49"/>
      <c r="C545" s="51"/>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255</v>
      </c>
      <c r="M545" s="49"/>
      <c r="N545" s="49"/>
      <c r="O545" s="49"/>
      <c r="P545" s="49"/>
      <c r="Q545" s="49"/>
      <c r="R545" s="49"/>
      <c r="S545" s="49"/>
      <c r="T545" s="49"/>
    </row>
    <row r="546">
      <c r="A546" s="49"/>
      <c r="B546" s="49"/>
      <c r="C546" s="51"/>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255</v>
      </c>
      <c r="M546" s="49"/>
      <c r="N546" s="49"/>
      <c r="O546" s="49"/>
      <c r="P546" s="49"/>
      <c r="Q546" s="49"/>
      <c r="R546" s="49"/>
      <c r="S546" s="49"/>
      <c r="T546" s="49"/>
    </row>
    <row r="547">
      <c r="A547" s="49"/>
      <c r="B547" s="49"/>
      <c r="C547" s="51"/>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255</v>
      </c>
      <c r="M547" s="49"/>
      <c r="N547" s="49"/>
      <c r="O547" s="49"/>
      <c r="P547" s="49"/>
      <c r="Q547" s="49"/>
      <c r="R547" s="49"/>
      <c r="S547" s="49"/>
      <c r="T547" s="49"/>
    </row>
    <row r="548">
      <c r="A548" s="49"/>
      <c r="B548" s="49"/>
      <c r="C548" s="51"/>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255</v>
      </c>
      <c r="M548" s="49"/>
      <c r="N548" s="49"/>
      <c r="O548" s="49"/>
      <c r="P548" s="49"/>
      <c r="Q548" s="49"/>
      <c r="R548" s="49"/>
      <c r="S548" s="49"/>
      <c r="T548" s="49"/>
    </row>
    <row r="549">
      <c r="A549" s="49"/>
      <c r="B549" s="49"/>
      <c r="C549" s="51"/>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255</v>
      </c>
      <c r="M549" s="49"/>
      <c r="N549" s="49"/>
      <c r="O549" s="49"/>
      <c r="P549" s="49"/>
      <c r="Q549" s="49"/>
      <c r="R549" s="49"/>
      <c r="S549" s="49"/>
      <c r="T549" s="49"/>
    </row>
    <row r="550">
      <c r="A550" s="49"/>
      <c r="B550" s="49"/>
      <c r="C550" s="51"/>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255</v>
      </c>
      <c r="M550" s="49"/>
      <c r="N550" s="49"/>
      <c r="O550" s="49"/>
      <c r="P550" s="49"/>
      <c r="Q550" s="49"/>
      <c r="R550" s="49"/>
      <c r="S550" s="49"/>
      <c r="T550" s="49"/>
    </row>
    <row r="551">
      <c r="A551" s="49"/>
      <c r="B551" s="49"/>
      <c r="C551" s="51"/>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255</v>
      </c>
      <c r="M551" s="49"/>
      <c r="N551" s="49"/>
      <c r="O551" s="49"/>
      <c r="P551" s="49"/>
      <c r="Q551" s="49"/>
      <c r="R551" s="49"/>
      <c r="S551" s="49"/>
      <c r="T551" s="49"/>
    </row>
    <row r="552">
      <c r="A552" s="49"/>
      <c r="B552" s="49"/>
      <c r="C552" s="51"/>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255</v>
      </c>
      <c r="M552" s="49"/>
      <c r="N552" s="49"/>
      <c r="O552" s="49"/>
      <c r="P552" s="49"/>
      <c r="Q552" s="49"/>
      <c r="R552" s="49"/>
      <c r="S552" s="49"/>
      <c r="T552" s="49"/>
    </row>
    <row r="553">
      <c r="A553" s="49"/>
      <c r="B553" s="49"/>
      <c r="C553" s="51"/>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255</v>
      </c>
      <c r="M553" s="49"/>
      <c r="N553" s="49"/>
      <c r="O553" s="49"/>
      <c r="P553" s="49"/>
      <c r="Q553" s="49"/>
      <c r="R553" s="49"/>
      <c r="S553" s="49"/>
      <c r="T553" s="49"/>
    </row>
    <row r="554">
      <c r="A554" s="49"/>
      <c r="B554" s="49"/>
      <c r="C554" s="51"/>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255</v>
      </c>
      <c r="M554" s="49"/>
      <c r="N554" s="49"/>
      <c r="O554" s="49"/>
      <c r="P554" s="49"/>
      <c r="Q554" s="49"/>
      <c r="R554" s="49"/>
      <c r="S554" s="49"/>
      <c r="T554" s="49"/>
    </row>
    <row r="555">
      <c r="A555" s="49"/>
      <c r="B555" s="49"/>
      <c r="C555" s="51"/>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255</v>
      </c>
      <c r="M555" s="49"/>
      <c r="N555" s="49"/>
      <c r="O555" s="49"/>
      <c r="P555" s="49"/>
      <c r="Q555" s="49"/>
      <c r="R555" s="49"/>
      <c r="S555" s="49"/>
      <c r="T555" s="49"/>
    </row>
    <row r="556">
      <c r="A556" s="49"/>
      <c r="B556" s="49"/>
      <c r="C556" s="51"/>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255</v>
      </c>
      <c r="M556" s="49"/>
      <c r="N556" s="49"/>
      <c r="O556" s="49"/>
      <c r="P556" s="49"/>
      <c r="Q556" s="49"/>
      <c r="R556" s="49"/>
      <c r="S556" s="49"/>
      <c r="T556" s="49"/>
    </row>
    <row r="557">
      <c r="A557" s="49"/>
      <c r="B557" s="49"/>
      <c r="C557" s="51"/>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255</v>
      </c>
      <c r="M557" s="49"/>
      <c r="N557" s="49"/>
      <c r="O557" s="49"/>
      <c r="P557" s="49"/>
      <c r="Q557" s="49"/>
      <c r="R557" s="49"/>
      <c r="S557" s="49"/>
      <c r="T557" s="49"/>
    </row>
    <row r="558">
      <c r="A558" s="49"/>
      <c r="B558" s="49"/>
      <c r="C558" s="51"/>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255</v>
      </c>
      <c r="M558" s="49"/>
      <c r="N558" s="49"/>
      <c r="O558" s="49"/>
      <c r="P558" s="49"/>
      <c r="Q558" s="49"/>
      <c r="R558" s="49"/>
      <c r="S558" s="49"/>
      <c r="T558" s="49"/>
    </row>
    <row r="559">
      <c r="A559" s="49"/>
      <c r="B559" s="49"/>
      <c r="C559" s="51"/>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255</v>
      </c>
      <c r="M559" s="49"/>
      <c r="N559" s="49"/>
      <c r="O559" s="49"/>
      <c r="P559" s="49"/>
      <c r="Q559" s="49"/>
      <c r="R559" s="49"/>
      <c r="S559" s="49"/>
      <c r="T559" s="49"/>
    </row>
    <row r="560">
      <c r="A560" s="49"/>
      <c r="B560" s="49"/>
      <c r="C560" s="51"/>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255</v>
      </c>
      <c r="M560" s="49"/>
      <c r="N560" s="49"/>
      <c r="O560" s="49"/>
      <c r="P560" s="49"/>
      <c r="Q560" s="49"/>
      <c r="R560" s="49"/>
      <c r="S560" s="49"/>
      <c r="T560" s="49"/>
    </row>
    <row r="561">
      <c r="A561" s="49"/>
      <c r="B561" s="49"/>
      <c r="C561" s="51"/>
      <c r="D561" s="49"/>
      <c r="E561" s="49"/>
      <c r="F561" s="49"/>
      <c r="G561" s="49" t="str">
        <f>IFERROR(__xludf.DUMMYFUNCTION("""COMPUTED_VALUE"""),"#VALUE!")</f>
        <v>#VALUE!</v>
      </c>
      <c r="H561" s="49" t="str">
        <f>IFERROR(__xludf.DUMMYFUNCTION("""COMPUTED_VALUE"""),"")</f>
        <v/>
      </c>
      <c r="I561" s="49" t="str">
        <f>IFERROR(__xludf.DUMMYFUNCTION("""COMPUTED_VALUE"""),"#VALUE!")</f>
        <v>#VALUE!</v>
      </c>
      <c r="J561" s="49" t="str">
        <f>IFERROR(__xludf.DUMMYFUNCTION("""COMPUTED_VALUE"""),"")</f>
        <v/>
      </c>
      <c r="K561" s="49"/>
      <c r="L561" s="49" t="s">
        <v>255</v>
      </c>
      <c r="M561" s="49"/>
      <c r="N561" s="49"/>
      <c r="O561" s="49"/>
      <c r="P561" s="49"/>
      <c r="Q561" s="49"/>
      <c r="R561" s="49"/>
      <c r="S561" s="49"/>
      <c r="T561" s="49"/>
    </row>
    <row r="562">
      <c r="A562" s="49"/>
      <c r="B562" s="49"/>
      <c r="C562" s="51"/>
      <c r="D562" s="49"/>
      <c r="E562" s="49"/>
      <c r="F562" s="49"/>
      <c r="G562" s="49" t="str">
        <f>IFERROR(__xludf.DUMMYFUNCTION("""COMPUTED_VALUE"""),"#VALUE!")</f>
        <v>#VALUE!</v>
      </c>
      <c r="H562" s="49" t="str">
        <f>IFERROR(__xludf.DUMMYFUNCTION("""COMPUTED_VALUE"""),"")</f>
        <v/>
      </c>
      <c r="I562" s="49" t="str">
        <f>IFERROR(__xludf.DUMMYFUNCTION("""COMPUTED_VALUE"""),"#VALUE!")</f>
        <v>#VALUE!</v>
      </c>
      <c r="J562" s="49" t="str">
        <f>IFERROR(__xludf.DUMMYFUNCTION("""COMPUTED_VALUE"""),"")</f>
        <v/>
      </c>
      <c r="K562" s="49"/>
      <c r="L562" s="49" t="s">
        <v>255</v>
      </c>
      <c r="M562" s="49"/>
      <c r="N562" s="49"/>
      <c r="O562" s="49"/>
      <c r="P562" s="49"/>
      <c r="Q562" s="49"/>
      <c r="R562" s="49"/>
      <c r="S562" s="49"/>
      <c r="T562" s="49"/>
    </row>
    <row r="563">
      <c r="A563" s="49"/>
      <c r="B563" s="49"/>
      <c r="C563" s="51"/>
      <c r="D563" s="49"/>
      <c r="E563" s="49"/>
      <c r="F563" s="49"/>
      <c r="G563" s="49" t="str">
        <f>IFERROR(__xludf.DUMMYFUNCTION("""COMPUTED_VALUE"""),"#VALUE!")</f>
        <v>#VALUE!</v>
      </c>
      <c r="H563" s="49" t="str">
        <f>IFERROR(__xludf.DUMMYFUNCTION("""COMPUTED_VALUE"""),"")</f>
        <v/>
      </c>
      <c r="I563" s="49" t="str">
        <f>IFERROR(__xludf.DUMMYFUNCTION("""COMPUTED_VALUE"""),"#VALUE!")</f>
        <v>#VALUE!</v>
      </c>
      <c r="J563" s="49" t="str">
        <f>IFERROR(__xludf.DUMMYFUNCTION("""COMPUTED_VALUE"""),"")</f>
        <v/>
      </c>
      <c r="K563" s="49"/>
      <c r="L563" s="49" t="s">
        <v>255</v>
      </c>
      <c r="M563" s="49"/>
      <c r="N563" s="49"/>
      <c r="O563" s="49"/>
      <c r="P563" s="49"/>
      <c r="Q563" s="49"/>
      <c r="R563" s="49"/>
      <c r="S563" s="49"/>
      <c r="T563" s="49"/>
    </row>
    <row r="564">
      <c r="A564" s="49"/>
      <c r="B564" s="49"/>
      <c r="C564" s="51"/>
      <c r="D564" s="49"/>
      <c r="E564" s="49"/>
      <c r="F564" s="49"/>
      <c r="G564" s="49" t="str">
        <f>IFERROR(__xludf.DUMMYFUNCTION("""COMPUTED_VALUE"""),"#VALUE!")</f>
        <v>#VALUE!</v>
      </c>
      <c r="H564" s="49" t="str">
        <f>IFERROR(__xludf.DUMMYFUNCTION("""COMPUTED_VALUE"""),"")</f>
        <v/>
      </c>
      <c r="I564" s="49" t="str">
        <f>IFERROR(__xludf.DUMMYFUNCTION("""COMPUTED_VALUE"""),"#VALUE!")</f>
        <v>#VALUE!</v>
      </c>
      <c r="J564" s="49" t="str">
        <f>IFERROR(__xludf.DUMMYFUNCTION("""COMPUTED_VALUE"""),"")</f>
        <v/>
      </c>
      <c r="K564" s="49"/>
      <c r="L564" s="49" t="s">
        <v>255</v>
      </c>
      <c r="M564" s="49"/>
      <c r="N564" s="49"/>
      <c r="O564" s="49"/>
      <c r="P564" s="49"/>
      <c r="Q564" s="49"/>
      <c r="R564" s="49"/>
      <c r="S564" s="49"/>
      <c r="T564" s="49"/>
    </row>
    <row r="565">
      <c r="A565" s="49"/>
      <c r="B565" s="49"/>
      <c r="C565" s="51"/>
      <c r="D565" s="49"/>
      <c r="E565" s="49"/>
      <c r="F565" s="49"/>
      <c r="G565" s="49" t="str">
        <f>IFERROR(__xludf.DUMMYFUNCTION("""COMPUTED_VALUE"""),"#VALUE!")</f>
        <v>#VALUE!</v>
      </c>
      <c r="H565" s="49" t="str">
        <f>IFERROR(__xludf.DUMMYFUNCTION("""COMPUTED_VALUE"""),"")</f>
        <v/>
      </c>
      <c r="I565" s="49" t="str">
        <f>IFERROR(__xludf.DUMMYFUNCTION("""COMPUTED_VALUE"""),"#VALUE!")</f>
        <v>#VALUE!</v>
      </c>
      <c r="J565" s="49" t="str">
        <f>IFERROR(__xludf.DUMMYFUNCTION("""COMPUTED_VALUE"""),"")</f>
        <v/>
      </c>
      <c r="K565" s="49"/>
      <c r="L565" s="49" t="s">
        <v>255</v>
      </c>
      <c r="M565" s="49"/>
      <c r="N565" s="49"/>
      <c r="O565" s="49"/>
      <c r="P565" s="49"/>
      <c r="Q565" s="49"/>
      <c r="R565" s="49"/>
      <c r="S565" s="49"/>
      <c r="T565" s="49"/>
    </row>
  </sheetData>
  <conditionalFormatting sqref="O2:O48">
    <cfRule type="containsText" dxfId="4" priority="1" operator="containsText" text="YES">
      <formula>NOT(ISERROR(SEARCH(("YES"),(O2))))</formula>
    </cfRule>
  </conditionalFormatting>
  <conditionalFormatting sqref="O2:O48">
    <cfRule type="cellIs" dxfId="5" priority="2" operator="equal">
      <formula>"NO"</formula>
    </cfRule>
  </conditionalFormatting>
  <conditionalFormatting sqref="P2:P48">
    <cfRule type="cellIs" dxfId="4" priority="3" operator="equal">
      <formula>"AVAILABLE"</formula>
    </cfRule>
  </conditionalFormatting>
  <conditionalFormatting sqref="P2:P48">
    <cfRule type="cellIs" dxfId="5" priority="4" operator="equal">
      <formula>"NOT AVAILABLE"</formula>
    </cfRule>
  </conditionalFormatting>
  <conditionalFormatting sqref="Q2:Q48">
    <cfRule type="cellIs" dxfId="4" priority="5" operator="equal">
      <formula>"AVAILABLE"</formula>
    </cfRule>
  </conditionalFormatting>
  <conditionalFormatting sqref="Q2:Q48">
    <cfRule type="cellIs" dxfId="6" priority="6" operator="equal">
      <formula>"UPLOADING"</formula>
    </cfRule>
  </conditionalFormatting>
  <conditionalFormatting sqref="Q2:Q48">
    <cfRule type="cellIs" dxfId="5" priority="7" operator="equal">
      <formula>"NOT AVAILABLE"</formula>
    </cfRule>
  </conditionalFormatting>
  <dataValidations>
    <dataValidation type="list" allowBlank="1" sqref="O2:O48">
      <formula1>"YES,NO"</formula1>
    </dataValidation>
    <dataValidation type="list" allowBlank="1" sqref="P2:P48">
      <formula1>"AVAILABLE,NOT AVAILABLE"</formula1>
    </dataValidation>
    <dataValidation type="list" allowBlank="1" sqref="Q2:Q48">
      <formula1>"AVAILABLE,UPLOADING,NOT AVAILABLE"</formula1>
    </dataValidation>
  </dataValidations>
  <drawing r:id="rId1"/>
  <tableParts count="1">
    <tablePart r:id="rId3"/>
  </tableParts>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14"/>
    <col customWidth="1" min="3" max="3" width="19.86"/>
    <col hidden="1" min="4" max="5" width="14.43"/>
    <col customWidth="1" min="6" max="6" width="37.57"/>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'Startup University' ORDER BY F"")"),"Opening remarks ")</f>
        <v>Opening remarks </v>
      </c>
      <c r="B2" s="49" t="str">
        <f>IFERROR(__xludf.DUMMYFUNCTION("""COMPUTED_VALUE"""),"Startup University")</f>
        <v>Startup University</v>
      </c>
      <c r="C2" s="51" t="str">
        <f>IFERROR(__xludf.DUMMYFUNCTION("""COMPUTED_VALUE"""),"Noel Toolan")</f>
        <v>Noel Toolan</v>
      </c>
      <c r="D2" s="49" t="str">
        <f>IFERROR(__xludf.DUMMYFUNCTION("""COMPUTED_VALUE"""),"2019/11/05 10:15:00")</f>
        <v>2019/11/05 10:15:00</v>
      </c>
      <c r="E2" s="49" t="str">
        <f>IFERROR(__xludf.DUMMYFUNCTION("""COMPUTED_VALUE"""),"2019/11/05 10:30:00")</f>
        <v>2019/11/05 10:30:00</v>
      </c>
      <c r="F2" s="49" t="str">
        <f>IFERROR(__xludf.DUMMYFUNCTION("""COMPUTED_VALUE"""),"d02fc0ee-1086-409c-8759-6f28e208c52a")</f>
        <v>d02fc0ee-1086-409c-8759-6f28e208c52a</v>
      </c>
      <c r="G2" s="54">
        <f>IFERROR(__xludf.DUMMYFUNCTION("ARRAYFORMULA(SPLIT(D2:D545,"" ""))"),43774.0)</f>
        <v>43774</v>
      </c>
      <c r="H2" s="53">
        <f>IFERROR(__xludf.DUMMYFUNCTION("""COMPUTED_VALUE"""),0.4270833333333333)</f>
        <v>0.4270833333</v>
      </c>
      <c r="I2" s="54">
        <f>IFERROR(__xludf.DUMMYFUNCTION("ARRAYFORMULA(SPLIT(E2:E545,"" ""))"),43774.0)</f>
        <v>43774</v>
      </c>
      <c r="J2" s="53">
        <f>IFERROR(__xludf.DUMMYFUNCTION("""COMPUTED_VALUE"""),0.4375)</f>
        <v>0.4375</v>
      </c>
      <c r="K2" s="53">
        <f t="shared" ref="K2:K44" si="1">J2-H2</f>
        <v>0.01041666667</v>
      </c>
      <c r="L2" s="50" t="str">
        <f t="array" ref="L2:L545">TEXT(K2:K545,"hhmmss")</f>
        <v>001500</v>
      </c>
      <c r="M2" s="62" t="s">
        <v>645</v>
      </c>
      <c r="N2" s="62" t="str">
        <f t="shared" ref="N2:N33" si="2">CONCATENATE(M2,"_",F2,"_","000000_000000.mp4")</f>
        <v>SU_5_1_d02fc0ee-1086-409c-8759-6f28e208c52a_000000_000000.mp4</v>
      </c>
      <c r="O2" s="48"/>
      <c r="P2" s="48"/>
      <c r="Q2" s="63"/>
      <c r="R2" s="49"/>
      <c r="S2" s="49"/>
      <c r="T2" s="49"/>
    </row>
    <row r="3">
      <c r="A3" s="49" t="str">
        <f>IFERROR(__xludf.DUMMYFUNCTION("""COMPUTED_VALUE"""),"Negotiate your way to the top ")</f>
        <v>Negotiate your way to the top </v>
      </c>
      <c r="B3" s="49" t="str">
        <f>IFERROR(__xludf.DUMMYFUNCTION("""COMPUTED_VALUE"""),"Startup University")</f>
        <v>Startup University</v>
      </c>
      <c r="C3" s="51" t="str">
        <f>IFERROR(__xludf.DUMMYFUNCTION("""COMPUTED_VALUE"""),"Keaton Keller, Michelle Zatlyn and Jared Lindzon")</f>
        <v>Keaton Keller, Michelle Zatlyn and Jared Lindzon</v>
      </c>
      <c r="D3" s="49" t="str">
        <f>IFERROR(__xludf.DUMMYFUNCTION("""COMPUTED_VALUE"""),"2019/11/05 10:30:00")</f>
        <v>2019/11/05 10:30:00</v>
      </c>
      <c r="E3" s="49" t="str">
        <f>IFERROR(__xludf.DUMMYFUNCTION("""COMPUTED_VALUE"""),"2019/11/05 10:50:00")</f>
        <v>2019/11/05 10:50:00</v>
      </c>
      <c r="F3" s="49" t="str">
        <f>IFERROR(__xludf.DUMMYFUNCTION("""COMPUTED_VALUE"""),"6609422e-43c8-47a4-b67e-5d1f99a3ee06")</f>
        <v>6609422e-43c8-47a4-b67e-5d1f99a3ee06</v>
      </c>
      <c r="G3" s="52">
        <f>IFERROR(__xludf.DUMMYFUNCTION("""COMPUTED_VALUE"""),43774.0)</f>
        <v>43774</v>
      </c>
      <c r="H3" s="53">
        <f>IFERROR(__xludf.DUMMYFUNCTION("""COMPUTED_VALUE"""),0.4375)</f>
        <v>0.4375</v>
      </c>
      <c r="I3" s="52">
        <f>IFERROR(__xludf.DUMMYFUNCTION("""COMPUTED_VALUE"""),43774.0)</f>
        <v>43774</v>
      </c>
      <c r="J3" s="53">
        <f>IFERROR(__xludf.DUMMYFUNCTION("""COMPUTED_VALUE"""),0.4513888888888889)</f>
        <v>0.4513888889</v>
      </c>
      <c r="K3" s="53">
        <f t="shared" si="1"/>
        <v>0.01388888889</v>
      </c>
      <c r="L3" s="49" t="s">
        <v>109</v>
      </c>
      <c r="M3" s="62" t="s">
        <v>647</v>
      </c>
      <c r="N3" s="62" t="str">
        <f t="shared" si="2"/>
        <v>SU_5_2_6609422e-43c8-47a4-b67e-5d1f99a3ee06_000000_000000.mp4</v>
      </c>
      <c r="O3" s="48"/>
      <c r="P3" s="48"/>
      <c r="Q3" s="63"/>
      <c r="R3" s="49"/>
      <c r="S3" s="49"/>
      <c r="T3" s="49"/>
    </row>
    <row r="4">
      <c r="A4" s="49" t="str">
        <f>IFERROR(__xludf.DUMMYFUNCTION("""COMPUTED_VALUE"""),"Competition: It's complicated ")</f>
        <v>Competition: It's complicated </v>
      </c>
      <c r="B4" s="49" t="str">
        <f>IFERROR(__xludf.DUMMYFUNCTION("""COMPUTED_VALUE"""),"Startup University")</f>
        <v>Startup University</v>
      </c>
      <c r="C4" s="51" t="str">
        <f>IFERROR(__xludf.DUMMYFUNCTION("""COMPUTED_VALUE"""),"Kristen Garcia Dumont")</f>
        <v>Kristen Garcia Dumont</v>
      </c>
      <c r="D4" s="49" t="str">
        <f>IFERROR(__xludf.DUMMYFUNCTION("""COMPUTED_VALUE"""),"2019/11/05 10:50:00")</f>
        <v>2019/11/05 10:50:00</v>
      </c>
      <c r="E4" s="49" t="str">
        <f>IFERROR(__xludf.DUMMYFUNCTION("""COMPUTED_VALUE"""),"2019/11/05 11:10:00")</f>
        <v>2019/11/05 11:10:00</v>
      </c>
      <c r="F4" s="49" t="str">
        <f>IFERROR(__xludf.DUMMYFUNCTION("""COMPUTED_VALUE"""),"938bc87e-f800-43dd-9587-397cd9aa7392")</f>
        <v>938bc87e-f800-43dd-9587-397cd9aa7392</v>
      </c>
      <c r="G4" s="52">
        <f>IFERROR(__xludf.DUMMYFUNCTION("""COMPUTED_VALUE"""),43774.0)</f>
        <v>43774</v>
      </c>
      <c r="H4" s="53">
        <f>IFERROR(__xludf.DUMMYFUNCTION("""COMPUTED_VALUE"""),0.4513888888888889)</f>
        <v>0.4513888889</v>
      </c>
      <c r="I4" s="52">
        <f>IFERROR(__xludf.DUMMYFUNCTION("""COMPUTED_VALUE"""),43774.0)</f>
        <v>43774</v>
      </c>
      <c r="J4" s="53">
        <f>IFERROR(__xludf.DUMMYFUNCTION("""COMPUTED_VALUE"""),0.4652777777777778)</f>
        <v>0.4652777778</v>
      </c>
      <c r="K4" s="53">
        <f t="shared" si="1"/>
        <v>0.01388888889</v>
      </c>
      <c r="L4" s="49" t="s">
        <v>109</v>
      </c>
      <c r="M4" s="62" t="s">
        <v>649</v>
      </c>
      <c r="N4" s="62" t="str">
        <f t="shared" si="2"/>
        <v>SU_5_3_938bc87e-f800-43dd-9587-397cd9aa7392_000000_000000.mp4</v>
      </c>
      <c r="O4" s="48"/>
      <c r="P4" s="48"/>
      <c r="Q4" s="63"/>
      <c r="R4" s="49"/>
      <c r="S4" s="49"/>
      <c r="T4" s="49"/>
    </row>
    <row r="5">
      <c r="A5" s="49" t="str">
        <f>IFERROR(__xludf.DUMMYFUNCTION("""COMPUTED_VALUE"""),"From 'What if' to 'Shazam that' ")</f>
        <v>From 'What if' to 'Shazam that' </v>
      </c>
      <c r="B5" s="49" t="str">
        <f>IFERROR(__xludf.DUMMYFUNCTION("""COMPUTED_VALUE"""),"Startup University")</f>
        <v>Startup University</v>
      </c>
      <c r="C5" s="51" t="str">
        <f>IFERROR(__xludf.DUMMYFUNCTION("""COMPUTED_VALUE"""),"Chris Barton")</f>
        <v>Chris Barton</v>
      </c>
      <c r="D5" s="49" t="str">
        <f>IFERROR(__xludf.DUMMYFUNCTION("""COMPUTED_VALUE"""),"2019/11/05 11:10:00")</f>
        <v>2019/11/05 11:10:00</v>
      </c>
      <c r="E5" s="49" t="str">
        <f>IFERROR(__xludf.DUMMYFUNCTION("""COMPUTED_VALUE"""),"2019/11/05 11:30:00")</f>
        <v>2019/11/05 11:30:00</v>
      </c>
      <c r="F5" s="49" t="str">
        <f>IFERROR(__xludf.DUMMYFUNCTION("""COMPUTED_VALUE"""),"2e3242c8-2539-40af-8a57-8b977efe0695")</f>
        <v>2e3242c8-2539-40af-8a57-8b977efe0695</v>
      </c>
      <c r="G5" s="52">
        <f>IFERROR(__xludf.DUMMYFUNCTION("""COMPUTED_VALUE"""),43774.0)</f>
        <v>43774</v>
      </c>
      <c r="H5" s="53">
        <f>IFERROR(__xludf.DUMMYFUNCTION("""COMPUTED_VALUE"""),0.4652777777777778)</f>
        <v>0.4652777778</v>
      </c>
      <c r="I5" s="52">
        <f>IFERROR(__xludf.DUMMYFUNCTION("""COMPUTED_VALUE"""),43774.0)</f>
        <v>43774</v>
      </c>
      <c r="J5" s="53">
        <f>IFERROR(__xludf.DUMMYFUNCTION("""COMPUTED_VALUE"""),0.4791666666666667)</f>
        <v>0.4791666667</v>
      </c>
      <c r="K5" s="53">
        <f t="shared" si="1"/>
        <v>0.01388888889</v>
      </c>
      <c r="L5" s="49" t="s">
        <v>109</v>
      </c>
      <c r="M5" s="62" t="s">
        <v>651</v>
      </c>
      <c r="N5" s="62" t="str">
        <f t="shared" si="2"/>
        <v>SU_5_4_2e3242c8-2539-40af-8a57-8b977efe0695_000000_000000.mp4</v>
      </c>
      <c r="O5" s="48"/>
      <c r="P5" s="48"/>
      <c r="Q5" s="63"/>
      <c r="R5" s="49"/>
      <c r="S5" s="49"/>
      <c r="T5" s="49"/>
    </row>
    <row r="6">
      <c r="A6" s="49" t="str">
        <f>IFERROR(__xludf.DUMMYFUNCTION("""COMPUTED_VALUE"""),"What they don't teach you at business school ")</f>
        <v>What they don't teach you at business school </v>
      </c>
      <c r="B6" s="49" t="str">
        <f>IFERROR(__xludf.DUMMYFUNCTION("""COMPUTED_VALUE"""),"Startup University")</f>
        <v>Startup University</v>
      </c>
      <c r="C6" s="51" t="str">
        <f>IFERROR(__xludf.DUMMYFUNCTION("""COMPUTED_VALUE""")," , Vasco Pedro, Carlos Moedas and Anne Gaviola")</f>
        <v> , Vasco Pedro, Carlos Moedas and Anne Gaviola</v>
      </c>
      <c r="D6" s="49" t="str">
        <f>IFERROR(__xludf.DUMMYFUNCTION("""COMPUTED_VALUE"""),"2019/11/05 11:30:00")</f>
        <v>2019/11/05 11:30:00</v>
      </c>
      <c r="E6" s="49" t="str">
        <f>IFERROR(__xludf.DUMMYFUNCTION("""COMPUTED_VALUE"""),"2019/11/05 11:55:00")</f>
        <v>2019/11/05 11:55:00</v>
      </c>
      <c r="F6" s="49" t="str">
        <f>IFERROR(__xludf.DUMMYFUNCTION("""COMPUTED_VALUE"""),"c947edbc-7a57-4f0a-ad5d-8f67dece348f")</f>
        <v>c947edbc-7a57-4f0a-ad5d-8f67dece348f</v>
      </c>
      <c r="G6" s="52">
        <f>IFERROR(__xludf.DUMMYFUNCTION("""COMPUTED_VALUE"""),43774.0)</f>
        <v>43774</v>
      </c>
      <c r="H6" s="53">
        <f>IFERROR(__xludf.DUMMYFUNCTION("""COMPUTED_VALUE"""),0.4791666666666667)</f>
        <v>0.4791666667</v>
      </c>
      <c r="I6" s="52">
        <f>IFERROR(__xludf.DUMMYFUNCTION("""COMPUTED_VALUE"""),43774.0)</f>
        <v>43774</v>
      </c>
      <c r="J6" s="53">
        <f>IFERROR(__xludf.DUMMYFUNCTION("""COMPUTED_VALUE"""),0.4965277777777778)</f>
        <v>0.4965277778</v>
      </c>
      <c r="K6" s="53">
        <f t="shared" si="1"/>
        <v>0.01736111111</v>
      </c>
      <c r="L6" s="49" t="s">
        <v>111</v>
      </c>
      <c r="M6" s="62" t="s">
        <v>653</v>
      </c>
      <c r="N6" s="62" t="str">
        <f t="shared" si="2"/>
        <v>SU_5_5_c947edbc-7a57-4f0a-ad5d-8f67dece348f_000000_000000.mp4</v>
      </c>
      <c r="O6" s="48"/>
      <c r="P6" s="48"/>
      <c r="Q6" s="63"/>
      <c r="R6" s="49"/>
      <c r="S6" s="49"/>
      <c r="T6" s="49"/>
    </row>
    <row r="7">
      <c r="A7" s="49" t="str">
        <f>IFERROR(__xludf.DUMMYFUNCTION("""COMPUTED_VALUE"""),"From zero to global: A super-scaling story ")</f>
        <v>From zero to global: A super-scaling story </v>
      </c>
      <c r="B7" s="49" t="str">
        <f>IFERROR(__xludf.DUMMYFUNCTION("""COMPUTED_VALUE"""),"Startup University")</f>
        <v>Startup University</v>
      </c>
      <c r="C7" s="51" t="str">
        <f>IFERROR(__xludf.DUMMYFUNCTION("""COMPUTED_VALUE"""),"Juan Pablo Ortega, Emilio Garcia - Ruiz and Jeremy Kahn")</f>
        <v>Juan Pablo Ortega, Emilio Garcia - Ruiz and Jeremy Kahn</v>
      </c>
      <c r="D7" s="49" t="str">
        <f>IFERROR(__xludf.DUMMYFUNCTION("""COMPUTED_VALUE"""),"2019/11/05 11:55:00")</f>
        <v>2019/11/05 11:55:00</v>
      </c>
      <c r="E7" s="49" t="str">
        <f>IFERROR(__xludf.DUMMYFUNCTION("""COMPUTED_VALUE"""),"2019/11/05 12:20:00")</f>
        <v>2019/11/05 12:20:00</v>
      </c>
      <c r="F7" s="49" t="str">
        <f>IFERROR(__xludf.DUMMYFUNCTION("""COMPUTED_VALUE"""),"4046ae23-4247-4fe8-8f0b-b610a0fcc31c")</f>
        <v>4046ae23-4247-4fe8-8f0b-b610a0fcc31c</v>
      </c>
      <c r="G7" s="52">
        <f>IFERROR(__xludf.DUMMYFUNCTION("""COMPUTED_VALUE"""),43774.0)</f>
        <v>43774</v>
      </c>
      <c r="H7" s="53">
        <f>IFERROR(__xludf.DUMMYFUNCTION("""COMPUTED_VALUE"""),0.4965277777777778)</f>
        <v>0.4965277778</v>
      </c>
      <c r="I7" s="52">
        <f>IFERROR(__xludf.DUMMYFUNCTION("""COMPUTED_VALUE"""),43774.0)</f>
        <v>43774</v>
      </c>
      <c r="J7" s="53">
        <f>IFERROR(__xludf.DUMMYFUNCTION("""COMPUTED_VALUE"""),0.5138888888888888)</f>
        <v>0.5138888889</v>
      </c>
      <c r="K7" s="53">
        <f t="shared" si="1"/>
        <v>0.01736111111</v>
      </c>
      <c r="L7" s="49" t="s">
        <v>111</v>
      </c>
      <c r="M7" s="62" t="s">
        <v>655</v>
      </c>
      <c r="N7" s="62" t="str">
        <f t="shared" si="2"/>
        <v>SU_5_6_4046ae23-4247-4fe8-8f0b-b610a0fcc31c_000000_000000.mp4</v>
      </c>
      <c r="O7" s="48"/>
      <c r="P7" s="48"/>
      <c r="Q7" s="63"/>
      <c r="R7" s="49"/>
      <c r="S7" s="49"/>
      <c r="T7" s="49"/>
    </row>
    <row r="8">
      <c r="A8" s="49" t="str">
        <f>IFERROR(__xludf.DUMMYFUNCTION("""COMPUTED_VALUE"""),"Majority world report 2019")</f>
        <v>Majority world report 2019</v>
      </c>
      <c r="B8" s="49" t="str">
        <f>IFERROR(__xludf.DUMMYFUNCTION("""COMPUTED_VALUE"""),"Startup University")</f>
        <v>Startup University</v>
      </c>
      <c r="C8" s="51" t="str">
        <f>IFERROR(__xludf.DUMMYFUNCTION("""COMPUTED_VALUE"""),"Saul Klein")</f>
        <v>Saul Klein</v>
      </c>
      <c r="D8" s="49" t="str">
        <f>IFERROR(__xludf.DUMMYFUNCTION("""COMPUTED_VALUE"""),"2019/11/05 12:20:00")</f>
        <v>2019/11/05 12:20:00</v>
      </c>
      <c r="E8" s="49" t="str">
        <f>IFERROR(__xludf.DUMMYFUNCTION("""COMPUTED_VALUE"""),"2019/11/05 12:40:00")</f>
        <v>2019/11/05 12:40:00</v>
      </c>
      <c r="F8" s="49" t="str">
        <f>IFERROR(__xludf.DUMMYFUNCTION("""COMPUTED_VALUE"""),"6461ef29-06a4-405c-adf8-7a4c5dd298f4")</f>
        <v>6461ef29-06a4-405c-adf8-7a4c5dd298f4</v>
      </c>
      <c r="G8" s="52">
        <f>IFERROR(__xludf.DUMMYFUNCTION("""COMPUTED_VALUE"""),43774.0)</f>
        <v>43774</v>
      </c>
      <c r="H8" s="53">
        <f>IFERROR(__xludf.DUMMYFUNCTION("""COMPUTED_VALUE"""),0.5138888888888888)</f>
        <v>0.5138888889</v>
      </c>
      <c r="I8" s="52">
        <f>IFERROR(__xludf.DUMMYFUNCTION("""COMPUTED_VALUE"""),43774.0)</f>
        <v>43774</v>
      </c>
      <c r="J8" s="53">
        <f>IFERROR(__xludf.DUMMYFUNCTION("""COMPUTED_VALUE"""),0.5277777777777778)</f>
        <v>0.5277777778</v>
      </c>
      <c r="K8" s="53">
        <f t="shared" si="1"/>
        <v>0.01388888889</v>
      </c>
      <c r="L8" s="49" t="s">
        <v>109</v>
      </c>
      <c r="M8" s="62" t="s">
        <v>657</v>
      </c>
      <c r="N8" s="62" t="str">
        <f t="shared" si="2"/>
        <v>SU_5_7_6461ef29-06a4-405c-adf8-7a4c5dd298f4_000000_000000.mp4</v>
      </c>
      <c r="O8" s="48"/>
      <c r="P8" s="48"/>
      <c r="Q8" s="63"/>
      <c r="R8" s="49"/>
      <c r="S8" s="49"/>
      <c r="T8" s="49"/>
    </row>
    <row r="9">
      <c r="A9" s="49" t="str">
        <f>IFERROR(__xludf.DUMMYFUNCTION("""COMPUTED_VALUE"""),"Innovating at scale ")</f>
        <v>Innovating at scale </v>
      </c>
      <c r="B9" s="49" t="str">
        <f>IFERROR(__xludf.DUMMYFUNCTION("""COMPUTED_VALUE"""),"Startup University")</f>
        <v>Startup University</v>
      </c>
      <c r="C9" s="51" t="str">
        <f>IFERROR(__xludf.DUMMYFUNCTION("""COMPUTED_VALUE"""),"Gillian Tans and Elizabeth Schulze")</f>
        <v>Gillian Tans and Elizabeth Schulze</v>
      </c>
      <c r="D9" s="49" t="str">
        <f>IFERROR(__xludf.DUMMYFUNCTION("""COMPUTED_VALUE"""),"2019/11/05 12:40:00")</f>
        <v>2019/11/05 12:40:00</v>
      </c>
      <c r="E9" s="49" t="str">
        <f>IFERROR(__xludf.DUMMYFUNCTION("""COMPUTED_VALUE"""),"2019/11/05 13:00:00")</f>
        <v>2019/11/05 13:00:00</v>
      </c>
      <c r="F9" s="49" t="str">
        <f>IFERROR(__xludf.DUMMYFUNCTION("""COMPUTED_VALUE"""),"682be20c-3601-4e01-af1a-1e88e61aab04")</f>
        <v>682be20c-3601-4e01-af1a-1e88e61aab04</v>
      </c>
      <c r="G9" s="52">
        <f>IFERROR(__xludf.DUMMYFUNCTION("""COMPUTED_VALUE"""),43774.0)</f>
        <v>43774</v>
      </c>
      <c r="H9" s="53">
        <f>IFERROR(__xludf.DUMMYFUNCTION("""COMPUTED_VALUE"""),0.5277777777777778)</f>
        <v>0.5277777778</v>
      </c>
      <c r="I9" s="52">
        <f>IFERROR(__xludf.DUMMYFUNCTION("""COMPUTED_VALUE"""),43774.0)</f>
        <v>43774</v>
      </c>
      <c r="J9" s="53">
        <f>IFERROR(__xludf.DUMMYFUNCTION("""COMPUTED_VALUE"""),0.5416666666666666)</f>
        <v>0.5416666667</v>
      </c>
      <c r="K9" s="53">
        <f t="shared" si="1"/>
        <v>0.01388888889</v>
      </c>
      <c r="L9" s="49" t="s">
        <v>109</v>
      </c>
      <c r="M9" s="62" t="s">
        <v>659</v>
      </c>
      <c r="N9" s="62" t="str">
        <f t="shared" si="2"/>
        <v>SU_5_8_682be20c-3601-4e01-af1a-1e88e61aab04_000000_000000.mp4</v>
      </c>
      <c r="O9" s="48"/>
      <c r="P9" s="48"/>
      <c r="Q9" s="63"/>
      <c r="R9" s="49"/>
      <c r="S9" s="49"/>
      <c r="T9" s="49"/>
    </row>
    <row r="10">
      <c r="A10" s="49" t="str">
        <f>IFERROR(__xludf.DUMMYFUNCTION("""COMPUTED_VALUE"""),"Lunch break")</f>
        <v>Lunch break</v>
      </c>
      <c r="B10" s="49" t="str">
        <f>IFERROR(__xludf.DUMMYFUNCTION("""COMPUTED_VALUE"""),"Startup University")</f>
        <v>Startup University</v>
      </c>
      <c r="C10" s="51" t="str">
        <f>IFERROR(__xludf.DUMMYFUNCTION("""COMPUTED_VALUE"""),"")</f>
        <v/>
      </c>
      <c r="D10" s="49" t="str">
        <f>IFERROR(__xludf.DUMMYFUNCTION("""COMPUTED_VALUE"""),"2019/11/05 13:00:00")</f>
        <v>2019/11/05 13:00:00</v>
      </c>
      <c r="E10" s="49" t="str">
        <f>IFERROR(__xludf.DUMMYFUNCTION("""COMPUTED_VALUE"""),"2019/11/05 13:45:00")</f>
        <v>2019/11/05 13:45:00</v>
      </c>
      <c r="F10" s="49" t="str">
        <f>IFERROR(__xludf.DUMMYFUNCTION("""COMPUTED_VALUE"""),"b7b13b0c-cb93-4a28-92f2-c64579221f57")</f>
        <v>b7b13b0c-cb93-4a28-92f2-c64579221f57</v>
      </c>
      <c r="G10" s="52">
        <f>IFERROR(__xludf.DUMMYFUNCTION("""COMPUTED_VALUE"""),43774.0)</f>
        <v>43774</v>
      </c>
      <c r="H10" s="53">
        <f>IFERROR(__xludf.DUMMYFUNCTION("""COMPUTED_VALUE"""),0.5416666666666666)</f>
        <v>0.5416666667</v>
      </c>
      <c r="I10" s="52">
        <f>IFERROR(__xludf.DUMMYFUNCTION("""COMPUTED_VALUE"""),43774.0)</f>
        <v>43774</v>
      </c>
      <c r="J10" s="53">
        <f>IFERROR(__xludf.DUMMYFUNCTION("""COMPUTED_VALUE"""),0.5729166666666666)</f>
        <v>0.5729166667</v>
      </c>
      <c r="K10" s="53">
        <f t="shared" si="1"/>
        <v>0.03125</v>
      </c>
      <c r="L10" s="49" t="s">
        <v>127</v>
      </c>
      <c r="M10" s="49"/>
      <c r="N10" s="62" t="str">
        <f t="shared" si="2"/>
        <v>_b7b13b0c-cb93-4a28-92f2-c64579221f57_000000_000000.mp4</v>
      </c>
      <c r="O10" s="48"/>
      <c r="P10" s="48"/>
      <c r="Q10" s="63"/>
      <c r="R10" s="49"/>
      <c r="S10" s="49"/>
      <c r="T10" s="49"/>
    </row>
    <row r="11">
      <c r="A11" s="49" t="str">
        <f>IFERROR(__xludf.DUMMYFUNCTION("""COMPUTED_VALUE"""),"Opening remarks ")</f>
        <v>Opening remarks </v>
      </c>
      <c r="B11" s="49" t="str">
        <f>IFERROR(__xludf.DUMMYFUNCTION("""COMPUTED_VALUE"""),"Startup University")</f>
        <v>Startup University</v>
      </c>
      <c r="C11" s="51" t="str">
        <f>IFERROR(__xludf.DUMMYFUNCTION("""COMPUTED_VALUE"""),"Natalie Monbiot")</f>
        <v>Natalie Monbiot</v>
      </c>
      <c r="D11" s="49" t="str">
        <f>IFERROR(__xludf.DUMMYFUNCTION("""COMPUTED_VALUE"""),"2019/11/05 13:45:00")</f>
        <v>2019/11/05 13:45:00</v>
      </c>
      <c r="E11" s="49" t="str">
        <f>IFERROR(__xludf.DUMMYFUNCTION("""COMPUTED_VALUE"""),"2019/11/05 14:00:00")</f>
        <v>2019/11/05 14:00:00</v>
      </c>
      <c r="F11" s="49" t="str">
        <f>IFERROR(__xludf.DUMMYFUNCTION("""COMPUTED_VALUE"""),"4652c0b0-9b47-49fd-b0a6-fc1b237b7b09")</f>
        <v>4652c0b0-9b47-49fd-b0a6-fc1b237b7b09</v>
      </c>
      <c r="G11" s="52">
        <f>IFERROR(__xludf.DUMMYFUNCTION("""COMPUTED_VALUE"""),43774.0)</f>
        <v>43774</v>
      </c>
      <c r="H11" s="53">
        <f>IFERROR(__xludf.DUMMYFUNCTION("""COMPUTED_VALUE"""),0.5729166666666666)</f>
        <v>0.5729166667</v>
      </c>
      <c r="I11" s="52">
        <f>IFERROR(__xludf.DUMMYFUNCTION("""COMPUTED_VALUE"""),43774.0)</f>
        <v>43774</v>
      </c>
      <c r="J11" s="53">
        <f>IFERROR(__xludf.DUMMYFUNCTION("""COMPUTED_VALUE"""),0.5833333333333334)</f>
        <v>0.5833333333</v>
      </c>
      <c r="K11" s="53">
        <f t="shared" si="1"/>
        <v>0.01041666667</v>
      </c>
      <c r="L11" s="49" t="s">
        <v>118</v>
      </c>
      <c r="M11" s="62" t="s">
        <v>661</v>
      </c>
      <c r="N11" s="62" t="str">
        <f t="shared" si="2"/>
        <v>SU_5_9_4652c0b0-9b47-49fd-b0a6-fc1b237b7b09_000000_000000.mp4</v>
      </c>
      <c r="O11" s="48"/>
      <c r="P11" s="48"/>
      <c r="Q11" s="63"/>
      <c r="R11" s="49"/>
      <c r="S11" s="49"/>
      <c r="T11" s="49"/>
    </row>
    <row r="12">
      <c r="A12" s="49" t="str">
        <f>IFERROR(__xludf.DUMMYFUNCTION("""COMPUTED_VALUE"""),"Sell your story not your soul: Winning over VCs ")</f>
        <v>Sell your story not your soul: Winning over VCs </v>
      </c>
      <c r="B12" s="49" t="str">
        <f>IFERROR(__xludf.DUMMYFUNCTION("""COMPUTED_VALUE"""),"Startup University")</f>
        <v>Startup University</v>
      </c>
      <c r="C12" s="51" t="str">
        <f>IFERROR(__xludf.DUMMYFUNCTION("""COMPUTED_VALUE"""),"Ariel Cohen, Michele Romanow and Marcel Rosenbach")</f>
        <v>Ariel Cohen, Michele Romanow and Marcel Rosenbach</v>
      </c>
      <c r="D12" s="49" t="str">
        <f>IFERROR(__xludf.DUMMYFUNCTION("""COMPUTED_VALUE"""),"2019/11/05 14:00:00")</f>
        <v>2019/11/05 14:00:00</v>
      </c>
      <c r="E12" s="49" t="str">
        <f>IFERROR(__xludf.DUMMYFUNCTION("""COMPUTED_VALUE"""),"2019/11/05 14:20:00")</f>
        <v>2019/11/05 14:20:00</v>
      </c>
      <c r="F12" s="49" t="str">
        <f>IFERROR(__xludf.DUMMYFUNCTION("""COMPUTED_VALUE"""),"9401bb18-0cd5-4c2b-891c-594ae8d7a137")</f>
        <v>9401bb18-0cd5-4c2b-891c-594ae8d7a137</v>
      </c>
      <c r="G12" s="52">
        <f>IFERROR(__xludf.DUMMYFUNCTION("""COMPUTED_VALUE"""),43774.0)</f>
        <v>43774</v>
      </c>
      <c r="H12" s="53">
        <f>IFERROR(__xludf.DUMMYFUNCTION("""COMPUTED_VALUE"""),0.5833333333333334)</f>
        <v>0.5833333333</v>
      </c>
      <c r="I12" s="52">
        <f>IFERROR(__xludf.DUMMYFUNCTION("""COMPUTED_VALUE"""),43774.0)</f>
        <v>43774</v>
      </c>
      <c r="J12" s="53">
        <f>IFERROR(__xludf.DUMMYFUNCTION("""COMPUTED_VALUE"""),0.5972222222222222)</f>
        <v>0.5972222222</v>
      </c>
      <c r="K12" s="53">
        <f t="shared" si="1"/>
        <v>0.01388888889</v>
      </c>
      <c r="L12" s="49" t="s">
        <v>109</v>
      </c>
      <c r="M12" s="62" t="s">
        <v>662</v>
      </c>
      <c r="N12" s="62" t="str">
        <f t="shared" si="2"/>
        <v>SU_5_10_9401bb18-0cd5-4c2b-891c-594ae8d7a137_000000_000000.mp4</v>
      </c>
      <c r="O12" s="48"/>
      <c r="P12" s="48"/>
      <c r="Q12" s="63"/>
      <c r="R12" s="49"/>
      <c r="S12" s="49"/>
      <c r="T12" s="49"/>
    </row>
    <row r="13">
      <c r="A13" s="49" t="str">
        <f>IFERROR(__xludf.DUMMYFUNCTION("""COMPUTED_VALUE"""),"What they don't tell you about raising rounds ")</f>
        <v>What they don't tell you about raising rounds </v>
      </c>
      <c r="B13" s="49" t="str">
        <f>IFERROR(__xludf.DUMMYFUNCTION("""COMPUTED_VALUE"""),"Startup University")</f>
        <v>Startup University</v>
      </c>
      <c r="C13" s="51" t="str">
        <f>IFERROR(__xludf.DUMMYFUNCTION("""COMPUTED_VALUE"""),"Taso Du Val and Mark Little")</f>
        <v>Taso Du Val and Mark Little</v>
      </c>
      <c r="D13" s="49" t="str">
        <f>IFERROR(__xludf.DUMMYFUNCTION("""COMPUTED_VALUE"""),"2019/11/05 14:20:00")</f>
        <v>2019/11/05 14:20:00</v>
      </c>
      <c r="E13" s="49" t="str">
        <f>IFERROR(__xludf.DUMMYFUNCTION("""COMPUTED_VALUE"""),"2019/11/05 14:40:00")</f>
        <v>2019/11/05 14:40:00</v>
      </c>
      <c r="F13" s="49" t="str">
        <f>IFERROR(__xludf.DUMMYFUNCTION("""COMPUTED_VALUE"""),"51f3c8e8-a930-48f5-88a4-2dbd760b2d90")</f>
        <v>51f3c8e8-a930-48f5-88a4-2dbd760b2d90</v>
      </c>
      <c r="G13" s="52">
        <f>IFERROR(__xludf.DUMMYFUNCTION("""COMPUTED_VALUE"""),43774.0)</f>
        <v>43774</v>
      </c>
      <c r="H13" s="53">
        <f>IFERROR(__xludf.DUMMYFUNCTION("""COMPUTED_VALUE"""),0.5972222222222222)</f>
        <v>0.5972222222</v>
      </c>
      <c r="I13" s="52">
        <f>IFERROR(__xludf.DUMMYFUNCTION("""COMPUTED_VALUE"""),43774.0)</f>
        <v>43774</v>
      </c>
      <c r="J13" s="53">
        <f>IFERROR(__xludf.DUMMYFUNCTION("""COMPUTED_VALUE"""),0.6111111111111112)</f>
        <v>0.6111111111</v>
      </c>
      <c r="K13" s="53">
        <f t="shared" si="1"/>
        <v>0.01388888889</v>
      </c>
      <c r="L13" s="49" t="s">
        <v>109</v>
      </c>
      <c r="M13" s="62" t="s">
        <v>664</v>
      </c>
      <c r="N13" s="62" t="str">
        <f t="shared" si="2"/>
        <v>SU_5_11_51f3c8e8-a930-48f5-88a4-2dbd760b2d90_000000_000000.mp4</v>
      </c>
      <c r="O13" s="48"/>
      <c r="P13" s="48"/>
      <c r="Q13" s="63"/>
      <c r="R13" s="49"/>
      <c r="S13" s="49"/>
      <c r="T13" s="49"/>
    </row>
    <row r="14">
      <c r="A14" s="49" t="str">
        <f>IFERROR(__xludf.DUMMYFUNCTION("""COMPUTED_VALUE"""),"Bootstrapping creativity: Leading a creative team ")</f>
        <v>Bootstrapping creativity: Leading a creative team </v>
      </c>
      <c r="B14" s="49" t="str">
        <f>IFERROR(__xludf.DUMMYFUNCTION("""COMPUTED_VALUE"""),"Startup University")</f>
        <v>Startup University</v>
      </c>
      <c r="C14" s="51" t="str">
        <f>IFERROR(__xludf.DUMMYFUNCTION("""COMPUTED_VALUE"""),"Ryan Lee, Margaret Molloy, Georg Petschnigg and Stewart Rogers")</f>
        <v>Ryan Lee, Margaret Molloy, Georg Petschnigg and Stewart Rogers</v>
      </c>
      <c r="D14" s="49" t="str">
        <f>IFERROR(__xludf.DUMMYFUNCTION("""COMPUTED_VALUE"""),"2019/11/05 14:40:00")</f>
        <v>2019/11/05 14:40:00</v>
      </c>
      <c r="E14" s="49" t="str">
        <f>IFERROR(__xludf.DUMMYFUNCTION("""COMPUTED_VALUE"""),"2019/11/05 15:05:00")</f>
        <v>2019/11/05 15:05:00</v>
      </c>
      <c r="F14" s="49" t="str">
        <f>IFERROR(__xludf.DUMMYFUNCTION("""COMPUTED_VALUE"""),"c69a7e17-e921-4bac-99f6-4982eb059f6b")</f>
        <v>c69a7e17-e921-4bac-99f6-4982eb059f6b</v>
      </c>
      <c r="G14" s="52">
        <f>IFERROR(__xludf.DUMMYFUNCTION("""COMPUTED_VALUE"""),43774.0)</f>
        <v>43774</v>
      </c>
      <c r="H14" s="53">
        <f>IFERROR(__xludf.DUMMYFUNCTION("""COMPUTED_VALUE"""),0.6111111111111112)</f>
        <v>0.6111111111</v>
      </c>
      <c r="I14" s="52">
        <f>IFERROR(__xludf.DUMMYFUNCTION("""COMPUTED_VALUE"""),43774.0)</f>
        <v>43774</v>
      </c>
      <c r="J14" s="53">
        <f>IFERROR(__xludf.DUMMYFUNCTION("""COMPUTED_VALUE"""),0.6284722222222222)</f>
        <v>0.6284722222</v>
      </c>
      <c r="K14" s="53">
        <f t="shared" si="1"/>
        <v>0.01736111111</v>
      </c>
      <c r="L14" s="49" t="s">
        <v>111</v>
      </c>
      <c r="M14" s="62" t="s">
        <v>665</v>
      </c>
      <c r="N14" s="62" t="str">
        <f t="shared" si="2"/>
        <v>SU_5_12_c69a7e17-e921-4bac-99f6-4982eb059f6b_000000_000000.mp4</v>
      </c>
      <c r="O14" s="48"/>
      <c r="P14" s="48"/>
      <c r="Q14" s="63"/>
      <c r="R14" s="49"/>
      <c r="S14" s="49"/>
      <c r="T14" s="49"/>
    </row>
    <row r="15">
      <c r="A15" s="49" t="str">
        <f>IFERROR(__xludf.DUMMYFUNCTION("""COMPUTED_VALUE"""),"Strategy and soul: Creating MuleSoft ")</f>
        <v>Strategy and soul: Creating MuleSoft </v>
      </c>
      <c r="B15" s="49" t="str">
        <f>IFERROR(__xludf.DUMMYFUNCTION("""COMPUTED_VALUE"""),"Startup University")</f>
        <v>Startup University</v>
      </c>
      <c r="C15" s="51" t="str">
        <f>IFERROR(__xludf.DUMMYFUNCTION("""COMPUTED_VALUE"""),"Ross Mason and Rosie Kropp")</f>
        <v>Ross Mason and Rosie Kropp</v>
      </c>
      <c r="D15" s="49" t="str">
        <f>IFERROR(__xludf.DUMMYFUNCTION("""COMPUTED_VALUE"""),"2019/11/05 15:05:00")</f>
        <v>2019/11/05 15:05:00</v>
      </c>
      <c r="E15" s="49" t="str">
        <f>IFERROR(__xludf.DUMMYFUNCTION("""COMPUTED_VALUE"""),"2019/11/05 15:25:00")</f>
        <v>2019/11/05 15:25:00</v>
      </c>
      <c r="F15" s="49" t="str">
        <f>IFERROR(__xludf.DUMMYFUNCTION("""COMPUTED_VALUE"""),"4db2908f-6445-4549-9a3c-d872c15a2c68")</f>
        <v>4db2908f-6445-4549-9a3c-d872c15a2c68</v>
      </c>
      <c r="G15" s="52">
        <f>IFERROR(__xludf.DUMMYFUNCTION("""COMPUTED_VALUE"""),43774.0)</f>
        <v>43774</v>
      </c>
      <c r="H15" s="53">
        <f>IFERROR(__xludf.DUMMYFUNCTION("""COMPUTED_VALUE"""),0.6284722222222222)</f>
        <v>0.6284722222</v>
      </c>
      <c r="I15" s="52">
        <f>IFERROR(__xludf.DUMMYFUNCTION("""COMPUTED_VALUE"""),43774.0)</f>
        <v>43774</v>
      </c>
      <c r="J15" s="53">
        <f>IFERROR(__xludf.DUMMYFUNCTION("""COMPUTED_VALUE"""),0.6423611111111112)</f>
        <v>0.6423611111</v>
      </c>
      <c r="K15" s="53">
        <f t="shared" si="1"/>
        <v>0.01388888889</v>
      </c>
      <c r="L15" s="49" t="s">
        <v>109</v>
      </c>
      <c r="M15" s="62" t="s">
        <v>667</v>
      </c>
      <c r="N15" s="62" t="str">
        <f t="shared" si="2"/>
        <v>SU_5_13_4db2908f-6445-4549-9a3c-d872c15a2c68_000000_000000.mp4</v>
      </c>
      <c r="O15" s="48"/>
      <c r="P15" s="48"/>
      <c r="Q15" s="63"/>
      <c r="R15" s="49"/>
      <c r="S15" s="49"/>
      <c r="T15" s="49"/>
    </row>
    <row r="16">
      <c r="A16" s="49" t="str">
        <f>IFERROR(__xludf.DUMMYFUNCTION("""COMPUTED_VALUE"""),"What makes TikTok tick?  Inside the world's top app ")</f>
        <v>What makes TikTok tick?  Inside the world's top app </v>
      </c>
      <c r="B16" s="49" t="str">
        <f>IFERROR(__xludf.DUMMYFUNCTION("""COMPUTED_VALUE"""),"Startup University")</f>
        <v>Startup University</v>
      </c>
      <c r="C16" s="51" t="str">
        <f>IFERROR(__xludf.DUMMYFUNCTION("""COMPUTED_VALUE"""),"Hannah Snow, Dylan Collins and Natalie Monbiot")</f>
        <v>Hannah Snow, Dylan Collins and Natalie Monbiot</v>
      </c>
      <c r="D16" s="49" t="str">
        <f>IFERROR(__xludf.DUMMYFUNCTION("""COMPUTED_VALUE"""),"2019/11/05 15:25:00")</f>
        <v>2019/11/05 15:25:00</v>
      </c>
      <c r="E16" s="49" t="str">
        <f>IFERROR(__xludf.DUMMYFUNCTION("""COMPUTED_VALUE"""),"2019/11/05 15:45:00")</f>
        <v>2019/11/05 15:45:00</v>
      </c>
      <c r="F16" s="49" t="str">
        <f>IFERROR(__xludf.DUMMYFUNCTION("""COMPUTED_VALUE"""),"388b42c9-f97f-4acc-bfb4-4181466546bc")</f>
        <v>388b42c9-f97f-4acc-bfb4-4181466546bc</v>
      </c>
      <c r="G16" s="52">
        <f>IFERROR(__xludf.DUMMYFUNCTION("""COMPUTED_VALUE"""),43774.0)</f>
        <v>43774</v>
      </c>
      <c r="H16" s="53">
        <f>IFERROR(__xludf.DUMMYFUNCTION("""COMPUTED_VALUE"""),0.6423611111111112)</f>
        <v>0.6423611111</v>
      </c>
      <c r="I16" s="52">
        <f>IFERROR(__xludf.DUMMYFUNCTION("""COMPUTED_VALUE"""),43774.0)</f>
        <v>43774</v>
      </c>
      <c r="J16" s="53">
        <f>IFERROR(__xludf.DUMMYFUNCTION("""COMPUTED_VALUE"""),0.65625)</f>
        <v>0.65625</v>
      </c>
      <c r="K16" s="53">
        <f t="shared" si="1"/>
        <v>0.01388888889</v>
      </c>
      <c r="L16" s="49" t="s">
        <v>109</v>
      </c>
      <c r="M16" s="62" t="s">
        <v>669</v>
      </c>
      <c r="N16" s="62" t="str">
        <f t="shared" si="2"/>
        <v>SU_5_14_388b42c9-f97f-4acc-bfb4-4181466546bc_000000_000000.mp4</v>
      </c>
      <c r="O16" s="48"/>
      <c r="P16" s="48"/>
      <c r="Q16" s="63"/>
      <c r="R16" s="49"/>
      <c r="S16" s="49"/>
      <c r="T16" s="49"/>
    </row>
    <row r="17">
      <c r="A17" s="49" t="str">
        <f>IFERROR(__xludf.DUMMYFUNCTION("""COMPUTED_VALUE"""),"What is the role of a leader? ")</f>
        <v>What is the role of a leader? </v>
      </c>
      <c r="B17" s="49" t="str">
        <f>IFERROR(__xludf.DUMMYFUNCTION("""COMPUTED_VALUE"""),"Startup University")</f>
        <v>Startup University</v>
      </c>
      <c r="C17" s="51" t="str">
        <f>IFERROR(__xludf.DUMMYFUNCTION("""COMPUTED_VALUE"""),"Dave Grannan")</f>
        <v>Dave Grannan</v>
      </c>
      <c r="D17" s="49" t="str">
        <f>IFERROR(__xludf.DUMMYFUNCTION("""COMPUTED_VALUE"""),"2019/11/05 15:45:00")</f>
        <v>2019/11/05 15:45:00</v>
      </c>
      <c r="E17" s="49" t="str">
        <f>IFERROR(__xludf.DUMMYFUNCTION("""COMPUTED_VALUE"""),"2019/11/05 16:05:00")</f>
        <v>2019/11/05 16:05:00</v>
      </c>
      <c r="F17" s="49" t="str">
        <f>IFERROR(__xludf.DUMMYFUNCTION("""COMPUTED_VALUE"""),"c30ac702-fbcb-4f44-a5f8-5232947804fc")</f>
        <v>c30ac702-fbcb-4f44-a5f8-5232947804fc</v>
      </c>
      <c r="G17" s="52">
        <f>IFERROR(__xludf.DUMMYFUNCTION("""COMPUTED_VALUE"""),43774.0)</f>
        <v>43774</v>
      </c>
      <c r="H17" s="53">
        <f>IFERROR(__xludf.DUMMYFUNCTION("""COMPUTED_VALUE"""),0.65625)</f>
        <v>0.65625</v>
      </c>
      <c r="I17" s="52">
        <f>IFERROR(__xludf.DUMMYFUNCTION("""COMPUTED_VALUE"""),43774.0)</f>
        <v>43774</v>
      </c>
      <c r="J17" s="53">
        <f>IFERROR(__xludf.DUMMYFUNCTION("""COMPUTED_VALUE"""),0.6701388888888888)</f>
        <v>0.6701388889</v>
      </c>
      <c r="K17" s="53">
        <f t="shared" si="1"/>
        <v>0.01388888889</v>
      </c>
      <c r="L17" s="49" t="s">
        <v>109</v>
      </c>
      <c r="M17" s="62" t="s">
        <v>671</v>
      </c>
      <c r="N17" s="62" t="str">
        <f t="shared" si="2"/>
        <v>SU_5_15_c30ac702-fbcb-4f44-a5f8-5232947804fc_000000_000000.mp4</v>
      </c>
      <c r="O17" s="48"/>
      <c r="P17" s="48"/>
      <c r="Q17" s="63"/>
      <c r="R17" s="49"/>
      <c r="S17" s="49"/>
      <c r="T17" s="49"/>
    </row>
    <row r="18">
      <c r="A18" s="49" t="str">
        <f>IFERROR(__xludf.DUMMYFUNCTION("""COMPUTED_VALUE"""),"What I learned from building a 'unicorn' ")</f>
        <v>What I learned from building a 'unicorn' </v>
      </c>
      <c r="B18" s="49" t="str">
        <f>IFERROR(__xludf.DUMMYFUNCTION("""COMPUTED_VALUE"""),"Startup University")</f>
        <v>Startup University</v>
      </c>
      <c r="C18" s="51" t="str">
        <f>IFERROR(__xludf.DUMMYFUNCTION("""COMPUTED_VALUE"""),"Melanie Perkins, Mada Seghete, Lucy Liu and Ryan Browne")</f>
        <v>Melanie Perkins, Mada Seghete, Lucy Liu and Ryan Browne</v>
      </c>
      <c r="D18" s="49" t="str">
        <f>IFERROR(__xludf.DUMMYFUNCTION("""COMPUTED_VALUE"""),"2019/11/05 16:05:00")</f>
        <v>2019/11/05 16:05:00</v>
      </c>
      <c r="E18" s="49" t="str">
        <f>IFERROR(__xludf.DUMMYFUNCTION("""COMPUTED_VALUE"""),"2019/11/05 16:30:00")</f>
        <v>2019/11/05 16:30:00</v>
      </c>
      <c r="F18" s="49" t="str">
        <f>IFERROR(__xludf.DUMMYFUNCTION("""COMPUTED_VALUE"""),"6f917ff5-7193-40fb-bda6-f2cdac423d6e")</f>
        <v>6f917ff5-7193-40fb-bda6-f2cdac423d6e</v>
      </c>
      <c r="G18" s="52">
        <f>IFERROR(__xludf.DUMMYFUNCTION("""COMPUTED_VALUE"""),43774.0)</f>
        <v>43774</v>
      </c>
      <c r="H18" s="53">
        <f>IFERROR(__xludf.DUMMYFUNCTION("""COMPUTED_VALUE"""),0.6701388888888888)</f>
        <v>0.6701388889</v>
      </c>
      <c r="I18" s="52">
        <f>IFERROR(__xludf.DUMMYFUNCTION("""COMPUTED_VALUE"""),43774.0)</f>
        <v>43774</v>
      </c>
      <c r="J18" s="53">
        <f>IFERROR(__xludf.DUMMYFUNCTION("""COMPUTED_VALUE"""),0.6875)</f>
        <v>0.6875</v>
      </c>
      <c r="K18" s="53">
        <f t="shared" si="1"/>
        <v>0.01736111111</v>
      </c>
      <c r="L18" s="49" t="s">
        <v>111</v>
      </c>
      <c r="M18" s="62" t="s">
        <v>673</v>
      </c>
      <c r="N18" s="62" t="str">
        <f t="shared" si="2"/>
        <v>SU_5_16_6f917ff5-7193-40fb-bda6-f2cdac423d6e_000000_000000.mp4</v>
      </c>
      <c r="O18" s="48"/>
      <c r="P18" s="48"/>
      <c r="Q18" s="63"/>
      <c r="R18" s="49"/>
      <c r="S18" s="49"/>
      <c r="T18" s="49"/>
    </row>
    <row r="19">
      <c r="A19" s="49" t="str">
        <f>IFERROR(__xludf.DUMMYFUNCTION("""COMPUTED_VALUE"""),"Opening remarks ")</f>
        <v>Opening remarks </v>
      </c>
      <c r="B19" s="49" t="str">
        <f>IFERROR(__xludf.DUMMYFUNCTION("""COMPUTED_VALUE"""),"Startup University")</f>
        <v>Startup University</v>
      </c>
      <c r="C19" s="51" t="str">
        <f>IFERROR(__xludf.DUMMYFUNCTION("""COMPUTED_VALUE"""),"Cynthia Johnson")</f>
        <v>Cynthia Johnson</v>
      </c>
      <c r="D19" s="49" t="str">
        <f>IFERROR(__xludf.DUMMYFUNCTION("""COMPUTED_VALUE"""),"2019/11/06 11:15:00")</f>
        <v>2019/11/06 11:15:00</v>
      </c>
      <c r="E19" s="49" t="str">
        <f>IFERROR(__xludf.DUMMYFUNCTION("""COMPUTED_VALUE"""),"2019/11/06 11:30:00")</f>
        <v>2019/11/06 11:30:00</v>
      </c>
      <c r="F19" s="49" t="str">
        <f>IFERROR(__xludf.DUMMYFUNCTION("""COMPUTED_VALUE"""),"d44ff59d-3ffb-403f-81b3-3a8a026e3079")</f>
        <v>d44ff59d-3ffb-403f-81b3-3a8a026e3079</v>
      </c>
      <c r="G19" s="52">
        <f>IFERROR(__xludf.DUMMYFUNCTION("""COMPUTED_VALUE"""),43775.0)</f>
        <v>43775</v>
      </c>
      <c r="H19" s="53">
        <f>IFERROR(__xludf.DUMMYFUNCTION("""COMPUTED_VALUE"""),0.46875)</f>
        <v>0.46875</v>
      </c>
      <c r="I19" s="52">
        <f>IFERROR(__xludf.DUMMYFUNCTION("""COMPUTED_VALUE"""),43775.0)</f>
        <v>43775</v>
      </c>
      <c r="J19" s="53">
        <f>IFERROR(__xludf.DUMMYFUNCTION("""COMPUTED_VALUE"""),0.4791666666666667)</f>
        <v>0.4791666667</v>
      </c>
      <c r="K19" s="53">
        <f t="shared" si="1"/>
        <v>0.01041666667</v>
      </c>
      <c r="L19" s="49" t="s">
        <v>118</v>
      </c>
      <c r="M19" s="62" t="s">
        <v>675</v>
      </c>
      <c r="N19" s="62" t="str">
        <f t="shared" si="2"/>
        <v>SU_6_1_d44ff59d-3ffb-403f-81b3-3a8a026e3079_000000_000000.mp4</v>
      </c>
      <c r="O19" s="48"/>
      <c r="P19" s="48"/>
      <c r="Q19" s="63"/>
      <c r="R19" s="49"/>
      <c r="S19" s="49"/>
      <c r="T19" s="49"/>
    </row>
    <row r="20">
      <c r="A20" s="49" t="str">
        <f>IFERROR(__xludf.DUMMYFUNCTION("""COMPUTED_VALUE"""),"Experian's approach to data innovation ")</f>
        <v>Experian's approach to data innovation </v>
      </c>
      <c r="B20" s="49" t="str">
        <f>IFERROR(__xludf.DUMMYFUNCTION("""COMPUTED_VALUE"""),"Startup University")</f>
        <v>Startup University</v>
      </c>
      <c r="C20" s="51" t="str">
        <f>IFERROR(__xludf.DUMMYFUNCTION("""COMPUTED_VALUE"""),"Jonathan Westley")</f>
        <v>Jonathan Westley</v>
      </c>
      <c r="D20" s="49" t="str">
        <f>IFERROR(__xludf.DUMMYFUNCTION("""COMPUTED_VALUE"""),"2019/11/06 11:30:00")</f>
        <v>2019/11/06 11:30:00</v>
      </c>
      <c r="E20" s="49" t="str">
        <f>IFERROR(__xludf.DUMMYFUNCTION("""COMPUTED_VALUE"""),"2019/11/06 11:50:00")</f>
        <v>2019/11/06 11:50:00</v>
      </c>
      <c r="F20" s="49" t="str">
        <f>IFERROR(__xludf.DUMMYFUNCTION("""COMPUTED_VALUE"""),"26433169-4936-4d3a-9b98-d91e6070b895")</f>
        <v>26433169-4936-4d3a-9b98-d91e6070b895</v>
      </c>
      <c r="G20" s="52">
        <f>IFERROR(__xludf.DUMMYFUNCTION("""COMPUTED_VALUE"""),43775.0)</f>
        <v>43775</v>
      </c>
      <c r="H20" s="53">
        <f>IFERROR(__xludf.DUMMYFUNCTION("""COMPUTED_VALUE"""),0.4791666666666667)</f>
        <v>0.4791666667</v>
      </c>
      <c r="I20" s="52">
        <f>IFERROR(__xludf.DUMMYFUNCTION("""COMPUTED_VALUE"""),43775.0)</f>
        <v>43775</v>
      </c>
      <c r="J20" s="53">
        <f>IFERROR(__xludf.DUMMYFUNCTION("""COMPUTED_VALUE"""),0.4930555555555556)</f>
        <v>0.4930555556</v>
      </c>
      <c r="K20" s="53">
        <f t="shared" si="1"/>
        <v>0.01388888889</v>
      </c>
      <c r="L20" s="49" t="s">
        <v>109</v>
      </c>
      <c r="M20" s="62" t="s">
        <v>677</v>
      </c>
      <c r="N20" s="62" t="str">
        <f t="shared" si="2"/>
        <v>SU_6_2_26433169-4936-4d3a-9b98-d91e6070b895_000000_000000.mp4</v>
      </c>
      <c r="O20" s="48"/>
      <c r="P20" s="48"/>
      <c r="Q20" s="63"/>
      <c r="R20" s="49"/>
      <c r="S20" s="49"/>
      <c r="T20" s="49"/>
    </row>
    <row r="21">
      <c r="A21" s="49" t="str">
        <f>IFERROR(__xludf.DUMMYFUNCTION("""COMPUTED_VALUE"""),"Ideas are easy, business is hard")</f>
        <v>Ideas are easy, business is hard</v>
      </c>
      <c r="B21" s="49" t="str">
        <f>IFERROR(__xludf.DUMMYFUNCTION("""COMPUTED_VALUE"""),"Startup University")</f>
        <v>Startup University</v>
      </c>
      <c r="C21" s="51" t="str">
        <f>IFERROR(__xludf.DUMMYFUNCTION("""COMPUTED_VALUE"""),"Christina Bechhold Russ, Fabrice Grinda and Caleb Silver")</f>
        <v>Christina Bechhold Russ, Fabrice Grinda and Caleb Silver</v>
      </c>
      <c r="D21" s="49" t="str">
        <f>IFERROR(__xludf.DUMMYFUNCTION("""COMPUTED_VALUE"""),"2019/11/06 11:50:00")</f>
        <v>2019/11/06 11:50:00</v>
      </c>
      <c r="E21" s="49" t="str">
        <f>IFERROR(__xludf.DUMMYFUNCTION("""COMPUTED_VALUE"""),"2019/11/06 12:10:00")</f>
        <v>2019/11/06 12:10:00</v>
      </c>
      <c r="F21" s="49" t="str">
        <f>IFERROR(__xludf.DUMMYFUNCTION("""COMPUTED_VALUE"""),"2a03bf28-c209-4ad9-a39f-c77cdbc2a81b")</f>
        <v>2a03bf28-c209-4ad9-a39f-c77cdbc2a81b</v>
      </c>
      <c r="G21" s="52">
        <f>IFERROR(__xludf.DUMMYFUNCTION("""COMPUTED_VALUE"""),43775.0)</f>
        <v>43775</v>
      </c>
      <c r="H21" s="53">
        <f>IFERROR(__xludf.DUMMYFUNCTION("""COMPUTED_VALUE"""),0.4930555555555556)</f>
        <v>0.4930555556</v>
      </c>
      <c r="I21" s="52">
        <f>IFERROR(__xludf.DUMMYFUNCTION("""COMPUTED_VALUE"""),43775.0)</f>
        <v>43775</v>
      </c>
      <c r="J21" s="53">
        <f>IFERROR(__xludf.DUMMYFUNCTION("""COMPUTED_VALUE"""),0.5069444444444444)</f>
        <v>0.5069444444</v>
      </c>
      <c r="K21" s="53">
        <f t="shared" si="1"/>
        <v>0.01388888889</v>
      </c>
      <c r="L21" s="49" t="s">
        <v>109</v>
      </c>
      <c r="M21" s="62" t="s">
        <v>678</v>
      </c>
      <c r="N21" s="62" t="str">
        <f t="shared" si="2"/>
        <v>SU_6_3_2a03bf28-c209-4ad9-a39f-c77cdbc2a81b_000000_000000.mp4</v>
      </c>
      <c r="O21" s="48"/>
      <c r="P21" s="48"/>
      <c r="Q21" s="63"/>
      <c r="R21" s="49"/>
      <c r="S21" s="49"/>
      <c r="T21" s="49"/>
    </row>
    <row r="22">
      <c r="A22" s="49" t="str">
        <f>IFERROR(__xludf.DUMMYFUNCTION("""COMPUTED_VALUE"""),"The truth behind the founder-VC relationship ")</f>
        <v>The truth behind the founder-VC relationship </v>
      </c>
      <c r="B22" s="49" t="str">
        <f>IFERROR(__xludf.DUMMYFUNCTION("""COMPUTED_VALUE"""),"Startup University")</f>
        <v>Startup University</v>
      </c>
      <c r="C22" s="51" t="str">
        <f>IFERROR(__xludf.DUMMYFUNCTION("""COMPUTED_VALUE"""),"Nikki Lannen, Timo Soininen, Lars Jornow and Cynthia Johnson")</f>
        <v>Nikki Lannen, Timo Soininen, Lars Jornow and Cynthia Johnson</v>
      </c>
      <c r="D22" s="49" t="str">
        <f>IFERROR(__xludf.DUMMYFUNCTION("""COMPUTED_VALUE"""),"2019/11/06 12:10:00")</f>
        <v>2019/11/06 12:10:00</v>
      </c>
      <c r="E22" s="49" t="str">
        <f>IFERROR(__xludf.DUMMYFUNCTION("""COMPUTED_VALUE"""),"2019/11/06 12:35:00")</f>
        <v>2019/11/06 12:35:00</v>
      </c>
      <c r="F22" s="49" t="str">
        <f>IFERROR(__xludf.DUMMYFUNCTION("""COMPUTED_VALUE"""),"f0f2e556-3c47-44bc-8a2a-5bb5dd21a73a")</f>
        <v>f0f2e556-3c47-44bc-8a2a-5bb5dd21a73a</v>
      </c>
      <c r="G22" s="52">
        <f>IFERROR(__xludf.DUMMYFUNCTION("""COMPUTED_VALUE"""),43775.0)</f>
        <v>43775</v>
      </c>
      <c r="H22" s="53">
        <f>IFERROR(__xludf.DUMMYFUNCTION("""COMPUTED_VALUE"""),0.5069444444444444)</f>
        <v>0.5069444444</v>
      </c>
      <c r="I22" s="52">
        <f>IFERROR(__xludf.DUMMYFUNCTION("""COMPUTED_VALUE"""),43775.0)</f>
        <v>43775</v>
      </c>
      <c r="J22" s="53">
        <f>IFERROR(__xludf.DUMMYFUNCTION("""COMPUTED_VALUE"""),0.5243055555555556)</f>
        <v>0.5243055556</v>
      </c>
      <c r="K22" s="53">
        <f t="shared" si="1"/>
        <v>0.01736111111</v>
      </c>
      <c r="L22" s="49" t="s">
        <v>111</v>
      </c>
      <c r="M22" s="62" t="s">
        <v>680</v>
      </c>
      <c r="N22" s="62" t="str">
        <f t="shared" si="2"/>
        <v>SU_6_4_f0f2e556-3c47-44bc-8a2a-5bb5dd21a73a_000000_000000.mp4</v>
      </c>
      <c r="O22" s="48"/>
      <c r="P22" s="48"/>
      <c r="Q22" s="63"/>
      <c r="R22" s="49"/>
      <c r="S22" s="49"/>
      <c r="T22" s="49"/>
    </row>
    <row r="23">
      <c r="A23" s="49" t="str">
        <f>IFERROR(__xludf.DUMMYFUNCTION("""COMPUTED_VALUE"""),"It's an app eat app world: Dominating the app store ")</f>
        <v>It's an app eat app world: Dominating the app store </v>
      </c>
      <c r="B23" s="49" t="str">
        <f>IFERROR(__xludf.DUMMYFUNCTION("""COMPUTED_VALUE"""),"Startup University")</f>
        <v>Startup University</v>
      </c>
      <c r="C23" s="51" t="str">
        <f>IFERROR(__xludf.DUMMYFUNCTION("""COMPUTED_VALUE"""),"Oleksandr Kosovan, Riccardo Zacconi and Kit Eaton")</f>
        <v>Oleksandr Kosovan, Riccardo Zacconi and Kit Eaton</v>
      </c>
      <c r="D23" s="49" t="str">
        <f>IFERROR(__xludf.DUMMYFUNCTION("""COMPUTED_VALUE"""),"2019/11/06 12:35:00")</f>
        <v>2019/11/06 12:35:00</v>
      </c>
      <c r="E23" s="49" t="str">
        <f>IFERROR(__xludf.DUMMYFUNCTION("""COMPUTED_VALUE"""),"2019/11/06 12:55:00")</f>
        <v>2019/11/06 12:55:00</v>
      </c>
      <c r="F23" s="49" t="str">
        <f>IFERROR(__xludf.DUMMYFUNCTION("""COMPUTED_VALUE"""),"da79f21e-8d02-4075-959e-a7822d9929b5")</f>
        <v>da79f21e-8d02-4075-959e-a7822d9929b5</v>
      </c>
      <c r="G23" s="52">
        <f>IFERROR(__xludf.DUMMYFUNCTION("""COMPUTED_VALUE"""),43775.0)</f>
        <v>43775</v>
      </c>
      <c r="H23" s="53">
        <f>IFERROR(__xludf.DUMMYFUNCTION("""COMPUTED_VALUE"""),0.5243055555555556)</f>
        <v>0.5243055556</v>
      </c>
      <c r="I23" s="52">
        <f>IFERROR(__xludf.DUMMYFUNCTION("""COMPUTED_VALUE"""),43775.0)</f>
        <v>43775</v>
      </c>
      <c r="J23" s="53">
        <f>IFERROR(__xludf.DUMMYFUNCTION("""COMPUTED_VALUE"""),0.5381944444444444)</f>
        <v>0.5381944444</v>
      </c>
      <c r="K23" s="53">
        <f t="shared" si="1"/>
        <v>0.01388888889</v>
      </c>
      <c r="L23" s="49" t="s">
        <v>109</v>
      </c>
      <c r="M23" s="62" t="s">
        <v>682</v>
      </c>
      <c r="N23" s="62" t="str">
        <f t="shared" si="2"/>
        <v>SU_6_5_da79f21e-8d02-4075-959e-a7822d9929b5_000000_000000.mp4</v>
      </c>
      <c r="O23" s="48"/>
      <c r="P23" s="48"/>
      <c r="Q23" s="63"/>
      <c r="R23" s="49"/>
      <c r="S23" s="49"/>
      <c r="T23" s="49"/>
    </row>
    <row r="24">
      <c r="A24" s="49" t="str">
        <f>IFERROR(__xludf.DUMMYFUNCTION("""COMPUTED_VALUE"""),"The secret number is 49")</f>
        <v>The secret number is 49</v>
      </c>
      <c r="B24" s="49" t="str">
        <f>IFERROR(__xludf.DUMMYFUNCTION("""COMPUTED_VALUE"""),"Startup University")</f>
        <v>Startup University</v>
      </c>
      <c r="C24" s="51" t="str">
        <f>IFERROR(__xludf.DUMMYFUNCTION("""COMPUTED_VALUE"""),"Ariel Garten")</f>
        <v>Ariel Garten</v>
      </c>
      <c r="D24" s="49" t="str">
        <f>IFERROR(__xludf.DUMMYFUNCTION("""COMPUTED_VALUE"""),"2019/11/06 12:55:00")</f>
        <v>2019/11/06 12:55:00</v>
      </c>
      <c r="E24" s="49" t="str">
        <f>IFERROR(__xludf.DUMMYFUNCTION("""COMPUTED_VALUE"""),"2019/11/06 13:15:00")</f>
        <v>2019/11/06 13:15:00</v>
      </c>
      <c r="F24" s="49" t="str">
        <f>IFERROR(__xludf.DUMMYFUNCTION("""COMPUTED_VALUE"""),"b64dfed5-7be1-4c1d-b5fa-abe44528a406")</f>
        <v>b64dfed5-7be1-4c1d-b5fa-abe44528a406</v>
      </c>
      <c r="G24" s="52">
        <f>IFERROR(__xludf.DUMMYFUNCTION("""COMPUTED_VALUE"""),43775.0)</f>
        <v>43775</v>
      </c>
      <c r="H24" s="53">
        <f>IFERROR(__xludf.DUMMYFUNCTION("""COMPUTED_VALUE"""),0.5381944444444444)</f>
        <v>0.5381944444</v>
      </c>
      <c r="I24" s="52">
        <f>IFERROR(__xludf.DUMMYFUNCTION("""COMPUTED_VALUE"""),43775.0)</f>
        <v>43775</v>
      </c>
      <c r="J24" s="53">
        <f>IFERROR(__xludf.DUMMYFUNCTION("""COMPUTED_VALUE"""),0.5520833333333334)</f>
        <v>0.5520833333</v>
      </c>
      <c r="K24" s="53">
        <f t="shared" si="1"/>
        <v>0.01388888889</v>
      </c>
      <c r="L24" s="49" t="s">
        <v>109</v>
      </c>
      <c r="M24" s="62" t="s">
        <v>684</v>
      </c>
      <c r="N24" s="62" t="str">
        <f t="shared" si="2"/>
        <v>SU_6_6_b64dfed5-7be1-4c1d-b5fa-abe44528a406_000000_000000.mp4</v>
      </c>
      <c r="O24" s="48"/>
      <c r="P24" s="48"/>
      <c r="Q24" s="63"/>
      <c r="R24" s="49"/>
      <c r="S24" s="49"/>
      <c r="T24" s="49"/>
    </row>
    <row r="25">
      <c r="A25" s="49" t="str">
        <f>IFERROR(__xludf.DUMMYFUNCTION("""COMPUTED_VALUE"""),"Digging deep and beating burnout ")</f>
        <v>Digging deep and beating burnout </v>
      </c>
      <c r="B25" s="49" t="str">
        <f>IFERROR(__xludf.DUMMYFUNCTION("""COMPUTED_VALUE"""),"Startup University")</f>
        <v>Startup University</v>
      </c>
      <c r="C25" s="51" t="str">
        <f>IFERROR(__xludf.DUMMYFUNCTION("""COMPUTED_VALUE"""),"Mitchell Baker, Paige VanZant and Steve Clemons")</f>
        <v>Mitchell Baker, Paige VanZant and Steve Clemons</v>
      </c>
      <c r="D25" s="49" t="str">
        <f>IFERROR(__xludf.DUMMYFUNCTION("""COMPUTED_VALUE"""),"2019/11/06 13:15:00")</f>
        <v>2019/11/06 13:15:00</v>
      </c>
      <c r="E25" s="49" t="str">
        <f>IFERROR(__xludf.DUMMYFUNCTION("""COMPUTED_VALUE"""),"2019/11/06 13:35:00")</f>
        <v>2019/11/06 13:35:00</v>
      </c>
      <c r="F25" s="49" t="str">
        <f>IFERROR(__xludf.DUMMYFUNCTION("""COMPUTED_VALUE"""),"1edf5f99-3d0a-4aea-972e-90a156a6a41e")</f>
        <v>1edf5f99-3d0a-4aea-972e-90a156a6a41e</v>
      </c>
      <c r="G25" s="52">
        <f>IFERROR(__xludf.DUMMYFUNCTION("""COMPUTED_VALUE"""),43775.0)</f>
        <v>43775</v>
      </c>
      <c r="H25" s="53">
        <f>IFERROR(__xludf.DUMMYFUNCTION("""COMPUTED_VALUE"""),0.5520833333333334)</f>
        <v>0.5520833333</v>
      </c>
      <c r="I25" s="52">
        <f>IFERROR(__xludf.DUMMYFUNCTION("""COMPUTED_VALUE"""),43775.0)</f>
        <v>43775</v>
      </c>
      <c r="J25" s="53">
        <f>IFERROR(__xludf.DUMMYFUNCTION("""COMPUTED_VALUE"""),0.5659722222222222)</f>
        <v>0.5659722222</v>
      </c>
      <c r="K25" s="53">
        <f t="shared" si="1"/>
        <v>0.01388888889</v>
      </c>
      <c r="L25" s="49" t="s">
        <v>109</v>
      </c>
      <c r="M25" s="62" t="s">
        <v>686</v>
      </c>
      <c r="N25" s="62" t="str">
        <f t="shared" si="2"/>
        <v>SU_6_7_1edf5f99-3d0a-4aea-972e-90a156a6a41e_000000_000000.mp4</v>
      </c>
      <c r="O25" s="48"/>
      <c r="P25" s="48"/>
      <c r="Q25" s="63"/>
      <c r="R25" s="49"/>
      <c r="S25" s="49"/>
      <c r="T25" s="49"/>
    </row>
    <row r="26">
      <c r="A26" s="49" t="str">
        <f>IFERROR(__xludf.DUMMYFUNCTION("""COMPUTED_VALUE"""),"Lunch break")</f>
        <v>Lunch break</v>
      </c>
      <c r="B26" s="49" t="str">
        <f>IFERROR(__xludf.DUMMYFUNCTION("""COMPUTED_VALUE"""),"Startup University")</f>
        <v>Startup University</v>
      </c>
      <c r="C26" s="51" t="str">
        <f>IFERROR(__xludf.DUMMYFUNCTION("""COMPUTED_VALUE"""),"")</f>
        <v/>
      </c>
      <c r="D26" s="49" t="str">
        <f>IFERROR(__xludf.DUMMYFUNCTION("""COMPUTED_VALUE"""),"2019/11/06 13:35:00")</f>
        <v>2019/11/06 13:35:00</v>
      </c>
      <c r="E26" s="49" t="str">
        <f>IFERROR(__xludf.DUMMYFUNCTION("""COMPUTED_VALUE"""),"2019/11/06 14:20:00")</f>
        <v>2019/11/06 14:20:00</v>
      </c>
      <c r="F26" s="49" t="str">
        <f>IFERROR(__xludf.DUMMYFUNCTION("""COMPUTED_VALUE"""),"b1c465ff-4f5a-49dc-8601-24314da684bf")</f>
        <v>b1c465ff-4f5a-49dc-8601-24314da684bf</v>
      </c>
      <c r="G26" s="52">
        <f>IFERROR(__xludf.DUMMYFUNCTION("""COMPUTED_VALUE"""),43775.0)</f>
        <v>43775</v>
      </c>
      <c r="H26" s="53">
        <f>IFERROR(__xludf.DUMMYFUNCTION("""COMPUTED_VALUE"""),0.5659722222222222)</f>
        <v>0.5659722222</v>
      </c>
      <c r="I26" s="52">
        <f>IFERROR(__xludf.DUMMYFUNCTION("""COMPUTED_VALUE"""),43775.0)</f>
        <v>43775</v>
      </c>
      <c r="J26" s="53">
        <f>IFERROR(__xludf.DUMMYFUNCTION("""COMPUTED_VALUE"""),0.5972222222222222)</f>
        <v>0.5972222222</v>
      </c>
      <c r="K26" s="53">
        <f t="shared" si="1"/>
        <v>0.03125</v>
      </c>
      <c r="L26" s="49" t="s">
        <v>127</v>
      </c>
      <c r="M26" s="49"/>
      <c r="N26" s="62" t="str">
        <f t="shared" si="2"/>
        <v>_b1c465ff-4f5a-49dc-8601-24314da684bf_000000_000000.mp4</v>
      </c>
      <c r="O26" s="48"/>
      <c r="P26" s="48"/>
      <c r="Q26" s="63"/>
      <c r="R26" s="49"/>
      <c r="S26" s="49"/>
      <c r="T26" s="49"/>
    </row>
    <row r="27">
      <c r="A27" s="49" t="str">
        <f>IFERROR(__xludf.DUMMYFUNCTION("""COMPUTED_VALUE"""),"Opening remarks ")</f>
        <v>Opening remarks </v>
      </c>
      <c r="B27" s="49" t="str">
        <f>IFERROR(__xludf.DUMMYFUNCTION("""COMPUTED_VALUE"""),"Startup University")</f>
        <v>Startup University</v>
      </c>
      <c r="C27" s="51" t="str">
        <f>IFERROR(__xludf.DUMMYFUNCTION("""COMPUTED_VALUE"""),"David Meltzer")</f>
        <v>David Meltzer</v>
      </c>
      <c r="D27" s="49" t="str">
        <f>IFERROR(__xludf.DUMMYFUNCTION("""COMPUTED_VALUE"""),"2019/11/06 14:20:00")</f>
        <v>2019/11/06 14:20:00</v>
      </c>
      <c r="E27" s="49" t="str">
        <f>IFERROR(__xludf.DUMMYFUNCTION("""COMPUTED_VALUE"""),"2019/11/06 14:35:00")</f>
        <v>2019/11/06 14:35:00</v>
      </c>
      <c r="F27" s="49" t="str">
        <f>IFERROR(__xludf.DUMMYFUNCTION("""COMPUTED_VALUE"""),"303149c3-9713-4fcc-92a4-34ad95ae532a")</f>
        <v>303149c3-9713-4fcc-92a4-34ad95ae532a</v>
      </c>
      <c r="G27" s="52">
        <f>IFERROR(__xludf.DUMMYFUNCTION("""COMPUTED_VALUE"""),43775.0)</f>
        <v>43775</v>
      </c>
      <c r="H27" s="53">
        <f>IFERROR(__xludf.DUMMYFUNCTION("""COMPUTED_VALUE"""),0.5972222222222222)</f>
        <v>0.5972222222</v>
      </c>
      <c r="I27" s="52">
        <f>IFERROR(__xludf.DUMMYFUNCTION("""COMPUTED_VALUE"""),43775.0)</f>
        <v>43775</v>
      </c>
      <c r="J27" s="53">
        <f>IFERROR(__xludf.DUMMYFUNCTION("""COMPUTED_VALUE"""),0.6076388888888888)</f>
        <v>0.6076388889</v>
      </c>
      <c r="K27" s="53">
        <f t="shared" si="1"/>
        <v>0.01041666667</v>
      </c>
      <c r="L27" s="49" t="s">
        <v>118</v>
      </c>
      <c r="M27" s="62" t="s">
        <v>689</v>
      </c>
      <c r="N27" s="62" t="str">
        <f t="shared" si="2"/>
        <v>SU_6_8_303149c3-9713-4fcc-92a4-34ad95ae532a_000000_000000.mp4</v>
      </c>
      <c r="O27" s="48"/>
      <c r="P27" s="48"/>
      <c r="Q27" s="63"/>
      <c r="R27" s="49"/>
      <c r="S27" s="49"/>
      <c r="T27" s="49"/>
    </row>
    <row r="28">
      <c r="A28" s="49" t="str">
        <f>IFERROR(__xludf.DUMMYFUNCTION("""COMPUTED_VALUE"""),"Startup, then scale up.")</f>
        <v>Startup, then scale up.</v>
      </c>
      <c r="B28" s="49" t="str">
        <f>IFERROR(__xludf.DUMMYFUNCTION("""COMPUTED_VALUE"""),"Startup University")</f>
        <v>Startup University</v>
      </c>
      <c r="C28" s="51" t="str">
        <f>IFERROR(__xludf.DUMMYFUNCTION("""COMPUTED_VALUE"""),"Francis Davidson and Shalini Khemka")</f>
        <v>Francis Davidson and Shalini Khemka</v>
      </c>
      <c r="D28" s="49" t="str">
        <f>IFERROR(__xludf.DUMMYFUNCTION("""COMPUTED_VALUE"""),"2019/11/06 14:35:00")</f>
        <v>2019/11/06 14:35:00</v>
      </c>
      <c r="E28" s="49" t="str">
        <f>IFERROR(__xludf.DUMMYFUNCTION("""COMPUTED_VALUE"""),"2019/11/06 14:55:00")</f>
        <v>2019/11/06 14:55:00</v>
      </c>
      <c r="F28" s="49" t="str">
        <f>IFERROR(__xludf.DUMMYFUNCTION("""COMPUTED_VALUE"""),"bd19905f-30c5-4192-87af-a121c85a5c37")</f>
        <v>bd19905f-30c5-4192-87af-a121c85a5c37</v>
      </c>
      <c r="G28" s="52">
        <f>IFERROR(__xludf.DUMMYFUNCTION("""COMPUTED_VALUE"""),43775.0)</f>
        <v>43775</v>
      </c>
      <c r="H28" s="53">
        <f>IFERROR(__xludf.DUMMYFUNCTION("""COMPUTED_VALUE"""),0.6076388888888888)</f>
        <v>0.6076388889</v>
      </c>
      <c r="I28" s="52">
        <f>IFERROR(__xludf.DUMMYFUNCTION("""COMPUTED_VALUE"""),43775.0)</f>
        <v>43775</v>
      </c>
      <c r="J28" s="53">
        <f>IFERROR(__xludf.DUMMYFUNCTION("""COMPUTED_VALUE"""),0.6215277777777778)</f>
        <v>0.6215277778</v>
      </c>
      <c r="K28" s="53">
        <f t="shared" si="1"/>
        <v>0.01388888889</v>
      </c>
      <c r="L28" s="49" t="s">
        <v>109</v>
      </c>
      <c r="M28" s="62" t="s">
        <v>691</v>
      </c>
      <c r="N28" s="62" t="str">
        <f t="shared" si="2"/>
        <v>SU_6_9_bd19905f-30c5-4192-87af-a121c85a5c37_000000_000000.mp4</v>
      </c>
      <c r="O28" s="48"/>
      <c r="P28" s="48"/>
      <c r="Q28" s="63"/>
      <c r="R28" s="49"/>
      <c r="S28" s="49"/>
      <c r="T28" s="49"/>
    </row>
    <row r="29">
      <c r="A29" s="49" t="str">
        <f>IFERROR(__xludf.DUMMYFUNCTION("""COMPUTED_VALUE"""),"Equity for media – a winning investment model?")</f>
        <v>Equity for media – a winning investment model?</v>
      </c>
      <c r="B29" s="49" t="str">
        <f>IFERROR(__xludf.DUMMYFUNCTION("""COMPUTED_VALUE"""),"Startup University")</f>
        <v>Startup University</v>
      </c>
      <c r="C29" s="51" t="str">
        <f>IFERROR(__xludf.DUMMYFUNCTION("""COMPUTED_VALUE"""),"Vinay Solanki and Gareth Hickey")</f>
        <v>Vinay Solanki and Gareth Hickey</v>
      </c>
      <c r="D29" s="49" t="str">
        <f>IFERROR(__xludf.DUMMYFUNCTION("""COMPUTED_VALUE"""),"2019/11/06 14:55:00")</f>
        <v>2019/11/06 14:55:00</v>
      </c>
      <c r="E29" s="49" t="str">
        <f>IFERROR(__xludf.DUMMYFUNCTION("""COMPUTED_VALUE"""),"2019/11/06 15:15:00")</f>
        <v>2019/11/06 15:15:00</v>
      </c>
      <c r="F29" s="49" t="str">
        <f>IFERROR(__xludf.DUMMYFUNCTION("""COMPUTED_VALUE"""),"2cfe348f-e3bb-4ade-8415-fa98e5153868")</f>
        <v>2cfe348f-e3bb-4ade-8415-fa98e5153868</v>
      </c>
      <c r="G29" s="52">
        <f>IFERROR(__xludf.DUMMYFUNCTION("""COMPUTED_VALUE"""),43775.0)</f>
        <v>43775</v>
      </c>
      <c r="H29" s="53">
        <f>IFERROR(__xludf.DUMMYFUNCTION("""COMPUTED_VALUE"""),0.6215277777777778)</f>
        <v>0.6215277778</v>
      </c>
      <c r="I29" s="52">
        <f>IFERROR(__xludf.DUMMYFUNCTION("""COMPUTED_VALUE"""),43775.0)</f>
        <v>43775</v>
      </c>
      <c r="J29" s="53">
        <f>IFERROR(__xludf.DUMMYFUNCTION("""COMPUTED_VALUE"""),0.6354166666666666)</f>
        <v>0.6354166667</v>
      </c>
      <c r="K29" s="53">
        <f t="shared" si="1"/>
        <v>0.01388888889</v>
      </c>
      <c r="L29" s="49" t="s">
        <v>109</v>
      </c>
      <c r="M29" s="62" t="s">
        <v>693</v>
      </c>
      <c r="N29" s="62" t="str">
        <f t="shared" si="2"/>
        <v>SU_6_10_2cfe348f-e3bb-4ade-8415-fa98e5153868_000000_000000.mp4</v>
      </c>
      <c r="O29" s="48"/>
      <c r="P29" s="48"/>
      <c r="Q29" s="63"/>
      <c r="R29" s="49"/>
      <c r="S29" s="49"/>
      <c r="T29" s="49"/>
    </row>
    <row r="30">
      <c r="A30" s="49" t="str">
        <f>IFERROR(__xludf.DUMMYFUNCTION("""COMPUTED_VALUE"""),"Getting your analytics right from day one")</f>
        <v>Getting your analytics right from day one</v>
      </c>
      <c r="B30" s="49" t="str">
        <f>IFERROR(__xludf.DUMMYFUNCTION("""COMPUTED_VALUE"""),"Startup University")</f>
        <v>Startup University</v>
      </c>
      <c r="C30" s="51" t="str">
        <f>IFERROR(__xludf.DUMMYFUNCTION("""COMPUTED_VALUE"""),"Ilya Volodarsky")</f>
        <v>Ilya Volodarsky</v>
      </c>
      <c r="D30" s="49" t="str">
        <f>IFERROR(__xludf.DUMMYFUNCTION("""COMPUTED_VALUE"""),"2019/11/06 15:15:00")</f>
        <v>2019/11/06 15:15:00</v>
      </c>
      <c r="E30" s="49" t="str">
        <f>IFERROR(__xludf.DUMMYFUNCTION("""COMPUTED_VALUE"""),"2019/11/06 15:35:00")</f>
        <v>2019/11/06 15:35:00</v>
      </c>
      <c r="F30" s="49" t="str">
        <f>IFERROR(__xludf.DUMMYFUNCTION("""COMPUTED_VALUE"""),"5578fd61-f636-4643-a82e-ddc99a0f5a20")</f>
        <v>5578fd61-f636-4643-a82e-ddc99a0f5a20</v>
      </c>
      <c r="G30" s="52">
        <f>IFERROR(__xludf.DUMMYFUNCTION("""COMPUTED_VALUE"""),43775.0)</f>
        <v>43775</v>
      </c>
      <c r="H30" s="53">
        <f>IFERROR(__xludf.DUMMYFUNCTION("""COMPUTED_VALUE"""),0.6354166666666666)</f>
        <v>0.6354166667</v>
      </c>
      <c r="I30" s="52">
        <f>IFERROR(__xludf.DUMMYFUNCTION("""COMPUTED_VALUE"""),43775.0)</f>
        <v>43775</v>
      </c>
      <c r="J30" s="53">
        <f>IFERROR(__xludf.DUMMYFUNCTION("""COMPUTED_VALUE"""),0.6493055555555556)</f>
        <v>0.6493055556</v>
      </c>
      <c r="K30" s="53">
        <f t="shared" si="1"/>
        <v>0.01388888889</v>
      </c>
      <c r="L30" s="49" t="s">
        <v>109</v>
      </c>
      <c r="M30" s="62" t="s">
        <v>695</v>
      </c>
      <c r="N30" s="62" t="str">
        <f t="shared" si="2"/>
        <v>SU_6_11_5578fd61-f636-4643-a82e-ddc99a0f5a20_000000_000000.mp4</v>
      </c>
      <c r="O30" s="48"/>
      <c r="P30" s="48"/>
      <c r="Q30" s="63"/>
      <c r="R30" s="49"/>
      <c r="S30" s="49"/>
      <c r="T30" s="49"/>
    </row>
    <row r="31">
      <c r="A31" s="49" t="str">
        <f>IFERROR(__xludf.DUMMYFUNCTION("""COMPUTED_VALUE"""),"Starting and scaling in Europe")</f>
        <v>Starting and scaling in Europe</v>
      </c>
      <c r="B31" s="49" t="str">
        <f>IFERROR(__xludf.DUMMYFUNCTION("""COMPUTED_VALUE"""),"Startup University")</f>
        <v>Startup University</v>
      </c>
      <c r="C31" s="51" t="str">
        <f>IFERROR(__xludf.DUMMYFUNCTION("""COMPUTED_VALUE"""),"Roxanne Varza, Nico Gramenz, Philippe Botteri, Peter Mühlmann and Alex Deane")</f>
        <v>Roxanne Varza, Nico Gramenz, Philippe Botteri, Peter Mühlmann and Alex Deane</v>
      </c>
      <c r="D31" s="49" t="str">
        <f>IFERROR(__xludf.DUMMYFUNCTION("""COMPUTED_VALUE"""),"2019/11/06 15:35:00")</f>
        <v>2019/11/06 15:35:00</v>
      </c>
      <c r="E31" s="49" t="str">
        <f>IFERROR(__xludf.DUMMYFUNCTION("""COMPUTED_VALUE"""),"2019/11/06 16:00:00")</f>
        <v>2019/11/06 16:00:00</v>
      </c>
      <c r="F31" s="49" t="str">
        <f>IFERROR(__xludf.DUMMYFUNCTION("""COMPUTED_VALUE"""),"5d890594-4e28-423d-98e8-cd4397228c08")</f>
        <v>5d890594-4e28-423d-98e8-cd4397228c08</v>
      </c>
      <c r="G31" s="52">
        <f>IFERROR(__xludf.DUMMYFUNCTION("""COMPUTED_VALUE"""),43775.0)</f>
        <v>43775</v>
      </c>
      <c r="H31" s="53">
        <f>IFERROR(__xludf.DUMMYFUNCTION("""COMPUTED_VALUE"""),0.6493055555555556)</f>
        <v>0.6493055556</v>
      </c>
      <c r="I31" s="52">
        <f>IFERROR(__xludf.DUMMYFUNCTION("""COMPUTED_VALUE"""),43775.0)</f>
        <v>43775</v>
      </c>
      <c r="J31" s="53">
        <f>IFERROR(__xludf.DUMMYFUNCTION("""COMPUTED_VALUE"""),0.6666666666666666)</f>
        <v>0.6666666667</v>
      </c>
      <c r="K31" s="53">
        <f t="shared" si="1"/>
        <v>0.01736111111</v>
      </c>
      <c r="L31" s="49" t="s">
        <v>111</v>
      </c>
      <c r="M31" s="62" t="s">
        <v>698</v>
      </c>
      <c r="N31" s="62" t="str">
        <f t="shared" si="2"/>
        <v>SU_6_12_5d890594-4e28-423d-98e8-cd4397228c08_000000_000000.mp4</v>
      </c>
      <c r="O31" s="48"/>
      <c r="P31" s="48"/>
      <c r="Q31" s="63"/>
      <c r="R31" s="49"/>
      <c r="S31" s="49"/>
      <c r="T31" s="49"/>
    </row>
    <row r="32">
      <c r="A32" s="49" t="str">
        <f>IFERROR(__xludf.DUMMYFUNCTION("""COMPUTED_VALUE"""),"The difference between a founder and a leader ")</f>
        <v>The difference between a founder and a leader </v>
      </c>
      <c r="B32" s="49" t="str">
        <f>IFERROR(__xludf.DUMMYFUNCTION("""COMPUTED_VALUE"""),"Startup University")</f>
        <v>Startup University</v>
      </c>
      <c r="C32" s="51" t="str">
        <f>IFERROR(__xludf.DUMMYFUNCTION("""COMPUTED_VALUE"""),"André Penha, Alex Chung, Bedy Yang and Alan Griffin")</f>
        <v>André Penha, Alex Chung, Bedy Yang and Alan Griffin</v>
      </c>
      <c r="D32" s="49" t="str">
        <f>IFERROR(__xludf.DUMMYFUNCTION("""COMPUTED_VALUE"""),"2019/11/06 16:00:00")</f>
        <v>2019/11/06 16:00:00</v>
      </c>
      <c r="E32" s="49" t="str">
        <f>IFERROR(__xludf.DUMMYFUNCTION("""COMPUTED_VALUE"""),"2019/11/06 16:20:00")</f>
        <v>2019/11/06 16:20:00</v>
      </c>
      <c r="F32" s="49" t="str">
        <f>IFERROR(__xludf.DUMMYFUNCTION("""COMPUTED_VALUE"""),"17982f30-dc33-4dfc-9a2d-141622a05b74")</f>
        <v>17982f30-dc33-4dfc-9a2d-141622a05b74</v>
      </c>
      <c r="G32" s="52">
        <f>IFERROR(__xludf.DUMMYFUNCTION("""COMPUTED_VALUE"""),43775.0)</f>
        <v>43775</v>
      </c>
      <c r="H32" s="53">
        <f>IFERROR(__xludf.DUMMYFUNCTION("""COMPUTED_VALUE"""),0.6666666666666666)</f>
        <v>0.6666666667</v>
      </c>
      <c r="I32" s="52">
        <f>IFERROR(__xludf.DUMMYFUNCTION("""COMPUTED_VALUE"""),43775.0)</f>
        <v>43775</v>
      </c>
      <c r="J32" s="53">
        <f>IFERROR(__xludf.DUMMYFUNCTION("""COMPUTED_VALUE"""),0.6805555555555556)</f>
        <v>0.6805555556</v>
      </c>
      <c r="K32" s="53">
        <f t="shared" si="1"/>
        <v>0.01388888889</v>
      </c>
      <c r="L32" s="49" t="s">
        <v>109</v>
      </c>
      <c r="M32" s="62" t="s">
        <v>701</v>
      </c>
      <c r="N32" s="62" t="str">
        <f t="shared" si="2"/>
        <v>SU_6_13_17982f30-dc33-4dfc-9a2d-141622a05b74_000000_000000.mp4</v>
      </c>
      <c r="O32" s="48"/>
      <c r="P32" s="48"/>
      <c r="Q32" s="63"/>
      <c r="R32" s="49"/>
      <c r="S32" s="49"/>
      <c r="T32" s="49"/>
    </row>
    <row r="33">
      <c r="A33" s="49" t="str">
        <f>IFERROR(__xludf.DUMMYFUNCTION("""COMPUTED_VALUE"""),"Leadership amid disruption: CX at scale ")</f>
        <v>Leadership amid disruption: CX at scale </v>
      </c>
      <c r="B33" s="49" t="str">
        <f>IFERROR(__xludf.DUMMYFUNCTION("""COMPUTED_VALUE"""),"Startup University")</f>
        <v>Startup University</v>
      </c>
      <c r="C33" s="51" t="str">
        <f>IFERROR(__xludf.DUMMYFUNCTION("""COMPUTED_VALUE"""),"Domingos Oliveira and Fernando Machado")</f>
        <v>Domingos Oliveira and Fernando Machado</v>
      </c>
      <c r="D33" s="49" t="str">
        <f>IFERROR(__xludf.DUMMYFUNCTION("""COMPUTED_VALUE"""),"2019/11/06 16:20:00")</f>
        <v>2019/11/06 16:20:00</v>
      </c>
      <c r="E33" s="49" t="str">
        <f>IFERROR(__xludf.DUMMYFUNCTION("""COMPUTED_VALUE"""),"2019/11/06 16:40:00")</f>
        <v>2019/11/06 16:40:00</v>
      </c>
      <c r="F33" s="49" t="str">
        <f>IFERROR(__xludf.DUMMYFUNCTION("""COMPUTED_VALUE"""),"571d1335-f8c4-41e2-90b5-1f22084665d3")</f>
        <v>571d1335-f8c4-41e2-90b5-1f22084665d3</v>
      </c>
      <c r="G33" s="52">
        <f>IFERROR(__xludf.DUMMYFUNCTION("""COMPUTED_VALUE"""),43775.0)</f>
        <v>43775</v>
      </c>
      <c r="H33" s="53">
        <f>IFERROR(__xludf.DUMMYFUNCTION("""COMPUTED_VALUE"""),0.6805555555555556)</f>
        <v>0.6805555556</v>
      </c>
      <c r="I33" s="52">
        <f>IFERROR(__xludf.DUMMYFUNCTION("""COMPUTED_VALUE"""),43775.0)</f>
        <v>43775</v>
      </c>
      <c r="J33" s="53">
        <f>IFERROR(__xludf.DUMMYFUNCTION("""COMPUTED_VALUE"""),0.6944444444444444)</f>
        <v>0.6944444444</v>
      </c>
      <c r="K33" s="53">
        <f t="shared" si="1"/>
        <v>0.01388888889</v>
      </c>
      <c r="L33" s="49" t="s">
        <v>109</v>
      </c>
      <c r="M33" s="62" t="s">
        <v>703</v>
      </c>
      <c r="N33" s="62" t="str">
        <f t="shared" si="2"/>
        <v>SU_6_14_571d1335-f8c4-41e2-90b5-1f22084665d3_000000_000000.mp4</v>
      </c>
      <c r="O33" s="48"/>
      <c r="P33" s="48"/>
      <c r="Q33" s="63"/>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f t="shared" si="1"/>
        <v>0</v>
      </c>
      <c r="L34" s="49" t="s">
        <v>255</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f t="shared" si="1"/>
        <v>0</v>
      </c>
      <c r="L35" s="49" t="s">
        <v>255</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f t="shared" si="1"/>
        <v>0</v>
      </c>
      <c r="L36" s="49" t="s">
        <v>255</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f t="shared" si="1"/>
        <v>0</v>
      </c>
      <c r="L37" s="49" t="s">
        <v>255</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f t="shared" si="1"/>
        <v>0</v>
      </c>
      <c r="L38" s="49" t="s">
        <v>255</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f t="shared" si="1"/>
        <v>0</v>
      </c>
      <c r="L39" s="49" t="s">
        <v>255</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f t="shared" si="1"/>
        <v>0</v>
      </c>
      <c r="L40" s="49" t="s">
        <v>255</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f t="shared" si="1"/>
        <v>0</v>
      </c>
      <c r="L41" s="49" t="s">
        <v>255</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f t="shared" si="1"/>
        <v>0</v>
      </c>
      <c r="L42" s="49" t="s">
        <v>255</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f t="shared" si="1"/>
        <v>0</v>
      </c>
      <c r="L43" s="49" t="s">
        <v>255</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f t="shared" si="1"/>
        <v>0</v>
      </c>
      <c r="L44" s="49" t="s">
        <v>255</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255</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255</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255</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255</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255</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255</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255</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255</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255</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255</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255</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255</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255</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255</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255</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255</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255</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255</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255</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255</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255</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255</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255</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255</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255</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255</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255</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255</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255</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255</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255</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255</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255</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255</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255</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255</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255</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255</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255</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255</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255</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255</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255</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255</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255</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255</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255</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255</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255</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255</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255</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255</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255</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255</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255</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255</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255</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255</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255</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255</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255</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255</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255</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255</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255</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255</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255</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255</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255</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255</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255</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255</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255</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255</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255</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255</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255</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255</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255</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255</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255</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255</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255</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255</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255</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255</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255</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255</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255</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255</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255</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255</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255</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255</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255</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255</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255</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255</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255</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255</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255</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255</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255</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255</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255</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255</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255</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255</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255</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255</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255</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255</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255</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255</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255</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255</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255</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255</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255</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255</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255</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255</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255</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255</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255</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255</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255</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255</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255</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255</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255</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255</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255</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255</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255</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255</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255</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255</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255</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255</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255</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255</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255</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255</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255</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255</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255</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255</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255</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255</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255</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255</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255</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255</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255</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255</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255</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255</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255</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255</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255</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255</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255</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255</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255</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255</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255</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255</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255</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255</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255</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255</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255</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255</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255</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255</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255</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255</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255</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255</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255</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255</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255</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255</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255</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255</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255</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255</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255</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255</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255</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255</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255</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255</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255</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255</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255</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255</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255</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255</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255</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255</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255</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255</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255</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255</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255</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255</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255</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255</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255</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255</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255</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255</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255</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255</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255</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255</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255</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255</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255</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255</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255</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255</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255</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255</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255</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255</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255</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255</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255</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255</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255</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255</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255</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255</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255</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255</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255</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255</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255</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255</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255</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255</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255</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255</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255</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255</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255</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255</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255</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255</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255</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255</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255</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255</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255</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255</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255</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255</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255</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255</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255</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255</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255</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255</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255</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255</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255</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255</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255</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255</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255</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255</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255</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255</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255</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255</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255</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255</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255</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255</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255</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255</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255</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255</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255</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255</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255</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255</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255</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255</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255</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255</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255</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255</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255</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255</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255</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255</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255</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255</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255</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255</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255</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255</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255</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255</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255</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255</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255</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255</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255</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255</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255</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255</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255</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255</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255</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255</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255</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255</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255</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255</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255</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255</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255</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255</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255</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255</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255</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255</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255</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255</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255</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255</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255</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255</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255</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255</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255</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255</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255</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255</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255</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255</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255</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255</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255</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255</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255</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255</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255</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255</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255</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255</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255</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255</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255</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255</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255</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255</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255</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255</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255</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255</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255</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255</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255</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255</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255</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255</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255</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255</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255</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255</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255</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255</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255</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255</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255</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255</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255</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255</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255</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255</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255</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255</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255</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255</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255</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255</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255</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255</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255</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255</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255</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255</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255</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255</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255</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255</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255</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255</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255</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255</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255</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255</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255</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255</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255</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255</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255</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255</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255</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255</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255</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255</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255</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255</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255</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255</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255</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255</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255</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255</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255</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255</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255</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255</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255</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255</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255</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255</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255</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255</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255</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255</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255</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255</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255</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255</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255</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255</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255</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255</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255</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255</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255</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255</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255</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255</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255</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255</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255</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255</v>
      </c>
      <c r="M533" s="49"/>
      <c r="N533" s="49"/>
      <c r="O533" s="49"/>
      <c r="P533" s="49"/>
      <c r="Q533" s="49"/>
      <c r="R533" s="49"/>
      <c r="S533" s="49"/>
      <c r="T533" s="49"/>
    </row>
    <row r="534">
      <c r="A534" s="49"/>
      <c r="B534" s="49"/>
      <c r="C534" s="51"/>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255</v>
      </c>
      <c r="M534" s="49"/>
      <c r="N534" s="49"/>
      <c r="O534" s="49"/>
      <c r="P534" s="49"/>
      <c r="Q534" s="49"/>
      <c r="R534" s="49"/>
      <c r="S534" s="49"/>
      <c r="T534" s="49"/>
    </row>
    <row r="535">
      <c r="A535" s="49"/>
      <c r="B535" s="49"/>
      <c r="C535" s="51"/>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255</v>
      </c>
      <c r="M535" s="49"/>
      <c r="N535" s="49"/>
      <c r="O535" s="49"/>
      <c r="P535" s="49"/>
      <c r="Q535" s="49"/>
      <c r="R535" s="49"/>
      <c r="S535" s="49"/>
      <c r="T535" s="49"/>
    </row>
    <row r="536">
      <c r="A536" s="49"/>
      <c r="B536" s="49"/>
      <c r="C536" s="51"/>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255</v>
      </c>
      <c r="M536" s="49"/>
      <c r="N536" s="49"/>
      <c r="O536" s="49"/>
      <c r="P536" s="49"/>
      <c r="Q536" s="49"/>
      <c r="R536" s="49"/>
      <c r="S536" s="49"/>
      <c r="T536" s="49"/>
    </row>
    <row r="537">
      <c r="A537" s="49"/>
      <c r="B537" s="49"/>
      <c r="C537" s="51"/>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255</v>
      </c>
      <c r="M537" s="49"/>
      <c r="N537" s="49"/>
      <c r="O537" s="49"/>
      <c r="P537" s="49"/>
      <c r="Q537" s="49"/>
      <c r="R537" s="49"/>
      <c r="S537" s="49"/>
      <c r="T537" s="49"/>
    </row>
    <row r="538">
      <c r="A538" s="49"/>
      <c r="B538" s="49"/>
      <c r="C538" s="51"/>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255</v>
      </c>
      <c r="M538" s="49"/>
      <c r="N538" s="49"/>
      <c r="O538" s="49"/>
      <c r="P538" s="49"/>
      <c r="Q538" s="49"/>
      <c r="R538" s="49"/>
      <c r="S538" s="49"/>
      <c r="T538" s="49"/>
    </row>
    <row r="539">
      <c r="A539" s="49"/>
      <c r="B539" s="49"/>
      <c r="C539" s="51"/>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255</v>
      </c>
      <c r="M539" s="49"/>
      <c r="N539" s="49"/>
      <c r="O539" s="49"/>
      <c r="P539" s="49"/>
      <c r="Q539" s="49"/>
      <c r="R539" s="49"/>
      <c r="S539" s="49"/>
      <c r="T539" s="49"/>
    </row>
    <row r="540">
      <c r="A540" s="49"/>
      <c r="B540" s="49"/>
      <c r="C540" s="51"/>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255</v>
      </c>
      <c r="M540" s="49"/>
      <c r="N540" s="49"/>
      <c r="O540" s="49"/>
      <c r="P540" s="49"/>
      <c r="Q540" s="49"/>
      <c r="R540" s="49"/>
      <c r="S540" s="49"/>
      <c r="T540" s="49"/>
    </row>
    <row r="541">
      <c r="A541" s="49"/>
      <c r="B541" s="49"/>
      <c r="C541" s="51"/>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255</v>
      </c>
      <c r="M541" s="49"/>
      <c r="N541" s="49"/>
      <c r="O541" s="49"/>
      <c r="P541" s="49"/>
      <c r="Q541" s="49"/>
      <c r="R541" s="49"/>
      <c r="S541" s="49"/>
      <c r="T541" s="49"/>
    </row>
    <row r="542">
      <c r="A542" s="49"/>
      <c r="B542" s="49"/>
      <c r="C542" s="51"/>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255</v>
      </c>
      <c r="M542" s="49"/>
      <c r="N542" s="49"/>
      <c r="O542" s="49"/>
      <c r="P542" s="49"/>
      <c r="Q542" s="49"/>
      <c r="R542" s="49"/>
      <c r="S542" s="49"/>
      <c r="T542" s="49"/>
    </row>
    <row r="543">
      <c r="A543" s="49"/>
      <c r="B543" s="49"/>
      <c r="C543" s="51"/>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255</v>
      </c>
      <c r="M543" s="49"/>
      <c r="N543" s="49"/>
      <c r="O543" s="49"/>
      <c r="P543" s="49"/>
      <c r="Q543" s="49"/>
      <c r="R543" s="49"/>
      <c r="S543" s="49"/>
      <c r="T543" s="49"/>
    </row>
    <row r="544">
      <c r="A544" s="49"/>
      <c r="B544" s="49"/>
      <c r="C544" s="51"/>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255</v>
      </c>
      <c r="M544" s="49"/>
      <c r="N544" s="49"/>
      <c r="O544" s="49"/>
      <c r="P544" s="49"/>
      <c r="Q544" s="49"/>
      <c r="R544" s="49"/>
      <c r="S544" s="49"/>
      <c r="T544" s="49"/>
    </row>
    <row r="545">
      <c r="A545" s="49"/>
      <c r="B545" s="49"/>
      <c r="C545" s="51"/>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255</v>
      </c>
      <c r="M545" s="49"/>
      <c r="N545" s="49"/>
      <c r="O545" s="49"/>
      <c r="P545" s="49"/>
      <c r="Q545" s="49"/>
      <c r="R545" s="49"/>
      <c r="S545" s="49"/>
      <c r="T545" s="49"/>
    </row>
  </sheetData>
  <conditionalFormatting sqref="O2:O33">
    <cfRule type="containsText" dxfId="4" priority="1" operator="containsText" text="YES">
      <formula>NOT(ISERROR(SEARCH(("YES"),(O2))))</formula>
    </cfRule>
  </conditionalFormatting>
  <conditionalFormatting sqref="O2:O33">
    <cfRule type="cellIs" dxfId="5" priority="2" operator="equal">
      <formula>"NO"</formula>
    </cfRule>
  </conditionalFormatting>
  <conditionalFormatting sqref="P2:P33">
    <cfRule type="cellIs" dxfId="4" priority="3" operator="equal">
      <formula>"AVAILABLE"</formula>
    </cfRule>
  </conditionalFormatting>
  <conditionalFormatting sqref="P2:P33">
    <cfRule type="cellIs" dxfId="5" priority="4" operator="equal">
      <formula>"NOT AVAILABLE"</formula>
    </cfRule>
  </conditionalFormatting>
  <conditionalFormatting sqref="Q2:Q33">
    <cfRule type="cellIs" dxfId="4" priority="5" operator="equal">
      <formula>"AVAILABLE"</formula>
    </cfRule>
  </conditionalFormatting>
  <conditionalFormatting sqref="Q2:Q33">
    <cfRule type="cellIs" dxfId="6" priority="6" operator="equal">
      <formula>"UPLOADING"</formula>
    </cfRule>
  </conditionalFormatting>
  <conditionalFormatting sqref="Q2:Q33">
    <cfRule type="cellIs" dxfId="5" priority="7" operator="equal">
      <formula>"NOT AVAILABLE"</formula>
    </cfRule>
  </conditionalFormatting>
  <dataValidations>
    <dataValidation type="list" allowBlank="1" sqref="O2:O33">
      <formula1>"YES,NO"</formula1>
    </dataValidation>
    <dataValidation type="list" allowBlank="1" sqref="P2:P33">
      <formula1>"AVAILABLE,NOT AVAILABLE"</formula1>
    </dataValidation>
    <dataValidation type="list" allowBlank="1" sqref="Q2:Q33">
      <formula1>"AVAILABLE,UPLOADING,NOT AVAILABLE"</formula1>
    </dataValidation>
  </dataValidations>
  <drawing r:id="rId1"/>
  <tableParts count="1">
    <tablePart r:id="rId3"/>
  </tableParts>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0"/>
    <col customWidth="1" min="3" max="3" width="26.0"/>
    <col hidden="1" min="4" max="5" width="14.43"/>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49" t="str">
        <f>IFERROR(__xludf.DUMMYFUNCTION("QUERY(Master!A:H,""SELECT A,C,D,F,G,H where C = 'Modum' ORDER BY F"")"),"Opening remarks")</f>
        <v>Opening remarks</v>
      </c>
      <c r="B2" s="49" t="str">
        <f>IFERROR(__xludf.DUMMYFUNCTION("""COMPUTED_VALUE"""),"Modum")</f>
        <v>Modum</v>
      </c>
      <c r="C2" s="51" t="str">
        <f>IFERROR(__xludf.DUMMYFUNCTION("""COMPUTED_VALUE"""),"Lais de Oliveira")</f>
        <v>Lais de Oliveira</v>
      </c>
      <c r="D2" s="49" t="str">
        <f>IFERROR(__xludf.DUMMYFUNCTION("""COMPUTED_VALUE"""),"2019/11/07 11:15:00")</f>
        <v>2019/11/07 11:15:00</v>
      </c>
      <c r="E2" s="49" t="str">
        <f>IFERROR(__xludf.DUMMYFUNCTION("""COMPUTED_VALUE"""),"2019/11/07 11:30:00")</f>
        <v>2019/11/07 11:30:00</v>
      </c>
      <c r="F2" s="49" t="str">
        <f>IFERROR(__xludf.DUMMYFUNCTION("""COMPUTED_VALUE"""),"a079030a-805d-4bc9-805c-6cb55eff3b3c")</f>
        <v>a079030a-805d-4bc9-805c-6cb55eff3b3c</v>
      </c>
      <c r="G2" s="52">
        <f>IFERROR(__xludf.DUMMYFUNCTION("ARRAYFORMULA(SPLIT(D2:D523,"" ""))"),43776.0)</f>
        <v>43776</v>
      </c>
      <c r="H2" s="53">
        <f>IFERROR(__xludf.DUMMYFUNCTION("""COMPUTED_VALUE"""),0.46875)</f>
        <v>0.46875</v>
      </c>
      <c r="I2" s="54">
        <f>IFERROR(__xludf.DUMMYFUNCTION("ARRAYFORMULA(SPLIT(E2:E523,"" ""))"),43776.0)</f>
        <v>43776</v>
      </c>
      <c r="J2" s="53">
        <f>IFERROR(__xludf.DUMMYFUNCTION("""COMPUTED_VALUE"""),0.4791666666666667)</f>
        <v>0.4791666667</v>
      </c>
      <c r="K2" s="53">
        <f t="shared" ref="K2:K22" si="1">J2-H2</f>
        <v>0.01041666667</v>
      </c>
      <c r="L2" s="50" t="str">
        <f t="array" ref="L2:L523">TEXT(K2:K523,"hhmmss")</f>
        <v>001500</v>
      </c>
      <c r="M2" s="62" t="s">
        <v>323</v>
      </c>
      <c r="N2" s="62" t="str">
        <f t="shared" ref="N2:N14" si="2">CONCATENATE(M2,"_",F2,"_","000000_000000.mp4")</f>
        <v>MD_7_1_a079030a-805d-4bc9-805c-6cb55eff3b3c_000000_000000.mp4</v>
      </c>
      <c r="O2" s="48"/>
      <c r="P2" s="48"/>
      <c r="Q2" s="63"/>
      <c r="R2" s="49"/>
      <c r="S2" s="49"/>
      <c r="T2" s="49"/>
    </row>
    <row r="3">
      <c r="A3" s="49" t="str">
        <f>IFERROR(__xludf.DUMMYFUNCTION("""COMPUTED_VALUE"""),"Building an anti-brand: The evolution of visual culture")</f>
        <v>Building an anti-brand: The evolution of visual culture</v>
      </c>
      <c r="B3" s="49" t="str">
        <f>IFERROR(__xludf.DUMMYFUNCTION("""COMPUTED_VALUE"""),"Modum")</f>
        <v>Modum</v>
      </c>
      <c r="C3" s="51" t="str">
        <f>IFERROR(__xludf.DUMMYFUNCTION("""COMPUTED_VALUE""")," , Greg Lutze, Kenneth Richard and Natalie Salmon")</f>
        <v> , Greg Lutze, Kenneth Richard and Natalie Salmon</v>
      </c>
      <c r="D3" s="49" t="str">
        <f>IFERROR(__xludf.DUMMYFUNCTION("""COMPUTED_VALUE"""),"2019/11/07 11:30:00")</f>
        <v>2019/11/07 11:30:00</v>
      </c>
      <c r="E3" s="49" t="str">
        <f>IFERROR(__xludf.DUMMYFUNCTION("""COMPUTED_VALUE"""),"2019/11/07 11:55:00")</f>
        <v>2019/11/07 11:55:00</v>
      </c>
      <c r="F3" s="49" t="str">
        <f>IFERROR(__xludf.DUMMYFUNCTION("""COMPUTED_VALUE"""),"5e0d7839-5cd6-4d94-928a-65450a52ee50")</f>
        <v>5e0d7839-5cd6-4d94-928a-65450a52ee50</v>
      </c>
      <c r="G3" s="52">
        <f>IFERROR(__xludf.DUMMYFUNCTION("""COMPUTED_VALUE"""),43776.0)</f>
        <v>43776</v>
      </c>
      <c r="H3" s="53">
        <f>IFERROR(__xludf.DUMMYFUNCTION("""COMPUTED_VALUE"""),0.4791666666666667)</f>
        <v>0.4791666667</v>
      </c>
      <c r="I3" s="52">
        <f>IFERROR(__xludf.DUMMYFUNCTION("""COMPUTED_VALUE"""),43776.0)</f>
        <v>43776</v>
      </c>
      <c r="J3" s="53">
        <f>IFERROR(__xludf.DUMMYFUNCTION("""COMPUTED_VALUE"""),0.4965277777777778)</f>
        <v>0.4965277778</v>
      </c>
      <c r="K3" s="53">
        <f t="shared" si="1"/>
        <v>0.01736111111</v>
      </c>
      <c r="L3" s="49" t="s">
        <v>111</v>
      </c>
      <c r="M3" s="62" t="s">
        <v>330</v>
      </c>
      <c r="N3" s="62" t="str">
        <f t="shared" si="2"/>
        <v>MD_7_2_5e0d7839-5cd6-4d94-928a-65450a52ee50_000000_000000.mp4</v>
      </c>
      <c r="O3" s="48"/>
      <c r="P3" s="48"/>
      <c r="Q3" s="63"/>
      <c r="R3" s="49"/>
      <c r="S3" s="49"/>
      <c r="T3" s="49"/>
    </row>
    <row r="4">
      <c r="A4" s="49" t="str">
        <f>IFERROR(__xludf.DUMMYFUNCTION("""COMPUTED_VALUE"""),"Will tech be the downfall of luxury?")</f>
        <v>Will tech be the downfall of luxury?</v>
      </c>
      <c r="B4" s="49" t="str">
        <f>IFERROR(__xludf.DUMMYFUNCTION("""COMPUTED_VALUE"""),"Modum")</f>
        <v>Modum</v>
      </c>
      <c r="C4" s="51" t="str">
        <f>IFERROR(__xludf.DUMMYFUNCTION("""COMPUTED_VALUE"""),"Josh Luber, Josh Builder and Maghan McDowell")</f>
        <v>Josh Luber, Josh Builder and Maghan McDowell</v>
      </c>
      <c r="D4" s="49" t="str">
        <f>IFERROR(__xludf.DUMMYFUNCTION("""COMPUTED_VALUE"""),"2019/11/07 11:55:00")</f>
        <v>2019/11/07 11:55:00</v>
      </c>
      <c r="E4" s="49" t="str">
        <f>IFERROR(__xludf.DUMMYFUNCTION("""COMPUTED_VALUE"""),"2019/11/07 12:15:00")</f>
        <v>2019/11/07 12:15:00</v>
      </c>
      <c r="F4" s="49" t="str">
        <f>IFERROR(__xludf.DUMMYFUNCTION("""COMPUTED_VALUE"""),"68eae125-59cb-4b05-ae94-556cedf8be73")</f>
        <v>68eae125-59cb-4b05-ae94-556cedf8be73</v>
      </c>
      <c r="G4" s="52">
        <f>IFERROR(__xludf.DUMMYFUNCTION("""COMPUTED_VALUE"""),43776.0)</f>
        <v>43776</v>
      </c>
      <c r="H4" s="53">
        <f>IFERROR(__xludf.DUMMYFUNCTION("""COMPUTED_VALUE"""),0.4965277777777778)</f>
        <v>0.4965277778</v>
      </c>
      <c r="I4" s="52">
        <f>IFERROR(__xludf.DUMMYFUNCTION("""COMPUTED_VALUE"""),43776.0)</f>
        <v>43776</v>
      </c>
      <c r="J4" s="53">
        <f>IFERROR(__xludf.DUMMYFUNCTION("""COMPUTED_VALUE"""),0.5104166666666666)</f>
        <v>0.5104166667</v>
      </c>
      <c r="K4" s="53">
        <f t="shared" si="1"/>
        <v>0.01388888889</v>
      </c>
      <c r="L4" s="49" t="s">
        <v>109</v>
      </c>
      <c r="M4" s="62" t="s">
        <v>334</v>
      </c>
      <c r="N4" s="62" t="str">
        <f t="shared" si="2"/>
        <v>MD_7_3_68eae125-59cb-4b05-ae94-556cedf8be73_000000_000000.mp4</v>
      </c>
      <c r="O4" s="48"/>
      <c r="P4" s="48"/>
      <c r="Q4" s="63"/>
      <c r="R4" s="49"/>
      <c r="S4" s="49"/>
      <c r="T4" s="49"/>
    </row>
    <row r="5">
      <c r="A5" s="49" t="str">
        <f>IFERROR(__xludf.DUMMYFUNCTION("""COMPUTED_VALUE"""),"Fashiontech: Transforming a timeless brand")</f>
        <v>Fashiontech: Transforming a timeless brand</v>
      </c>
      <c r="B5" s="49" t="str">
        <f>IFERROR(__xludf.DUMMYFUNCTION("""COMPUTED_VALUE"""),"Modum")</f>
        <v>Modum</v>
      </c>
      <c r="C5" s="51" t="str">
        <f>IFERROR(__xludf.DUMMYFUNCTION("""COMPUTED_VALUE"""),"Daniel Grieder")</f>
        <v>Daniel Grieder</v>
      </c>
      <c r="D5" s="49" t="str">
        <f>IFERROR(__xludf.DUMMYFUNCTION("""COMPUTED_VALUE"""),"2019/11/07 12:15:00")</f>
        <v>2019/11/07 12:15:00</v>
      </c>
      <c r="E5" s="49" t="str">
        <f>IFERROR(__xludf.DUMMYFUNCTION("""COMPUTED_VALUE"""),"2019/11/07 12:35:00")</f>
        <v>2019/11/07 12:35:00</v>
      </c>
      <c r="F5" s="49" t="str">
        <f>IFERROR(__xludf.DUMMYFUNCTION("""COMPUTED_VALUE"""),"0d5543cd-dd6e-4465-bb9d-54605cd5729c")</f>
        <v>0d5543cd-dd6e-4465-bb9d-54605cd5729c</v>
      </c>
      <c r="G5" s="52">
        <f>IFERROR(__xludf.DUMMYFUNCTION("""COMPUTED_VALUE"""),43776.0)</f>
        <v>43776</v>
      </c>
      <c r="H5" s="53">
        <f>IFERROR(__xludf.DUMMYFUNCTION("""COMPUTED_VALUE"""),0.5104166666666666)</f>
        <v>0.5104166667</v>
      </c>
      <c r="I5" s="52">
        <f>IFERROR(__xludf.DUMMYFUNCTION("""COMPUTED_VALUE"""),43776.0)</f>
        <v>43776</v>
      </c>
      <c r="J5" s="53">
        <f>IFERROR(__xludf.DUMMYFUNCTION("""COMPUTED_VALUE"""),0.5243055555555556)</f>
        <v>0.5243055556</v>
      </c>
      <c r="K5" s="53">
        <f t="shared" si="1"/>
        <v>0.01388888889</v>
      </c>
      <c r="L5" s="49" t="s">
        <v>109</v>
      </c>
      <c r="M5" s="62" t="s">
        <v>338</v>
      </c>
      <c r="N5" s="62" t="str">
        <f t="shared" si="2"/>
        <v>MD_7_4_0d5543cd-dd6e-4465-bb9d-54605cd5729c_000000_000000.mp4</v>
      </c>
      <c r="O5" s="48"/>
      <c r="P5" s="48"/>
      <c r="Q5" s="63"/>
      <c r="R5" s="49"/>
      <c r="S5" s="49"/>
      <c r="T5" s="49"/>
    </row>
    <row r="6">
      <c r="A6" s="49" t="str">
        <f>IFERROR(__xludf.DUMMYFUNCTION("""COMPUTED_VALUE"""),"Robotics... but make it fashion ")</f>
        <v>Robotics... but make it fashion </v>
      </c>
      <c r="B6" s="49" t="str">
        <f>IFERROR(__xludf.DUMMYFUNCTION("""COMPUTED_VALUE"""),"Modum")</f>
        <v>Modum</v>
      </c>
      <c r="C6" s="51" t="str">
        <f>IFERROR(__xludf.DUMMYFUNCTION("""COMPUTED_VALUE"""),"Florian Jansen, Lisa Lang, Amber Jae Slooten and Mark Russell")</f>
        <v>Florian Jansen, Lisa Lang, Amber Jae Slooten and Mark Russell</v>
      </c>
      <c r="D6" s="49" t="str">
        <f>IFERROR(__xludf.DUMMYFUNCTION("""COMPUTED_VALUE"""),"2019/11/07 12:35:00")</f>
        <v>2019/11/07 12:35:00</v>
      </c>
      <c r="E6" s="49" t="str">
        <f>IFERROR(__xludf.DUMMYFUNCTION("""COMPUTED_VALUE"""),"2019/11/07 13:00:00")</f>
        <v>2019/11/07 13:00:00</v>
      </c>
      <c r="F6" s="49" t="str">
        <f>IFERROR(__xludf.DUMMYFUNCTION("""COMPUTED_VALUE"""),"fcd3ef5d-ed1e-4ef9-8e1f-cd42aa06a500")</f>
        <v>fcd3ef5d-ed1e-4ef9-8e1f-cd42aa06a500</v>
      </c>
      <c r="G6" s="52">
        <f>IFERROR(__xludf.DUMMYFUNCTION("""COMPUTED_VALUE"""),43776.0)</f>
        <v>43776</v>
      </c>
      <c r="H6" s="53">
        <f>IFERROR(__xludf.DUMMYFUNCTION("""COMPUTED_VALUE"""),0.5243055555555556)</f>
        <v>0.5243055556</v>
      </c>
      <c r="I6" s="52">
        <f>IFERROR(__xludf.DUMMYFUNCTION("""COMPUTED_VALUE"""),43776.0)</f>
        <v>43776</v>
      </c>
      <c r="J6" s="53">
        <f>IFERROR(__xludf.DUMMYFUNCTION("""COMPUTED_VALUE"""),0.5416666666666666)</f>
        <v>0.5416666667</v>
      </c>
      <c r="K6" s="53">
        <f t="shared" si="1"/>
        <v>0.01736111111</v>
      </c>
      <c r="L6" s="49" t="s">
        <v>111</v>
      </c>
      <c r="M6" s="62" t="s">
        <v>705</v>
      </c>
      <c r="N6" s="62" t="str">
        <f t="shared" si="2"/>
        <v>MD_7_5_fcd3ef5d-ed1e-4ef9-8e1f-cd42aa06a500_000000_000000.mp4</v>
      </c>
      <c r="O6" s="48"/>
      <c r="P6" s="48"/>
      <c r="Q6" s="63"/>
      <c r="R6" s="49"/>
      <c r="S6" s="49"/>
      <c r="T6" s="49"/>
    </row>
    <row r="7">
      <c r="A7" s="49" t="str">
        <f>IFERROR(__xludf.DUMMYFUNCTION("""COMPUTED_VALUE"""),"What's in store for retail? The era of experience")</f>
        <v>What's in store for retail? The era of experience</v>
      </c>
      <c r="B7" s="49" t="str">
        <f>IFERROR(__xludf.DUMMYFUNCTION("""COMPUTED_VALUE"""),"Modum")</f>
        <v>Modum</v>
      </c>
      <c r="C7" s="51" t="str">
        <f>IFERROR(__xludf.DUMMYFUNCTION("""COMPUTED_VALUE"""),"Annia Spiliopoulos, Annastasia Seebohm and Alex Deane")</f>
        <v>Annia Spiliopoulos, Annastasia Seebohm and Alex Deane</v>
      </c>
      <c r="D7" s="49" t="str">
        <f>IFERROR(__xludf.DUMMYFUNCTION("""COMPUTED_VALUE"""),"2019/11/07 13:00:00")</f>
        <v>2019/11/07 13:00:00</v>
      </c>
      <c r="E7" s="49" t="str">
        <f>IFERROR(__xludf.DUMMYFUNCTION("""COMPUTED_VALUE"""),"2019/11/07 13:20:00")</f>
        <v>2019/11/07 13:20:00</v>
      </c>
      <c r="F7" s="49" t="str">
        <f>IFERROR(__xludf.DUMMYFUNCTION("""COMPUTED_VALUE"""),"11d33255-a863-4df8-8e46-9b07ab1fdd54")</f>
        <v>11d33255-a863-4df8-8e46-9b07ab1fdd54</v>
      </c>
      <c r="G7" s="52">
        <f>IFERROR(__xludf.DUMMYFUNCTION("""COMPUTED_VALUE"""),43776.0)</f>
        <v>43776</v>
      </c>
      <c r="H7" s="53">
        <f>IFERROR(__xludf.DUMMYFUNCTION("""COMPUTED_VALUE"""),0.5416666666666666)</f>
        <v>0.5416666667</v>
      </c>
      <c r="I7" s="52">
        <f>IFERROR(__xludf.DUMMYFUNCTION("""COMPUTED_VALUE"""),43776.0)</f>
        <v>43776</v>
      </c>
      <c r="J7" s="53">
        <f>IFERROR(__xludf.DUMMYFUNCTION("""COMPUTED_VALUE"""),0.5555555555555556)</f>
        <v>0.5555555556</v>
      </c>
      <c r="K7" s="53">
        <f t="shared" si="1"/>
        <v>0.01388888889</v>
      </c>
      <c r="L7" s="49" t="s">
        <v>109</v>
      </c>
      <c r="M7" s="62" t="s">
        <v>706</v>
      </c>
      <c r="N7" s="62" t="str">
        <f t="shared" si="2"/>
        <v>MD_7_6_11d33255-a863-4df8-8e46-9b07ab1fdd54_000000_000000.mp4</v>
      </c>
      <c r="O7" s="48"/>
      <c r="P7" s="48"/>
      <c r="Q7" s="63"/>
      <c r="R7" s="49"/>
      <c r="S7" s="49"/>
      <c r="T7" s="49"/>
    </row>
    <row r="8">
      <c r="A8" s="49" t="str">
        <f>IFERROR(__xludf.DUMMYFUNCTION("""COMPUTED_VALUE"""),"Democratising influencer marketing")</f>
        <v>Democratising influencer marketing</v>
      </c>
      <c r="B8" s="49" t="str">
        <f>IFERROR(__xludf.DUMMYFUNCTION("""COMPUTED_VALUE"""),"Modum")</f>
        <v>Modum</v>
      </c>
      <c r="C8" s="51" t="str">
        <f>IFERROR(__xludf.DUMMYFUNCTION("""COMPUTED_VALUE"""),"Rachel Waller, Bonnie Takhar, John Kinder, Brita Fernandez Schmidt and Natalie Salmon")</f>
        <v>Rachel Waller, Bonnie Takhar, John Kinder, Brita Fernandez Schmidt and Natalie Salmon</v>
      </c>
      <c r="D8" s="49" t="str">
        <f>IFERROR(__xludf.DUMMYFUNCTION("""COMPUTED_VALUE"""),"2019/11/07 13:20:00")</f>
        <v>2019/11/07 13:20:00</v>
      </c>
      <c r="E8" s="49" t="str">
        <f>IFERROR(__xludf.DUMMYFUNCTION("""COMPUTED_VALUE"""),"2019/11/07 13:45:00")</f>
        <v>2019/11/07 13:45:00</v>
      </c>
      <c r="F8" s="49" t="str">
        <f>IFERROR(__xludf.DUMMYFUNCTION("""COMPUTED_VALUE"""),"2226844c-4cf8-4e32-8e96-4ac0718464e9")</f>
        <v>2226844c-4cf8-4e32-8e96-4ac0718464e9</v>
      </c>
      <c r="G8" s="52">
        <f>IFERROR(__xludf.DUMMYFUNCTION("""COMPUTED_VALUE"""),43776.0)</f>
        <v>43776</v>
      </c>
      <c r="H8" s="53">
        <f>IFERROR(__xludf.DUMMYFUNCTION("""COMPUTED_VALUE"""),0.5555555555555556)</f>
        <v>0.5555555556</v>
      </c>
      <c r="I8" s="52">
        <f>IFERROR(__xludf.DUMMYFUNCTION("""COMPUTED_VALUE"""),43776.0)</f>
        <v>43776</v>
      </c>
      <c r="J8" s="53">
        <f>IFERROR(__xludf.DUMMYFUNCTION("""COMPUTED_VALUE"""),0.5729166666666666)</f>
        <v>0.5729166667</v>
      </c>
      <c r="K8" s="53">
        <f t="shared" si="1"/>
        <v>0.01736111111</v>
      </c>
      <c r="L8" s="49" t="s">
        <v>111</v>
      </c>
      <c r="M8" s="62" t="s">
        <v>707</v>
      </c>
      <c r="N8" s="62" t="str">
        <f t="shared" si="2"/>
        <v>MD_7_7_2226844c-4cf8-4e32-8e96-4ac0718464e9_000000_000000.mp4</v>
      </c>
      <c r="O8" s="48"/>
      <c r="P8" s="48"/>
      <c r="Q8" s="63"/>
      <c r="R8" s="49"/>
      <c r="S8" s="49"/>
      <c r="T8" s="49"/>
    </row>
    <row r="9">
      <c r="A9" s="49" t="str">
        <f>IFERROR(__xludf.DUMMYFUNCTION("""COMPUTED_VALUE"""),"Lunch break")</f>
        <v>Lunch break</v>
      </c>
      <c r="B9" s="49" t="str">
        <f>IFERROR(__xludf.DUMMYFUNCTION("""COMPUTED_VALUE"""),"Modum")</f>
        <v>Modum</v>
      </c>
      <c r="C9" s="51" t="str">
        <f>IFERROR(__xludf.DUMMYFUNCTION("""COMPUTED_VALUE"""),"")</f>
        <v/>
      </c>
      <c r="D9" s="49" t="str">
        <f>IFERROR(__xludf.DUMMYFUNCTION("""COMPUTED_VALUE"""),"2019/11/07 13:45:00")</f>
        <v>2019/11/07 13:45:00</v>
      </c>
      <c r="E9" s="49" t="str">
        <f>IFERROR(__xludf.DUMMYFUNCTION("""COMPUTED_VALUE"""),"2019/11/07 14:25:00")</f>
        <v>2019/11/07 14:25:00</v>
      </c>
      <c r="F9" s="49" t="str">
        <f>IFERROR(__xludf.DUMMYFUNCTION("""COMPUTED_VALUE"""),"1042baa7-d502-4e56-a154-39bac8cd874e")</f>
        <v>1042baa7-d502-4e56-a154-39bac8cd874e</v>
      </c>
      <c r="G9" s="52">
        <f>IFERROR(__xludf.DUMMYFUNCTION("""COMPUTED_VALUE"""),43776.0)</f>
        <v>43776</v>
      </c>
      <c r="H9" s="53">
        <f>IFERROR(__xludf.DUMMYFUNCTION("""COMPUTED_VALUE"""),0.5729166666666666)</f>
        <v>0.5729166667</v>
      </c>
      <c r="I9" s="52">
        <f>IFERROR(__xludf.DUMMYFUNCTION("""COMPUTED_VALUE"""),43776.0)</f>
        <v>43776</v>
      </c>
      <c r="J9" s="53">
        <f>IFERROR(__xludf.DUMMYFUNCTION("""COMPUTED_VALUE"""),0.6006944444444444)</f>
        <v>0.6006944444</v>
      </c>
      <c r="K9" s="53">
        <f t="shared" si="1"/>
        <v>0.02777777778</v>
      </c>
      <c r="L9" s="49" t="s">
        <v>571</v>
      </c>
      <c r="M9" s="49"/>
      <c r="N9" s="62" t="str">
        <f t="shared" si="2"/>
        <v>_1042baa7-d502-4e56-a154-39bac8cd874e_000000_000000.mp4</v>
      </c>
      <c r="O9" s="48"/>
      <c r="P9" s="48"/>
      <c r="Q9" s="63"/>
      <c r="R9" s="49"/>
      <c r="S9" s="49"/>
      <c r="T9" s="49"/>
    </row>
    <row r="10">
      <c r="A10" s="49" t="str">
        <f>IFERROR(__xludf.DUMMYFUNCTION("""COMPUTED_VALUE"""),"Opening remarks")</f>
        <v>Opening remarks</v>
      </c>
      <c r="B10" s="49" t="str">
        <f>IFERROR(__xludf.DUMMYFUNCTION("""COMPUTED_VALUE"""),"Modum")</f>
        <v>Modum</v>
      </c>
      <c r="C10" s="51" t="str">
        <f>IFERROR(__xludf.DUMMYFUNCTION("""COMPUTED_VALUE"""),"Susana Chaves")</f>
        <v>Susana Chaves</v>
      </c>
      <c r="D10" s="49" t="str">
        <f>IFERROR(__xludf.DUMMYFUNCTION("""COMPUTED_VALUE"""),"2019/11/07 14:25:00")</f>
        <v>2019/11/07 14:25:00</v>
      </c>
      <c r="E10" s="49" t="str">
        <f>IFERROR(__xludf.DUMMYFUNCTION("""COMPUTED_VALUE"""),"2019/11/07 14:40:00")</f>
        <v>2019/11/07 14:40:00</v>
      </c>
      <c r="F10" s="49" t="str">
        <f>IFERROR(__xludf.DUMMYFUNCTION("""COMPUTED_VALUE"""),"632dabad-ad39-47d5-bea4-caec36b1e8d5")</f>
        <v>632dabad-ad39-47d5-bea4-caec36b1e8d5</v>
      </c>
      <c r="G10" s="52">
        <f>IFERROR(__xludf.DUMMYFUNCTION("""COMPUTED_VALUE"""),43776.0)</f>
        <v>43776</v>
      </c>
      <c r="H10" s="53">
        <f>IFERROR(__xludf.DUMMYFUNCTION("""COMPUTED_VALUE"""),0.6006944444444444)</f>
        <v>0.6006944444</v>
      </c>
      <c r="I10" s="52">
        <f>IFERROR(__xludf.DUMMYFUNCTION("""COMPUTED_VALUE"""),43776.0)</f>
        <v>43776</v>
      </c>
      <c r="J10" s="53">
        <f>IFERROR(__xludf.DUMMYFUNCTION("""COMPUTED_VALUE"""),0.6111111111111112)</f>
        <v>0.6111111111</v>
      </c>
      <c r="K10" s="53">
        <f t="shared" si="1"/>
        <v>0.01041666667</v>
      </c>
      <c r="L10" s="49" t="s">
        <v>118</v>
      </c>
      <c r="M10" s="62" t="s">
        <v>708</v>
      </c>
      <c r="N10" s="62" t="str">
        <f t="shared" si="2"/>
        <v>MD_7_8_632dabad-ad39-47d5-bea4-caec36b1e8d5_000000_000000.mp4</v>
      </c>
      <c r="O10" s="48"/>
      <c r="P10" s="48"/>
      <c r="Q10" s="63"/>
      <c r="R10" s="49"/>
      <c r="S10" s="49"/>
      <c r="T10" s="49"/>
    </row>
    <row r="11">
      <c r="A11" s="49" t="str">
        <f>IFERROR(__xludf.DUMMYFUNCTION("""COMPUTED_VALUE"""),"Fashion, way beyond next season")</f>
        <v>Fashion, way beyond next season</v>
      </c>
      <c r="B11" s="49" t="str">
        <f>IFERROR(__xludf.DUMMYFUNCTION("""COMPUTED_VALUE"""),"Modum")</f>
        <v>Modum</v>
      </c>
      <c r="C11" s="51" t="str">
        <f>IFERROR(__xludf.DUMMYFUNCTION("""COMPUTED_VALUE"""),"Anna Gedda")</f>
        <v>Anna Gedda</v>
      </c>
      <c r="D11" s="49" t="str">
        <f>IFERROR(__xludf.DUMMYFUNCTION("""COMPUTED_VALUE"""),"2019/11/07 14:40:00")</f>
        <v>2019/11/07 14:40:00</v>
      </c>
      <c r="E11" s="49" t="str">
        <f>IFERROR(__xludf.DUMMYFUNCTION("""COMPUTED_VALUE"""),"2019/11/07 15:00:00")</f>
        <v>2019/11/07 15:00:00</v>
      </c>
      <c r="F11" s="49" t="str">
        <f>IFERROR(__xludf.DUMMYFUNCTION("""COMPUTED_VALUE"""),"c95f7b19-5806-423c-81a8-adf6d0a4bc83")</f>
        <v>c95f7b19-5806-423c-81a8-adf6d0a4bc83</v>
      </c>
      <c r="G11" s="52">
        <f>IFERROR(__xludf.DUMMYFUNCTION("""COMPUTED_VALUE"""),43776.0)</f>
        <v>43776</v>
      </c>
      <c r="H11" s="53">
        <f>IFERROR(__xludf.DUMMYFUNCTION("""COMPUTED_VALUE"""),0.6111111111111112)</f>
        <v>0.6111111111</v>
      </c>
      <c r="I11" s="52">
        <f>IFERROR(__xludf.DUMMYFUNCTION("""COMPUTED_VALUE"""),43776.0)</f>
        <v>43776</v>
      </c>
      <c r="J11" s="53">
        <f>IFERROR(__xludf.DUMMYFUNCTION("""COMPUTED_VALUE"""),0.625)</f>
        <v>0.625</v>
      </c>
      <c r="K11" s="53">
        <f t="shared" si="1"/>
        <v>0.01388888889</v>
      </c>
      <c r="L11" s="49" t="s">
        <v>109</v>
      </c>
      <c r="M11" s="62" t="s">
        <v>709</v>
      </c>
      <c r="N11" s="62" t="str">
        <f t="shared" si="2"/>
        <v>MD_7_9_c95f7b19-5806-423c-81a8-adf6d0a4bc83_000000_000000.mp4</v>
      </c>
      <c r="O11" s="48"/>
      <c r="P11" s="48"/>
      <c r="Q11" s="63"/>
      <c r="R11" s="49"/>
      <c r="S11" s="49"/>
      <c r="T11" s="49"/>
    </row>
    <row r="12">
      <c r="A12" s="49" t="str">
        <f>IFERROR(__xludf.DUMMYFUNCTION("""COMPUTED_VALUE"""),"Sustainability: A moment, or a movement?")</f>
        <v>Sustainability: A moment, or a movement?</v>
      </c>
      <c r="B12" s="49" t="str">
        <f>IFERROR(__xludf.DUMMYFUNCTION("""COMPUTED_VALUE"""),"Modum")</f>
        <v>Modum</v>
      </c>
      <c r="C12" s="51" t="str">
        <f>IFERROR(__xludf.DUMMYFUNCTION("""COMPUTED_VALUE"""),"Katrin Ley, Charlotte Nisbet, Simon Beckerman and Mark Russell")</f>
        <v>Katrin Ley, Charlotte Nisbet, Simon Beckerman and Mark Russell</v>
      </c>
      <c r="D12" s="49" t="str">
        <f>IFERROR(__xludf.DUMMYFUNCTION("""COMPUTED_VALUE"""),"2019/11/07 15:00:00")</f>
        <v>2019/11/07 15:00:00</v>
      </c>
      <c r="E12" s="49" t="str">
        <f>IFERROR(__xludf.DUMMYFUNCTION("""COMPUTED_VALUE"""),"2019/11/07 15:25:00")</f>
        <v>2019/11/07 15:25:00</v>
      </c>
      <c r="F12" s="49" t="str">
        <f>IFERROR(__xludf.DUMMYFUNCTION("""COMPUTED_VALUE"""),"586a71c2-3585-4d55-9eb9-3505a177046a")</f>
        <v>586a71c2-3585-4d55-9eb9-3505a177046a</v>
      </c>
      <c r="G12" s="52">
        <f>IFERROR(__xludf.DUMMYFUNCTION("""COMPUTED_VALUE"""),43776.0)</f>
        <v>43776</v>
      </c>
      <c r="H12" s="53">
        <f>IFERROR(__xludf.DUMMYFUNCTION("""COMPUTED_VALUE"""),0.625)</f>
        <v>0.625</v>
      </c>
      <c r="I12" s="52">
        <f>IFERROR(__xludf.DUMMYFUNCTION("""COMPUTED_VALUE"""),43776.0)</f>
        <v>43776</v>
      </c>
      <c r="J12" s="53">
        <f>IFERROR(__xludf.DUMMYFUNCTION("""COMPUTED_VALUE"""),0.6423611111111112)</f>
        <v>0.6423611111</v>
      </c>
      <c r="K12" s="53">
        <f t="shared" si="1"/>
        <v>0.01736111111</v>
      </c>
      <c r="L12" s="49" t="s">
        <v>111</v>
      </c>
      <c r="M12" s="62" t="s">
        <v>710</v>
      </c>
      <c r="N12" s="62" t="str">
        <f t="shared" si="2"/>
        <v>MD_7_10_586a71c2-3585-4d55-9eb9-3505a177046a_000000_000000.mp4</v>
      </c>
      <c r="O12" s="48"/>
      <c r="P12" s="48"/>
      <c r="Q12" s="63"/>
      <c r="R12" s="49"/>
      <c r="S12" s="49"/>
      <c r="T12" s="49"/>
    </row>
    <row r="13">
      <c r="A13" s="49" t="str">
        <f>IFERROR(__xludf.DUMMYFUNCTION("""COMPUTED_VALUE"""),"(Lab-grown) diamonds are a brand's best friend")</f>
        <v>(Lab-grown) diamonds are a brand's best friend</v>
      </c>
      <c r="B13" s="49" t="str">
        <f>IFERROR(__xludf.DUMMYFUNCTION("""COMPUTED_VALUE"""),"Modum")</f>
        <v>Modum</v>
      </c>
      <c r="C13" s="51" t="str">
        <f>IFERROR(__xludf.DUMMYFUNCTION("""COMPUTED_VALUE"""),"Rosemarie Ryan, Sally Morrison and Joana Petiz")</f>
        <v>Rosemarie Ryan, Sally Morrison and Joana Petiz</v>
      </c>
      <c r="D13" s="49" t="str">
        <f>IFERROR(__xludf.DUMMYFUNCTION("""COMPUTED_VALUE"""),"2019/11/07 15:25:00")</f>
        <v>2019/11/07 15:25:00</v>
      </c>
      <c r="E13" s="49" t="str">
        <f>IFERROR(__xludf.DUMMYFUNCTION("""COMPUTED_VALUE"""),"2019/11/07 15:45:00")</f>
        <v>2019/11/07 15:45:00</v>
      </c>
      <c r="F13" s="49" t="str">
        <f>IFERROR(__xludf.DUMMYFUNCTION("""COMPUTED_VALUE"""),"03f6221f-cfdc-4252-9d31-2b978d683588")</f>
        <v>03f6221f-cfdc-4252-9d31-2b978d683588</v>
      </c>
      <c r="G13" s="52">
        <f>IFERROR(__xludf.DUMMYFUNCTION("""COMPUTED_VALUE"""),43776.0)</f>
        <v>43776</v>
      </c>
      <c r="H13" s="53">
        <f>IFERROR(__xludf.DUMMYFUNCTION("""COMPUTED_VALUE"""),0.6423611111111112)</f>
        <v>0.6423611111</v>
      </c>
      <c r="I13" s="52">
        <f>IFERROR(__xludf.DUMMYFUNCTION("""COMPUTED_VALUE"""),43776.0)</f>
        <v>43776</v>
      </c>
      <c r="J13" s="53">
        <f>IFERROR(__xludf.DUMMYFUNCTION("""COMPUTED_VALUE"""),0.65625)</f>
        <v>0.65625</v>
      </c>
      <c r="K13" s="53">
        <f t="shared" si="1"/>
        <v>0.01388888889</v>
      </c>
      <c r="L13" s="49" t="s">
        <v>109</v>
      </c>
      <c r="M13" s="62" t="s">
        <v>711</v>
      </c>
      <c r="N13" s="62" t="str">
        <f t="shared" si="2"/>
        <v>MD_7_11_03f6221f-cfdc-4252-9d31-2b978d683588_000000_000000.mp4</v>
      </c>
      <c r="O13" s="48"/>
      <c r="P13" s="48"/>
      <c r="Q13" s="63"/>
      <c r="R13" s="49"/>
      <c r="S13" s="49"/>
      <c r="T13" s="49"/>
    </row>
    <row r="14">
      <c r="A14" s="49" t="str">
        <f>IFERROR(__xludf.DUMMYFUNCTION("""COMPUTED_VALUE"""),"Turning legacy brands into digital innovators")</f>
        <v>Turning legacy brands into digital innovators</v>
      </c>
      <c r="B14" s="49" t="str">
        <f>IFERROR(__xludf.DUMMYFUNCTION("""COMPUTED_VALUE"""),"Modum")</f>
        <v>Modum</v>
      </c>
      <c r="C14" s="51" t="str">
        <f>IFERROR(__xludf.DUMMYFUNCTION("""COMPUTED_VALUE"""),"Grégory Boutté and Maghan McDowell")</f>
        <v>Grégory Boutté and Maghan McDowell</v>
      </c>
      <c r="D14" s="49" t="str">
        <f>IFERROR(__xludf.DUMMYFUNCTION("""COMPUTED_VALUE"""),"2019/11/07 15:45:00")</f>
        <v>2019/11/07 15:45:00</v>
      </c>
      <c r="E14" s="49" t="str">
        <f>IFERROR(__xludf.DUMMYFUNCTION("""COMPUTED_VALUE"""),"2019/11/07 16:05:00")</f>
        <v>2019/11/07 16:05:00</v>
      </c>
      <c r="F14" s="49" t="str">
        <f>IFERROR(__xludf.DUMMYFUNCTION("""COMPUTED_VALUE"""),"a67a80fc-d55d-4f93-b012-a33d7e416490")</f>
        <v>a67a80fc-d55d-4f93-b012-a33d7e416490</v>
      </c>
      <c r="G14" s="52">
        <f>IFERROR(__xludf.DUMMYFUNCTION("""COMPUTED_VALUE"""),43776.0)</f>
        <v>43776</v>
      </c>
      <c r="H14" s="53">
        <f>IFERROR(__xludf.DUMMYFUNCTION("""COMPUTED_VALUE"""),0.65625)</f>
        <v>0.65625</v>
      </c>
      <c r="I14" s="52">
        <f>IFERROR(__xludf.DUMMYFUNCTION("""COMPUTED_VALUE"""),43776.0)</f>
        <v>43776</v>
      </c>
      <c r="J14" s="53">
        <f>IFERROR(__xludf.DUMMYFUNCTION("""COMPUTED_VALUE"""),0.6701388888888888)</f>
        <v>0.6701388889</v>
      </c>
      <c r="K14" s="53">
        <f t="shared" si="1"/>
        <v>0.01388888889</v>
      </c>
      <c r="L14" s="49" t="s">
        <v>109</v>
      </c>
      <c r="M14" s="62" t="s">
        <v>712</v>
      </c>
      <c r="N14" s="62" t="str">
        <f t="shared" si="2"/>
        <v>MD_7_12_a67a80fc-d55d-4f93-b012-a33d7e416490_000000_000000.mp4</v>
      </c>
      <c r="O14" s="48"/>
      <c r="P14" s="48"/>
      <c r="Q14" s="63"/>
      <c r="R14" s="49"/>
      <c r="S14" s="49"/>
      <c r="T14" s="49"/>
    </row>
    <row r="15">
      <c r="A15" s="49"/>
      <c r="B15" s="49"/>
      <c r="C15" s="51"/>
      <c r="D15" s="49"/>
      <c r="E15" s="49"/>
      <c r="F15" s="49"/>
      <c r="G15" s="49" t="str">
        <f>IFERROR(__xludf.DUMMYFUNCTION("""COMPUTED_VALUE"""),"#VALUE!")</f>
        <v>#VALUE!</v>
      </c>
      <c r="H15" s="49" t="str">
        <f>IFERROR(__xludf.DUMMYFUNCTION("""COMPUTED_VALUE"""),"")</f>
        <v/>
      </c>
      <c r="I15" s="49" t="str">
        <f>IFERROR(__xludf.DUMMYFUNCTION("""COMPUTED_VALUE"""),"#VALUE!")</f>
        <v>#VALUE!</v>
      </c>
      <c r="J15" s="49" t="str">
        <f>IFERROR(__xludf.DUMMYFUNCTION("""COMPUTED_VALUE"""),"")</f>
        <v/>
      </c>
      <c r="K15" s="49">
        <f t="shared" si="1"/>
        <v>0</v>
      </c>
      <c r="L15" s="49" t="s">
        <v>255</v>
      </c>
      <c r="M15" s="49"/>
      <c r="N15" s="49"/>
      <c r="O15" s="49"/>
      <c r="P15" s="49"/>
      <c r="Q15" s="49"/>
      <c r="R15" s="49"/>
      <c r="S15" s="49"/>
      <c r="T15" s="49"/>
    </row>
    <row r="16">
      <c r="A16" s="49"/>
      <c r="B16" s="49"/>
      <c r="C16" s="51"/>
      <c r="D16" s="49"/>
      <c r="E16" s="49"/>
      <c r="F16" s="49"/>
      <c r="G16" s="49" t="str">
        <f>IFERROR(__xludf.DUMMYFUNCTION("""COMPUTED_VALUE"""),"#VALUE!")</f>
        <v>#VALUE!</v>
      </c>
      <c r="H16" s="49" t="str">
        <f>IFERROR(__xludf.DUMMYFUNCTION("""COMPUTED_VALUE"""),"")</f>
        <v/>
      </c>
      <c r="I16" s="49" t="str">
        <f>IFERROR(__xludf.DUMMYFUNCTION("""COMPUTED_VALUE"""),"#VALUE!")</f>
        <v>#VALUE!</v>
      </c>
      <c r="J16" s="49" t="str">
        <f>IFERROR(__xludf.DUMMYFUNCTION("""COMPUTED_VALUE"""),"")</f>
        <v/>
      </c>
      <c r="K16" s="49">
        <f t="shared" si="1"/>
        <v>0</v>
      </c>
      <c r="L16" s="49" t="s">
        <v>255</v>
      </c>
      <c r="M16" s="49"/>
      <c r="N16" s="49"/>
      <c r="O16" s="49"/>
      <c r="P16" s="49"/>
      <c r="Q16" s="49"/>
      <c r="R16" s="49"/>
      <c r="S16" s="49"/>
      <c r="T16" s="49"/>
    </row>
    <row r="17">
      <c r="A17" s="49"/>
      <c r="B17" s="49"/>
      <c r="C17" s="51"/>
      <c r="D17" s="49"/>
      <c r="E17" s="49"/>
      <c r="F17" s="49"/>
      <c r="G17" s="49" t="str">
        <f>IFERROR(__xludf.DUMMYFUNCTION("""COMPUTED_VALUE"""),"#VALUE!")</f>
        <v>#VALUE!</v>
      </c>
      <c r="H17" s="49" t="str">
        <f>IFERROR(__xludf.DUMMYFUNCTION("""COMPUTED_VALUE"""),"")</f>
        <v/>
      </c>
      <c r="I17" s="49" t="str">
        <f>IFERROR(__xludf.DUMMYFUNCTION("""COMPUTED_VALUE"""),"#VALUE!")</f>
        <v>#VALUE!</v>
      </c>
      <c r="J17" s="49" t="str">
        <f>IFERROR(__xludf.DUMMYFUNCTION("""COMPUTED_VALUE"""),"")</f>
        <v/>
      </c>
      <c r="K17" s="49">
        <f t="shared" si="1"/>
        <v>0</v>
      </c>
      <c r="L17" s="49" t="s">
        <v>255</v>
      </c>
      <c r="M17" s="49"/>
      <c r="N17" s="49"/>
      <c r="O17" s="49"/>
      <c r="P17" s="49"/>
      <c r="Q17" s="49"/>
      <c r="R17" s="49"/>
      <c r="S17" s="49"/>
      <c r="T17" s="49"/>
    </row>
    <row r="18">
      <c r="A18" s="49"/>
      <c r="B18" s="49"/>
      <c r="C18" s="51"/>
      <c r="D18" s="49"/>
      <c r="E18" s="49"/>
      <c r="F18" s="49"/>
      <c r="G18" s="49" t="str">
        <f>IFERROR(__xludf.DUMMYFUNCTION("""COMPUTED_VALUE"""),"#VALUE!")</f>
        <v>#VALUE!</v>
      </c>
      <c r="H18" s="49" t="str">
        <f>IFERROR(__xludf.DUMMYFUNCTION("""COMPUTED_VALUE"""),"")</f>
        <v/>
      </c>
      <c r="I18" s="49" t="str">
        <f>IFERROR(__xludf.DUMMYFUNCTION("""COMPUTED_VALUE"""),"#VALUE!")</f>
        <v>#VALUE!</v>
      </c>
      <c r="J18" s="49" t="str">
        <f>IFERROR(__xludf.DUMMYFUNCTION("""COMPUTED_VALUE"""),"")</f>
        <v/>
      </c>
      <c r="K18" s="49">
        <f t="shared" si="1"/>
        <v>0</v>
      </c>
      <c r="L18" s="49" t="s">
        <v>255</v>
      </c>
      <c r="M18" s="49"/>
      <c r="N18" s="49"/>
      <c r="O18" s="49"/>
      <c r="P18" s="49"/>
      <c r="Q18" s="49"/>
      <c r="R18" s="49"/>
      <c r="S18" s="49"/>
      <c r="T18" s="49"/>
    </row>
    <row r="19">
      <c r="A19" s="49"/>
      <c r="B19" s="49"/>
      <c r="C19" s="51"/>
      <c r="D19" s="49"/>
      <c r="E19" s="49"/>
      <c r="F19" s="49"/>
      <c r="G19" s="49" t="str">
        <f>IFERROR(__xludf.DUMMYFUNCTION("""COMPUTED_VALUE"""),"#VALUE!")</f>
        <v>#VALUE!</v>
      </c>
      <c r="H19" s="49" t="str">
        <f>IFERROR(__xludf.DUMMYFUNCTION("""COMPUTED_VALUE"""),"")</f>
        <v/>
      </c>
      <c r="I19" s="49" t="str">
        <f>IFERROR(__xludf.DUMMYFUNCTION("""COMPUTED_VALUE"""),"#VALUE!")</f>
        <v>#VALUE!</v>
      </c>
      <c r="J19" s="49" t="str">
        <f>IFERROR(__xludf.DUMMYFUNCTION("""COMPUTED_VALUE"""),"")</f>
        <v/>
      </c>
      <c r="K19" s="49">
        <f t="shared" si="1"/>
        <v>0</v>
      </c>
      <c r="L19" s="49" t="s">
        <v>255</v>
      </c>
      <c r="M19" s="49"/>
      <c r="N19" s="49"/>
      <c r="O19" s="49"/>
      <c r="P19" s="49"/>
      <c r="Q19" s="49"/>
      <c r="R19" s="49"/>
      <c r="S19" s="49"/>
      <c r="T19" s="49"/>
    </row>
    <row r="20">
      <c r="A20" s="49"/>
      <c r="B20" s="49"/>
      <c r="C20" s="51"/>
      <c r="D20" s="49"/>
      <c r="E20" s="49"/>
      <c r="F20" s="49"/>
      <c r="G20" s="49" t="str">
        <f>IFERROR(__xludf.DUMMYFUNCTION("""COMPUTED_VALUE"""),"#VALUE!")</f>
        <v>#VALUE!</v>
      </c>
      <c r="H20" s="49" t="str">
        <f>IFERROR(__xludf.DUMMYFUNCTION("""COMPUTED_VALUE"""),"")</f>
        <v/>
      </c>
      <c r="I20" s="49" t="str">
        <f>IFERROR(__xludf.DUMMYFUNCTION("""COMPUTED_VALUE"""),"#VALUE!")</f>
        <v>#VALUE!</v>
      </c>
      <c r="J20" s="49" t="str">
        <f>IFERROR(__xludf.DUMMYFUNCTION("""COMPUTED_VALUE"""),"")</f>
        <v/>
      </c>
      <c r="K20" s="49">
        <f t="shared" si="1"/>
        <v>0</v>
      </c>
      <c r="L20" s="49" t="s">
        <v>255</v>
      </c>
      <c r="M20" s="49"/>
      <c r="N20" s="49"/>
      <c r="O20" s="49"/>
      <c r="P20" s="49"/>
      <c r="Q20" s="49"/>
      <c r="R20" s="49"/>
      <c r="S20" s="49"/>
      <c r="T20" s="49"/>
    </row>
    <row r="21">
      <c r="A21" s="49"/>
      <c r="B21" s="49"/>
      <c r="C21" s="51"/>
      <c r="D21" s="49"/>
      <c r="E21" s="49"/>
      <c r="F21" s="49"/>
      <c r="G21" s="49" t="str">
        <f>IFERROR(__xludf.DUMMYFUNCTION("""COMPUTED_VALUE"""),"#VALUE!")</f>
        <v>#VALUE!</v>
      </c>
      <c r="H21" s="49" t="str">
        <f>IFERROR(__xludf.DUMMYFUNCTION("""COMPUTED_VALUE"""),"")</f>
        <v/>
      </c>
      <c r="I21" s="49" t="str">
        <f>IFERROR(__xludf.DUMMYFUNCTION("""COMPUTED_VALUE"""),"#VALUE!")</f>
        <v>#VALUE!</v>
      </c>
      <c r="J21" s="49" t="str">
        <f>IFERROR(__xludf.DUMMYFUNCTION("""COMPUTED_VALUE"""),"")</f>
        <v/>
      </c>
      <c r="K21" s="49">
        <f t="shared" si="1"/>
        <v>0</v>
      </c>
      <c r="L21" s="49" t="s">
        <v>255</v>
      </c>
      <c r="M21" s="49"/>
      <c r="N21" s="49"/>
      <c r="O21" s="49"/>
      <c r="P21" s="49"/>
      <c r="Q21" s="49"/>
      <c r="R21" s="49"/>
      <c r="S21" s="49"/>
      <c r="T21" s="49"/>
    </row>
    <row r="22">
      <c r="A22" s="49"/>
      <c r="B22" s="49"/>
      <c r="C22" s="51"/>
      <c r="D22" s="49"/>
      <c r="E22" s="49"/>
      <c r="F22" s="49"/>
      <c r="G22" s="49" t="str">
        <f>IFERROR(__xludf.DUMMYFUNCTION("""COMPUTED_VALUE"""),"#VALUE!")</f>
        <v>#VALUE!</v>
      </c>
      <c r="H22" s="49" t="str">
        <f>IFERROR(__xludf.DUMMYFUNCTION("""COMPUTED_VALUE"""),"")</f>
        <v/>
      </c>
      <c r="I22" s="49" t="str">
        <f>IFERROR(__xludf.DUMMYFUNCTION("""COMPUTED_VALUE"""),"#VALUE!")</f>
        <v>#VALUE!</v>
      </c>
      <c r="J22" s="49" t="str">
        <f>IFERROR(__xludf.DUMMYFUNCTION("""COMPUTED_VALUE"""),"")</f>
        <v/>
      </c>
      <c r="K22" s="49">
        <f t="shared" si="1"/>
        <v>0</v>
      </c>
      <c r="L22" s="49" t="s">
        <v>255</v>
      </c>
      <c r="M22" s="49"/>
      <c r="N22" s="49"/>
      <c r="O22" s="49"/>
      <c r="P22" s="49"/>
      <c r="Q22" s="49"/>
      <c r="R22" s="49"/>
      <c r="S22" s="49"/>
      <c r="T22" s="49"/>
    </row>
    <row r="23">
      <c r="A23" s="49"/>
      <c r="B23" s="49"/>
      <c r="C23" s="51"/>
      <c r="D23" s="49"/>
      <c r="E23" s="49"/>
      <c r="F23" s="49"/>
      <c r="G23" s="49" t="str">
        <f>IFERROR(__xludf.DUMMYFUNCTION("""COMPUTED_VALUE"""),"#VALUE!")</f>
        <v>#VALUE!</v>
      </c>
      <c r="H23" s="49" t="str">
        <f>IFERROR(__xludf.DUMMYFUNCTION("""COMPUTED_VALUE"""),"")</f>
        <v/>
      </c>
      <c r="I23" s="49" t="str">
        <f>IFERROR(__xludf.DUMMYFUNCTION("""COMPUTED_VALUE"""),"#VALUE!")</f>
        <v>#VALUE!</v>
      </c>
      <c r="J23" s="49" t="str">
        <f>IFERROR(__xludf.DUMMYFUNCTION("""COMPUTED_VALUE"""),"")</f>
        <v/>
      </c>
      <c r="K23" s="49"/>
      <c r="L23" s="49" t="s">
        <v>255</v>
      </c>
      <c r="M23" s="49"/>
      <c r="N23" s="49"/>
      <c r="O23" s="49"/>
      <c r="P23" s="49"/>
      <c r="Q23" s="49"/>
      <c r="R23" s="49"/>
      <c r="S23" s="49"/>
      <c r="T23" s="49"/>
    </row>
    <row r="24">
      <c r="A24" s="49"/>
      <c r="B24" s="49"/>
      <c r="C24" s="51"/>
      <c r="D24" s="49"/>
      <c r="E24" s="49"/>
      <c r="F24" s="49"/>
      <c r="G24" s="49" t="str">
        <f>IFERROR(__xludf.DUMMYFUNCTION("""COMPUTED_VALUE"""),"#VALUE!")</f>
        <v>#VALUE!</v>
      </c>
      <c r="H24" s="49" t="str">
        <f>IFERROR(__xludf.DUMMYFUNCTION("""COMPUTED_VALUE"""),"")</f>
        <v/>
      </c>
      <c r="I24" s="49" t="str">
        <f>IFERROR(__xludf.DUMMYFUNCTION("""COMPUTED_VALUE"""),"#VALUE!")</f>
        <v>#VALUE!</v>
      </c>
      <c r="J24" s="49" t="str">
        <f>IFERROR(__xludf.DUMMYFUNCTION("""COMPUTED_VALUE"""),"")</f>
        <v/>
      </c>
      <c r="K24" s="49"/>
      <c r="L24" s="49" t="s">
        <v>255</v>
      </c>
      <c r="M24" s="49"/>
      <c r="N24" s="49"/>
      <c r="O24" s="49"/>
      <c r="P24" s="49"/>
      <c r="Q24" s="49"/>
      <c r="R24" s="49"/>
      <c r="S24" s="49"/>
      <c r="T24" s="49"/>
    </row>
    <row r="25">
      <c r="A25" s="49"/>
      <c r="B25" s="49"/>
      <c r="C25" s="51"/>
      <c r="D25" s="49"/>
      <c r="E25" s="49"/>
      <c r="F25" s="49"/>
      <c r="G25" s="49" t="str">
        <f>IFERROR(__xludf.DUMMYFUNCTION("""COMPUTED_VALUE"""),"#VALUE!")</f>
        <v>#VALUE!</v>
      </c>
      <c r="H25" s="49" t="str">
        <f>IFERROR(__xludf.DUMMYFUNCTION("""COMPUTED_VALUE"""),"")</f>
        <v/>
      </c>
      <c r="I25" s="49" t="str">
        <f>IFERROR(__xludf.DUMMYFUNCTION("""COMPUTED_VALUE"""),"#VALUE!")</f>
        <v>#VALUE!</v>
      </c>
      <c r="J25" s="49" t="str">
        <f>IFERROR(__xludf.DUMMYFUNCTION("""COMPUTED_VALUE"""),"")</f>
        <v/>
      </c>
      <c r="K25" s="49"/>
      <c r="L25" s="49" t="s">
        <v>255</v>
      </c>
      <c r="M25" s="49"/>
      <c r="N25" s="49"/>
      <c r="O25" s="49"/>
      <c r="P25" s="49"/>
      <c r="Q25" s="49"/>
      <c r="R25" s="49"/>
      <c r="S25" s="49"/>
      <c r="T25" s="49"/>
    </row>
    <row r="26">
      <c r="A26" s="49"/>
      <c r="B26" s="49"/>
      <c r="C26" s="51"/>
      <c r="D26" s="49"/>
      <c r="E26" s="49"/>
      <c r="F26" s="49"/>
      <c r="G26" s="49" t="str">
        <f>IFERROR(__xludf.DUMMYFUNCTION("""COMPUTED_VALUE"""),"#VALUE!")</f>
        <v>#VALUE!</v>
      </c>
      <c r="H26" s="49" t="str">
        <f>IFERROR(__xludf.DUMMYFUNCTION("""COMPUTED_VALUE"""),"")</f>
        <v/>
      </c>
      <c r="I26" s="49" t="str">
        <f>IFERROR(__xludf.DUMMYFUNCTION("""COMPUTED_VALUE"""),"#VALUE!")</f>
        <v>#VALUE!</v>
      </c>
      <c r="J26" s="49" t="str">
        <f>IFERROR(__xludf.DUMMYFUNCTION("""COMPUTED_VALUE"""),"")</f>
        <v/>
      </c>
      <c r="K26" s="49"/>
      <c r="L26" s="49" t="s">
        <v>255</v>
      </c>
      <c r="M26" s="49"/>
      <c r="N26" s="49"/>
      <c r="O26" s="49"/>
      <c r="P26" s="49"/>
      <c r="Q26" s="49"/>
      <c r="R26" s="49"/>
      <c r="S26" s="49"/>
      <c r="T26" s="49"/>
    </row>
    <row r="27">
      <c r="A27" s="49"/>
      <c r="B27" s="49"/>
      <c r="C27" s="51"/>
      <c r="D27" s="49"/>
      <c r="E27" s="49"/>
      <c r="F27" s="49"/>
      <c r="G27" s="49" t="str">
        <f>IFERROR(__xludf.DUMMYFUNCTION("""COMPUTED_VALUE"""),"#VALUE!")</f>
        <v>#VALUE!</v>
      </c>
      <c r="H27" s="49" t="str">
        <f>IFERROR(__xludf.DUMMYFUNCTION("""COMPUTED_VALUE"""),"")</f>
        <v/>
      </c>
      <c r="I27" s="49" t="str">
        <f>IFERROR(__xludf.DUMMYFUNCTION("""COMPUTED_VALUE"""),"#VALUE!")</f>
        <v>#VALUE!</v>
      </c>
      <c r="J27" s="49" t="str">
        <f>IFERROR(__xludf.DUMMYFUNCTION("""COMPUTED_VALUE"""),"")</f>
        <v/>
      </c>
      <c r="K27" s="49"/>
      <c r="L27" s="49" t="s">
        <v>255</v>
      </c>
      <c r="M27" s="49"/>
      <c r="N27" s="49"/>
      <c r="O27" s="49"/>
      <c r="P27" s="49"/>
      <c r="Q27" s="49"/>
      <c r="R27" s="49"/>
      <c r="S27" s="49"/>
      <c r="T27" s="49"/>
    </row>
    <row r="28">
      <c r="A28" s="49"/>
      <c r="B28" s="49"/>
      <c r="C28" s="51"/>
      <c r="D28" s="49"/>
      <c r="E28" s="49"/>
      <c r="F28" s="49"/>
      <c r="G28" s="49" t="str">
        <f>IFERROR(__xludf.DUMMYFUNCTION("""COMPUTED_VALUE"""),"#VALUE!")</f>
        <v>#VALUE!</v>
      </c>
      <c r="H28" s="49" t="str">
        <f>IFERROR(__xludf.DUMMYFUNCTION("""COMPUTED_VALUE"""),"")</f>
        <v/>
      </c>
      <c r="I28" s="49" t="str">
        <f>IFERROR(__xludf.DUMMYFUNCTION("""COMPUTED_VALUE"""),"#VALUE!")</f>
        <v>#VALUE!</v>
      </c>
      <c r="J28" s="49" t="str">
        <f>IFERROR(__xludf.DUMMYFUNCTION("""COMPUTED_VALUE"""),"")</f>
        <v/>
      </c>
      <c r="K28" s="49"/>
      <c r="L28" s="49" t="s">
        <v>255</v>
      </c>
      <c r="M28" s="49"/>
      <c r="N28" s="49"/>
      <c r="O28" s="49"/>
      <c r="P28" s="49"/>
      <c r="Q28" s="49"/>
      <c r="R28" s="49"/>
      <c r="S28" s="49"/>
      <c r="T28" s="49"/>
    </row>
    <row r="29">
      <c r="A29" s="49"/>
      <c r="B29" s="49"/>
      <c r="C29" s="51"/>
      <c r="D29" s="49"/>
      <c r="E29" s="49"/>
      <c r="F29" s="49"/>
      <c r="G29" s="49" t="str">
        <f>IFERROR(__xludf.DUMMYFUNCTION("""COMPUTED_VALUE"""),"#VALUE!")</f>
        <v>#VALUE!</v>
      </c>
      <c r="H29" s="49" t="str">
        <f>IFERROR(__xludf.DUMMYFUNCTION("""COMPUTED_VALUE"""),"")</f>
        <v/>
      </c>
      <c r="I29" s="49" t="str">
        <f>IFERROR(__xludf.DUMMYFUNCTION("""COMPUTED_VALUE"""),"#VALUE!")</f>
        <v>#VALUE!</v>
      </c>
      <c r="J29" s="49" t="str">
        <f>IFERROR(__xludf.DUMMYFUNCTION("""COMPUTED_VALUE"""),"")</f>
        <v/>
      </c>
      <c r="K29" s="49"/>
      <c r="L29" s="49" t="s">
        <v>255</v>
      </c>
      <c r="M29" s="49"/>
      <c r="N29" s="49"/>
      <c r="O29" s="49"/>
      <c r="P29" s="49"/>
      <c r="Q29" s="49"/>
      <c r="R29" s="49"/>
      <c r="S29" s="49"/>
      <c r="T29" s="49"/>
    </row>
    <row r="30">
      <c r="A30" s="49"/>
      <c r="B30" s="49"/>
      <c r="C30" s="51"/>
      <c r="D30" s="49"/>
      <c r="E30" s="49"/>
      <c r="F30" s="49"/>
      <c r="G30" s="49" t="str">
        <f>IFERROR(__xludf.DUMMYFUNCTION("""COMPUTED_VALUE"""),"#VALUE!")</f>
        <v>#VALUE!</v>
      </c>
      <c r="H30" s="49" t="str">
        <f>IFERROR(__xludf.DUMMYFUNCTION("""COMPUTED_VALUE"""),"")</f>
        <v/>
      </c>
      <c r="I30" s="49" t="str">
        <f>IFERROR(__xludf.DUMMYFUNCTION("""COMPUTED_VALUE"""),"#VALUE!")</f>
        <v>#VALUE!</v>
      </c>
      <c r="J30" s="49" t="str">
        <f>IFERROR(__xludf.DUMMYFUNCTION("""COMPUTED_VALUE"""),"")</f>
        <v/>
      </c>
      <c r="K30" s="49"/>
      <c r="L30" s="49" t="s">
        <v>255</v>
      </c>
      <c r="M30" s="49"/>
      <c r="N30" s="49"/>
      <c r="O30" s="49"/>
      <c r="P30" s="49"/>
      <c r="Q30" s="49"/>
      <c r="R30" s="49"/>
      <c r="S30" s="49"/>
      <c r="T30" s="49"/>
    </row>
    <row r="31">
      <c r="A31" s="49"/>
      <c r="B31" s="49"/>
      <c r="C31" s="51"/>
      <c r="D31" s="49"/>
      <c r="E31" s="49"/>
      <c r="F31" s="49"/>
      <c r="G31" s="49" t="str">
        <f>IFERROR(__xludf.DUMMYFUNCTION("""COMPUTED_VALUE"""),"#VALUE!")</f>
        <v>#VALUE!</v>
      </c>
      <c r="H31" s="49" t="str">
        <f>IFERROR(__xludf.DUMMYFUNCTION("""COMPUTED_VALUE"""),"")</f>
        <v/>
      </c>
      <c r="I31" s="49" t="str">
        <f>IFERROR(__xludf.DUMMYFUNCTION("""COMPUTED_VALUE"""),"#VALUE!")</f>
        <v>#VALUE!</v>
      </c>
      <c r="J31" s="49" t="str">
        <f>IFERROR(__xludf.DUMMYFUNCTION("""COMPUTED_VALUE"""),"")</f>
        <v/>
      </c>
      <c r="K31" s="49"/>
      <c r="L31" s="49" t="s">
        <v>255</v>
      </c>
      <c r="M31" s="49"/>
      <c r="N31" s="49"/>
      <c r="O31" s="49"/>
      <c r="P31" s="49"/>
      <c r="Q31" s="49"/>
      <c r="R31" s="49"/>
      <c r="S31" s="49"/>
      <c r="T31" s="49"/>
    </row>
    <row r="32">
      <c r="A32" s="49"/>
      <c r="B32" s="49"/>
      <c r="C32" s="51"/>
      <c r="D32" s="49"/>
      <c r="E32" s="49"/>
      <c r="F32" s="49"/>
      <c r="G32" s="49" t="str">
        <f>IFERROR(__xludf.DUMMYFUNCTION("""COMPUTED_VALUE"""),"#VALUE!")</f>
        <v>#VALUE!</v>
      </c>
      <c r="H32" s="49" t="str">
        <f>IFERROR(__xludf.DUMMYFUNCTION("""COMPUTED_VALUE"""),"")</f>
        <v/>
      </c>
      <c r="I32" s="49" t="str">
        <f>IFERROR(__xludf.DUMMYFUNCTION("""COMPUTED_VALUE"""),"#VALUE!")</f>
        <v>#VALUE!</v>
      </c>
      <c r="J32" s="49" t="str">
        <f>IFERROR(__xludf.DUMMYFUNCTION("""COMPUTED_VALUE"""),"")</f>
        <v/>
      </c>
      <c r="K32" s="49"/>
      <c r="L32" s="49" t="s">
        <v>255</v>
      </c>
      <c r="M32" s="49"/>
      <c r="N32" s="49"/>
      <c r="O32" s="49"/>
      <c r="P32" s="49"/>
      <c r="Q32" s="49"/>
      <c r="R32" s="49"/>
      <c r="S32" s="49"/>
      <c r="T32" s="49"/>
    </row>
    <row r="33">
      <c r="A33" s="49"/>
      <c r="B33" s="49"/>
      <c r="C33" s="51"/>
      <c r="D33" s="49"/>
      <c r="E33" s="49"/>
      <c r="F33" s="49"/>
      <c r="G33" s="49" t="str">
        <f>IFERROR(__xludf.DUMMYFUNCTION("""COMPUTED_VALUE"""),"#VALUE!")</f>
        <v>#VALUE!</v>
      </c>
      <c r="H33" s="49" t="str">
        <f>IFERROR(__xludf.DUMMYFUNCTION("""COMPUTED_VALUE"""),"")</f>
        <v/>
      </c>
      <c r="I33" s="49" t="str">
        <f>IFERROR(__xludf.DUMMYFUNCTION("""COMPUTED_VALUE"""),"#VALUE!")</f>
        <v>#VALUE!</v>
      </c>
      <c r="J33" s="49" t="str">
        <f>IFERROR(__xludf.DUMMYFUNCTION("""COMPUTED_VALUE"""),"")</f>
        <v/>
      </c>
      <c r="K33" s="49"/>
      <c r="L33" s="49" t="s">
        <v>255</v>
      </c>
      <c r="M33" s="49"/>
      <c r="N33" s="49"/>
      <c r="O33" s="49"/>
      <c r="P33" s="49"/>
      <c r="Q33" s="49"/>
      <c r="R33" s="49"/>
      <c r="S33" s="49"/>
      <c r="T33" s="49"/>
    </row>
    <row r="34">
      <c r="A34" s="49"/>
      <c r="B34" s="49"/>
      <c r="C34" s="51"/>
      <c r="D34" s="49"/>
      <c r="E34" s="49"/>
      <c r="F34" s="49"/>
      <c r="G34" s="49" t="str">
        <f>IFERROR(__xludf.DUMMYFUNCTION("""COMPUTED_VALUE"""),"#VALUE!")</f>
        <v>#VALUE!</v>
      </c>
      <c r="H34" s="49" t="str">
        <f>IFERROR(__xludf.DUMMYFUNCTION("""COMPUTED_VALUE"""),"")</f>
        <v/>
      </c>
      <c r="I34" s="49" t="str">
        <f>IFERROR(__xludf.DUMMYFUNCTION("""COMPUTED_VALUE"""),"#VALUE!")</f>
        <v>#VALUE!</v>
      </c>
      <c r="J34" s="49" t="str">
        <f>IFERROR(__xludf.DUMMYFUNCTION("""COMPUTED_VALUE"""),"")</f>
        <v/>
      </c>
      <c r="K34" s="49"/>
      <c r="L34" s="49" t="s">
        <v>255</v>
      </c>
      <c r="M34" s="49"/>
      <c r="N34" s="49"/>
      <c r="O34" s="49"/>
      <c r="P34" s="49"/>
      <c r="Q34" s="49"/>
      <c r="R34" s="49"/>
      <c r="S34" s="49"/>
      <c r="T34" s="49"/>
    </row>
    <row r="35">
      <c r="A35" s="49"/>
      <c r="B35" s="49"/>
      <c r="C35" s="51"/>
      <c r="D35" s="49"/>
      <c r="E35" s="49"/>
      <c r="F35" s="49"/>
      <c r="G35" s="49" t="str">
        <f>IFERROR(__xludf.DUMMYFUNCTION("""COMPUTED_VALUE"""),"#VALUE!")</f>
        <v>#VALUE!</v>
      </c>
      <c r="H35" s="49" t="str">
        <f>IFERROR(__xludf.DUMMYFUNCTION("""COMPUTED_VALUE"""),"")</f>
        <v/>
      </c>
      <c r="I35" s="49" t="str">
        <f>IFERROR(__xludf.DUMMYFUNCTION("""COMPUTED_VALUE"""),"#VALUE!")</f>
        <v>#VALUE!</v>
      </c>
      <c r="J35" s="49" t="str">
        <f>IFERROR(__xludf.DUMMYFUNCTION("""COMPUTED_VALUE"""),"")</f>
        <v/>
      </c>
      <c r="K35" s="49"/>
      <c r="L35" s="49" t="s">
        <v>255</v>
      </c>
      <c r="M35" s="49"/>
      <c r="N35" s="49"/>
      <c r="O35" s="49"/>
      <c r="P35" s="49"/>
      <c r="Q35" s="49"/>
      <c r="R35" s="49"/>
      <c r="S35" s="49"/>
      <c r="T35" s="49"/>
    </row>
    <row r="36">
      <c r="A36" s="49"/>
      <c r="B36" s="49"/>
      <c r="C36" s="51"/>
      <c r="D36" s="49"/>
      <c r="E36" s="49"/>
      <c r="F36" s="49"/>
      <c r="G36" s="49" t="str">
        <f>IFERROR(__xludf.DUMMYFUNCTION("""COMPUTED_VALUE"""),"#VALUE!")</f>
        <v>#VALUE!</v>
      </c>
      <c r="H36" s="49" t="str">
        <f>IFERROR(__xludf.DUMMYFUNCTION("""COMPUTED_VALUE"""),"")</f>
        <v/>
      </c>
      <c r="I36" s="49" t="str">
        <f>IFERROR(__xludf.DUMMYFUNCTION("""COMPUTED_VALUE"""),"#VALUE!")</f>
        <v>#VALUE!</v>
      </c>
      <c r="J36" s="49" t="str">
        <f>IFERROR(__xludf.DUMMYFUNCTION("""COMPUTED_VALUE"""),"")</f>
        <v/>
      </c>
      <c r="K36" s="49"/>
      <c r="L36" s="49" t="s">
        <v>255</v>
      </c>
      <c r="M36" s="49"/>
      <c r="N36" s="49"/>
      <c r="O36" s="49"/>
      <c r="P36" s="49"/>
      <c r="Q36" s="49"/>
      <c r="R36" s="49"/>
      <c r="S36" s="49"/>
      <c r="T36" s="49"/>
    </row>
    <row r="37">
      <c r="A37" s="49"/>
      <c r="B37" s="49"/>
      <c r="C37" s="51"/>
      <c r="D37" s="49"/>
      <c r="E37" s="49"/>
      <c r="F37" s="49"/>
      <c r="G37" s="49" t="str">
        <f>IFERROR(__xludf.DUMMYFUNCTION("""COMPUTED_VALUE"""),"#VALUE!")</f>
        <v>#VALUE!</v>
      </c>
      <c r="H37" s="49" t="str">
        <f>IFERROR(__xludf.DUMMYFUNCTION("""COMPUTED_VALUE"""),"")</f>
        <v/>
      </c>
      <c r="I37" s="49" t="str">
        <f>IFERROR(__xludf.DUMMYFUNCTION("""COMPUTED_VALUE"""),"#VALUE!")</f>
        <v>#VALUE!</v>
      </c>
      <c r="J37" s="49" t="str">
        <f>IFERROR(__xludf.DUMMYFUNCTION("""COMPUTED_VALUE"""),"")</f>
        <v/>
      </c>
      <c r="K37" s="49"/>
      <c r="L37" s="49" t="s">
        <v>255</v>
      </c>
      <c r="M37" s="49"/>
      <c r="N37" s="49"/>
      <c r="O37" s="49"/>
      <c r="P37" s="49"/>
      <c r="Q37" s="49"/>
      <c r="R37" s="49"/>
      <c r="S37" s="49"/>
      <c r="T37" s="49"/>
    </row>
    <row r="38">
      <c r="A38" s="49"/>
      <c r="B38" s="49"/>
      <c r="C38" s="51"/>
      <c r="D38" s="49"/>
      <c r="E38" s="49"/>
      <c r="F38" s="49"/>
      <c r="G38" s="49" t="str">
        <f>IFERROR(__xludf.DUMMYFUNCTION("""COMPUTED_VALUE"""),"#VALUE!")</f>
        <v>#VALUE!</v>
      </c>
      <c r="H38" s="49" t="str">
        <f>IFERROR(__xludf.DUMMYFUNCTION("""COMPUTED_VALUE"""),"")</f>
        <v/>
      </c>
      <c r="I38" s="49" t="str">
        <f>IFERROR(__xludf.DUMMYFUNCTION("""COMPUTED_VALUE"""),"#VALUE!")</f>
        <v>#VALUE!</v>
      </c>
      <c r="J38" s="49" t="str">
        <f>IFERROR(__xludf.DUMMYFUNCTION("""COMPUTED_VALUE"""),"")</f>
        <v/>
      </c>
      <c r="K38" s="49"/>
      <c r="L38" s="49" t="s">
        <v>255</v>
      </c>
      <c r="M38" s="49"/>
      <c r="N38" s="49"/>
      <c r="O38" s="49"/>
      <c r="P38" s="49"/>
      <c r="Q38" s="49"/>
      <c r="R38" s="49"/>
      <c r="S38" s="49"/>
      <c r="T38" s="49"/>
    </row>
    <row r="39">
      <c r="A39" s="49"/>
      <c r="B39" s="49"/>
      <c r="C39" s="51"/>
      <c r="D39" s="49"/>
      <c r="E39" s="49"/>
      <c r="F39" s="49"/>
      <c r="G39" s="49" t="str">
        <f>IFERROR(__xludf.DUMMYFUNCTION("""COMPUTED_VALUE"""),"#VALUE!")</f>
        <v>#VALUE!</v>
      </c>
      <c r="H39" s="49" t="str">
        <f>IFERROR(__xludf.DUMMYFUNCTION("""COMPUTED_VALUE"""),"")</f>
        <v/>
      </c>
      <c r="I39" s="49" t="str">
        <f>IFERROR(__xludf.DUMMYFUNCTION("""COMPUTED_VALUE"""),"#VALUE!")</f>
        <v>#VALUE!</v>
      </c>
      <c r="J39" s="49" t="str">
        <f>IFERROR(__xludf.DUMMYFUNCTION("""COMPUTED_VALUE"""),"")</f>
        <v/>
      </c>
      <c r="K39" s="49"/>
      <c r="L39" s="49" t="s">
        <v>255</v>
      </c>
      <c r="M39" s="49"/>
      <c r="N39" s="49"/>
      <c r="O39" s="49"/>
      <c r="P39" s="49"/>
      <c r="Q39" s="49"/>
      <c r="R39" s="49"/>
      <c r="S39" s="49"/>
      <c r="T39" s="49"/>
    </row>
    <row r="40">
      <c r="A40" s="49"/>
      <c r="B40" s="49"/>
      <c r="C40" s="51"/>
      <c r="D40" s="49"/>
      <c r="E40" s="49"/>
      <c r="F40" s="49"/>
      <c r="G40" s="49" t="str">
        <f>IFERROR(__xludf.DUMMYFUNCTION("""COMPUTED_VALUE"""),"#VALUE!")</f>
        <v>#VALUE!</v>
      </c>
      <c r="H40" s="49" t="str">
        <f>IFERROR(__xludf.DUMMYFUNCTION("""COMPUTED_VALUE"""),"")</f>
        <v/>
      </c>
      <c r="I40" s="49" t="str">
        <f>IFERROR(__xludf.DUMMYFUNCTION("""COMPUTED_VALUE"""),"#VALUE!")</f>
        <v>#VALUE!</v>
      </c>
      <c r="J40" s="49" t="str">
        <f>IFERROR(__xludf.DUMMYFUNCTION("""COMPUTED_VALUE"""),"")</f>
        <v/>
      </c>
      <c r="K40" s="49"/>
      <c r="L40" s="49" t="s">
        <v>255</v>
      </c>
      <c r="M40" s="49"/>
      <c r="N40" s="49"/>
      <c r="O40" s="49"/>
      <c r="P40" s="49"/>
      <c r="Q40" s="49"/>
      <c r="R40" s="49"/>
      <c r="S40" s="49"/>
      <c r="T40" s="49"/>
    </row>
    <row r="41">
      <c r="A41" s="49"/>
      <c r="B41" s="49"/>
      <c r="C41" s="51"/>
      <c r="D41" s="49"/>
      <c r="E41" s="49"/>
      <c r="F41" s="49"/>
      <c r="G41" s="49" t="str">
        <f>IFERROR(__xludf.DUMMYFUNCTION("""COMPUTED_VALUE"""),"#VALUE!")</f>
        <v>#VALUE!</v>
      </c>
      <c r="H41" s="49" t="str">
        <f>IFERROR(__xludf.DUMMYFUNCTION("""COMPUTED_VALUE"""),"")</f>
        <v/>
      </c>
      <c r="I41" s="49" t="str">
        <f>IFERROR(__xludf.DUMMYFUNCTION("""COMPUTED_VALUE"""),"#VALUE!")</f>
        <v>#VALUE!</v>
      </c>
      <c r="J41" s="49" t="str">
        <f>IFERROR(__xludf.DUMMYFUNCTION("""COMPUTED_VALUE"""),"")</f>
        <v/>
      </c>
      <c r="K41" s="49"/>
      <c r="L41" s="49" t="s">
        <v>255</v>
      </c>
      <c r="M41" s="49"/>
      <c r="N41" s="49"/>
      <c r="O41" s="49"/>
      <c r="P41" s="49"/>
      <c r="Q41" s="49"/>
      <c r="R41" s="49"/>
      <c r="S41" s="49"/>
      <c r="T41" s="49"/>
    </row>
    <row r="42">
      <c r="A42" s="49"/>
      <c r="B42" s="49"/>
      <c r="C42" s="51"/>
      <c r="D42" s="49"/>
      <c r="E42" s="49"/>
      <c r="F42" s="49"/>
      <c r="G42" s="49" t="str">
        <f>IFERROR(__xludf.DUMMYFUNCTION("""COMPUTED_VALUE"""),"#VALUE!")</f>
        <v>#VALUE!</v>
      </c>
      <c r="H42" s="49" t="str">
        <f>IFERROR(__xludf.DUMMYFUNCTION("""COMPUTED_VALUE"""),"")</f>
        <v/>
      </c>
      <c r="I42" s="49" t="str">
        <f>IFERROR(__xludf.DUMMYFUNCTION("""COMPUTED_VALUE"""),"#VALUE!")</f>
        <v>#VALUE!</v>
      </c>
      <c r="J42" s="49" t="str">
        <f>IFERROR(__xludf.DUMMYFUNCTION("""COMPUTED_VALUE"""),"")</f>
        <v/>
      </c>
      <c r="K42" s="49"/>
      <c r="L42" s="49" t="s">
        <v>255</v>
      </c>
      <c r="M42" s="49"/>
      <c r="N42" s="49"/>
      <c r="O42" s="49"/>
      <c r="P42" s="49"/>
      <c r="Q42" s="49"/>
      <c r="R42" s="49"/>
      <c r="S42" s="49"/>
      <c r="T42" s="49"/>
    </row>
    <row r="43">
      <c r="A43" s="49"/>
      <c r="B43" s="49"/>
      <c r="C43" s="51"/>
      <c r="D43" s="49"/>
      <c r="E43" s="49"/>
      <c r="F43" s="49"/>
      <c r="G43" s="49" t="str">
        <f>IFERROR(__xludf.DUMMYFUNCTION("""COMPUTED_VALUE"""),"#VALUE!")</f>
        <v>#VALUE!</v>
      </c>
      <c r="H43" s="49" t="str">
        <f>IFERROR(__xludf.DUMMYFUNCTION("""COMPUTED_VALUE"""),"")</f>
        <v/>
      </c>
      <c r="I43" s="49" t="str">
        <f>IFERROR(__xludf.DUMMYFUNCTION("""COMPUTED_VALUE"""),"#VALUE!")</f>
        <v>#VALUE!</v>
      </c>
      <c r="J43" s="49" t="str">
        <f>IFERROR(__xludf.DUMMYFUNCTION("""COMPUTED_VALUE"""),"")</f>
        <v/>
      </c>
      <c r="K43" s="49"/>
      <c r="L43" s="49" t="s">
        <v>255</v>
      </c>
      <c r="M43" s="49"/>
      <c r="N43" s="49"/>
      <c r="O43" s="49"/>
      <c r="P43" s="49"/>
      <c r="Q43" s="49"/>
      <c r="R43" s="49"/>
      <c r="S43" s="49"/>
      <c r="T43" s="49"/>
    </row>
    <row r="44">
      <c r="A44" s="49"/>
      <c r="B44" s="49"/>
      <c r="C44" s="51"/>
      <c r="D44" s="49"/>
      <c r="E44" s="49"/>
      <c r="F44" s="49"/>
      <c r="G44" s="49" t="str">
        <f>IFERROR(__xludf.DUMMYFUNCTION("""COMPUTED_VALUE"""),"#VALUE!")</f>
        <v>#VALUE!</v>
      </c>
      <c r="H44" s="49" t="str">
        <f>IFERROR(__xludf.DUMMYFUNCTION("""COMPUTED_VALUE"""),"")</f>
        <v/>
      </c>
      <c r="I44" s="49" t="str">
        <f>IFERROR(__xludf.DUMMYFUNCTION("""COMPUTED_VALUE"""),"#VALUE!")</f>
        <v>#VALUE!</v>
      </c>
      <c r="J44" s="49" t="str">
        <f>IFERROR(__xludf.DUMMYFUNCTION("""COMPUTED_VALUE"""),"")</f>
        <v/>
      </c>
      <c r="K44" s="49"/>
      <c r="L44" s="49" t="s">
        <v>255</v>
      </c>
      <c r="M44" s="49"/>
      <c r="N44" s="49"/>
      <c r="O44" s="49"/>
      <c r="P44" s="49"/>
      <c r="Q44" s="49"/>
      <c r="R44" s="49"/>
      <c r="S44" s="49"/>
      <c r="T44" s="49"/>
    </row>
    <row r="45">
      <c r="A45" s="49"/>
      <c r="B45" s="49"/>
      <c r="C45" s="51"/>
      <c r="D45" s="49"/>
      <c r="E45" s="49"/>
      <c r="F45" s="49"/>
      <c r="G45" s="49" t="str">
        <f>IFERROR(__xludf.DUMMYFUNCTION("""COMPUTED_VALUE"""),"#VALUE!")</f>
        <v>#VALUE!</v>
      </c>
      <c r="H45" s="49" t="str">
        <f>IFERROR(__xludf.DUMMYFUNCTION("""COMPUTED_VALUE"""),"")</f>
        <v/>
      </c>
      <c r="I45" s="49" t="str">
        <f>IFERROR(__xludf.DUMMYFUNCTION("""COMPUTED_VALUE"""),"#VALUE!")</f>
        <v>#VALUE!</v>
      </c>
      <c r="J45" s="49" t="str">
        <f>IFERROR(__xludf.DUMMYFUNCTION("""COMPUTED_VALUE"""),"")</f>
        <v/>
      </c>
      <c r="K45" s="49"/>
      <c r="L45" s="49" t="s">
        <v>255</v>
      </c>
      <c r="M45" s="49"/>
      <c r="N45" s="49"/>
      <c r="O45" s="49"/>
      <c r="P45" s="49"/>
      <c r="Q45" s="49"/>
      <c r="R45" s="49"/>
      <c r="S45" s="49"/>
      <c r="T45" s="49"/>
    </row>
    <row r="46">
      <c r="A46" s="49"/>
      <c r="B46" s="49"/>
      <c r="C46" s="51"/>
      <c r="D46" s="49"/>
      <c r="E46" s="49"/>
      <c r="F46" s="49"/>
      <c r="G46" s="49" t="str">
        <f>IFERROR(__xludf.DUMMYFUNCTION("""COMPUTED_VALUE"""),"#VALUE!")</f>
        <v>#VALUE!</v>
      </c>
      <c r="H46" s="49" t="str">
        <f>IFERROR(__xludf.DUMMYFUNCTION("""COMPUTED_VALUE"""),"")</f>
        <v/>
      </c>
      <c r="I46" s="49" t="str">
        <f>IFERROR(__xludf.DUMMYFUNCTION("""COMPUTED_VALUE"""),"#VALUE!")</f>
        <v>#VALUE!</v>
      </c>
      <c r="J46" s="49" t="str">
        <f>IFERROR(__xludf.DUMMYFUNCTION("""COMPUTED_VALUE"""),"")</f>
        <v/>
      </c>
      <c r="K46" s="49"/>
      <c r="L46" s="49" t="s">
        <v>255</v>
      </c>
      <c r="M46" s="49"/>
      <c r="N46" s="49"/>
      <c r="O46" s="49"/>
      <c r="P46" s="49"/>
      <c r="Q46" s="49"/>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c r="L47" s="49" t="s">
        <v>255</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c r="L48" s="49" t="s">
        <v>255</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c r="L49" s="49" t="s">
        <v>255</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c r="L50" s="49" t="s">
        <v>255</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c r="L51" s="49" t="s">
        <v>255</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c r="L52" s="49" t="s">
        <v>255</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c r="L53" s="49" t="s">
        <v>255</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c r="L54" s="49" t="s">
        <v>255</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c r="L55" s="49" t="s">
        <v>255</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c r="L56" s="49" t="s">
        <v>255</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c r="L57" s="49" t="s">
        <v>255</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c r="L58" s="49" t="s">
        <v>255</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c r="L59" s="49" t="s">
        <v>255</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255</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255</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255</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255</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255</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255</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255</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255</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255</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255</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255</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255</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255</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255</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255</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255</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255</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255</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255</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255</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255</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255</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255</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255</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255</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255</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255</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255</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255</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255</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255</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255</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255</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255</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255</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255</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255</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255</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255</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255</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255</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255</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255</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255</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255</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255</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255</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255</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255</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255</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255</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255</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255</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255</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255</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255</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255</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255</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255</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255</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255</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255</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255</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255</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255</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255</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255</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255</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255</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255</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255</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255</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255</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255</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255</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255</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255</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255</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255</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255</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255</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255</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255</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255</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255</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255</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255</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255</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255</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255</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255</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255</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255</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255</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255</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255</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255</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255</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255</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255</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255</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255</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255</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255</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255</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255</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255</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255</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255</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255</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255</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255</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255</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255</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255</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255</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255</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255</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255</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255</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255</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255</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255</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255</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255</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255</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255</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255</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255</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255</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255</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255</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255</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255</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255</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255</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255</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255</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255</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255</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255</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255</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255</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255</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255</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255</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255</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255</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255</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255</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255</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255</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255</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255</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255</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255</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255</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255</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255</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255</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255</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255</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255</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255</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255</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255</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255</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255</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255</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255</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255</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255</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255</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255</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255</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255</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255</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255</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255</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255</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255</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255</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255</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255</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255</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255</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255</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255</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255</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255</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255</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255</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255</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255</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255</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255</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255</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255</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255</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255</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255</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255</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255</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255</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255</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255</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255</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255</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255</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255</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255</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255</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255</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255</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255</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255</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255</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255</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255</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255</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255</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255</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255</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255</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255</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255</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255</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255</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255</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255</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255</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255</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255</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255</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255</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255</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255</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255</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255</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255</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255</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255</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255</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255</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255</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255</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255</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255</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255</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255</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255</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255</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255</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255</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255</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255</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255</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255</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255</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255</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255</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255</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255</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255</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255</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255</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255</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255</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255</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255</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255</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255</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255</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255</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255</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255</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255</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255</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255</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255</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255</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255</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255</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255</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255</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255</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255</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255</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255</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255</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255</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255</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255</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255</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255</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255</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255</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255</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255</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255</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255</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255</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255</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255</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255</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255</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255</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255</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255</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255</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255</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255</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255</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255</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255</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255</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255</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255</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255</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255</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255</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255</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255</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255</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255</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255</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255</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255</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255</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255</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255</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255</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255</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255</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255</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255</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255</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255</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255</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255</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255</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255</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255</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255</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255</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255</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255</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255</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255</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255</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255</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255</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255</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255</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255</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255</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255</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255</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255</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255</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255</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255</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255</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255</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255</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255</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255</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255</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255</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255</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255</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255</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255</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255</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255</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255</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255</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255</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255</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255</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255</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255</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255</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255</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255</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255</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255</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255</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255</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255</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255</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255</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255</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255</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255</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255</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255</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255</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255</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255</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255</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255</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255</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255</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255</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255</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255</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255</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255</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255</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255</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255</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255</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255</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255</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255</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255</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255</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255</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255</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255</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255</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255</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255</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255</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255</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255</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255</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255</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255</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255</v>
      </c>
      <c r="M523" s="49"/>
      <c r="N523" s="49"/>
      <c r="O523" s="49"/>
      <c r="P523" s="49"/>
      <c r="Q523" s="49"/>
      <c r="R523" s="49"/>
      <c r="S523" s="49"/>
      <c r="T523" s="49"/>
    </row>
  </sheetData>
  <conditionalFormatting sqref="O2:O14">
    <cfRule type="containsText" dxfId="4" priority="1" operator="containsText" text="YES">
      <formula>NOT(ISERROR(SEARCH(("YES"),(O2))))</formula>
    </cfRule>
  </conditionalFormatting>
  <conditionalFormatting sqref="O2:O14">
    <cfRule type="cellIs" dxfId="5" priority="2" operator="equal">
      <formula>"NO"</formula>
    </cfRule>
  </conditionalFormatting>
  <conditionalFormatting sqref="P2:P14">
    <cfRule type="cellIs" dxfId="4" priority="3" operator="equal">
      <formula>"AVAILABLE"</formula>
    </cfRule>
  </conditionalFormatting>
  <conditionalFormatting sqref="P2:P14">
    <cfRule type="cellIs" dxfId="5" priority="4" operator="equal">
      <formula>"NOT AVAILABLE"</formula>
    </cfRule>
  </conditionalFormatting>
  <conditionalFormatting sqref="Q2:Q14">
    <cfRule type="cellIs" dxfId="4" priority="5" operator="equal">
      <formula>"AVAILABLE"</formula>
    </cfRule>
  </conditionalFormatting>
  <conditionalFormatting sqref="Q2:Q14">
    <cfRule type="cellIs" dxfId="6" priority="6" operator="equal">
      <formula>"UPLOADING"</formula>
    </cfRule>
  </conditionalFormatting>
  <conditionalFormatting sqref="Q2:Q14">
    <cfRule type="cellIs" dxfId="5" priority="7" operator="equal">
      <formula>"NOT AVAILABLE"</formula>
    </cfRule>
  </conditionalFormatting>
  <dataValidations>
    <dataValidation type="list" allowBlank="1" sqref="O2:O14">
      <formula1>"YES,NO"</formula1>
    </dataValidation>
    <dataValidation type="list" allowBlank="1" sqref="P2:P14">
      <formula1>"AVAILABLE,NOT AVAILABLE"</formula1>
    </dataValidation>
    <dataValidation type="list" allowBlank="1" sqref="Q2:Q14">
      <formula1>"AVAILABLE,UPLOADING,NOT AVAILABLE"</formula1>
    </dataValidation>
  </dataValidations>
  <drawing r:id="rId1"/>
  <tableParts count="1">
    <tablePart r:id="rId3"/>
  </tableParts>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57"/>
    <col customWidth="1" min="3" max="3" width="25.71"/>
    <col hidden="1" min="4" max="5" width="14.43"/>
    <col customWidth="1" min="6" max="6" width="36.86"/>
    <col hidden="1" min="9" max="9" width="14.43"/>
    <col customWidth="1" min="14" max="14" width="47.86"/>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49" t="str">
        <f>IFERROR(__xludf.DUMMYFUNCTION("QUERY(Master!A:H,""SELECT A,C,D,F,G,H where C = 'PandaConf' ORDER BY F"")"),"Opening remarks")</f>
        <v>Opening remarks</v>
      </c>
      <c r="B2" s="49" t="str">
        <f>IFERROR(__xludf.DUMMYFUNCTION("""COMPUTED_VALUE"""),"PandaConf")</f>
        <v>PandaConf</v>
      </c>
      <c r="C2" s="51" t="str">
        <f>IFERROR(__xludf.DUMMYFUNCTION("""COMPUTED_VALUE"""),"Mark Little")</f>
        <v>Mark Little</v>
      </c>
      <c r="D2" s="49" t="str">
        <f>IFERROR(__xludf.DUMMYFUNCTION("""COMPUTED_VALUE"""),"2019/11/05 10:30:00")</f>
        <v>2019/11/05 10:30:00</v>
      </c>
      <c r="E2" s="49" t="str">
        <f>IFERROR(__xludf.DUMMYFUNCTION("""COMPUTED_VALUE"""),"2019/11/05 10:45:00")</f>
        <v>2019/11/05 10:45:00</v>
      </c>
      <c r="F2" s="49" t="str">
        <f>IFERROR(__xludf.DUMMYFUNCTION("""COMPUTED_VALUE"""),"e9c06ccc-b1b0-488e-8769-505b81a582f8")</f>
        <v>e9c06ccc-b1b0-488e-8769-505b81a582f8</v>
      </c>
      <c r="G2" s="54">
        <f>IFERROR(__xludf.DUMMYFUNCTION("ARRAYFORMULA(SPLIT(D2:D560,"" ""))"),43774.0)</f>
        <v>43774</v>
      </c>
      <c r="H2" s="53">
        <f>IFERROR(__xludf.DUMMYFUNCTION("""COMPUTED_VALUE"""),0.4375)</f>
        <v>0.4375</v>
      </c>
      <c r="I2" s="52">
        <f>IFERROR(__xludf.DUMMYFUNCTION("ARRAYFORMULA(SPLIT(E2:E560,"" ""))"),43774.0)</f>
        <v>43774</v>
      </c>
      <c r="J2" s="53">
        <f>IFERROR(__xludf.DUMMYFUNCTION("""COMPUTED_VALUE"""),0.4479166666666667)</f>
        <v>0.4479166667</v>
      </c>
      <c r="K2" s="53">
        <f t="shared" ref="K2:K59" si="1">J2-H2</f>
        <v>0.01041666667</v>
      </c>
      <c r="L2" s="50" t="str">
        <f t="array" ref="L2:L560">TEXT(K2:K560,"hhmmss")</f>
        <v>001500</v>
      </c>
      <c r="M2" s="62" t="s">
        <v>713</v>
      </c>
      <c r="N2" s="62" t="str">
        <f t="shared" ref="N2:N47" si="2">CONCATENATE(M2,"_",F2,"_","000000_000000.mp4")</f>
        <v>PC_5_1_e9c06ccc-b1b0-488e-8769-505b81a582f8_000000_000000.mp4</v>
      </c>
      <c r="O2" s="48"/>
      <c r="P2" s="48"/>
      <c r="Q2" s="63"/>
      <c r="R2" s="49"/>
      <c r="S2" s="49"/>
      <c r="T2" s="49"/>
    </row>
    <row r="3">
      <c r="A3" s="49" t="str">
        <f>IFERROR(__xludf.DUMMYFUNCTION("""COMPUTED_VALUE"""),"Winning in the feedback economy")</f>
        <v>Winning in the feedback economy</v>
      </c>
      <c r="B3" s="49" t="str">
        <f>IFERROR(__xludf.DUMMYFUNCTION("""COMPUTED_VALUE"""),"PandaConf")</f>
        <v>PandaConf</v>
      </c>
      <c r="C3" s="51" t="str">
        <f>IFERROR(__xludf.DUMMYFUNCTION("""COMPUTED_VALUE"""),"Zander Lurie")</f>
        <v>Zander Lurie</v>
      </c>
      <c r="D3" s="49" t="str">
        <f>IFERROR(__xludf.DUMMYFUNCTION("""COMPUTED_VALUE"""),"2019/11/05 10:45:00")</f>
        <v>2019/11/05 10:45:00</v>
      </c>
      <c r="E3" s="49" t="str">
        <f>IFERROR(__xludf.DUMMYFUNCTION("""COMPUTED_VALUE"""),"2019/11/05 11:05:00")</f>
        <v>2019/11/05 11:05:00</v>
      </c>
      <c r="F3" s="49" t="str">
        <f>IFERROR(__xludf.DUMMYFUNCTION("""COMPUTED_VALUE"""),"230f8603-c72e-4b0f-8f1a-20d41f115544")</f>
        <v>230f8603-c72e-4b0f-8f1a-20d41f115544</v>
      </c>
      <c r="G3" s="52">
        <f>IFERROR(__xludf.DUMMYFUNCTION("""COMPUTED_VALUE"""),43774.0)</f>
        <v>43774</v>
      </c>
      <c r="H3" s="53">
        <f>IFERROR(__xludf.DUMMYFUNCTION("""COMPUTED_VALUE"""),0.4479166666666667)</f>
        <v>0.4479166667</v>
      </c>
      <c r="I3" s="52">
        <f>IFERROR(__xludf.DUMMYFUNCTION("""COMPUTED_VALUE"""),43774.0)</f>
        <v>43774</v>
      </c>
      <c r="J3" s="53">
        <f>IFERROR(__xludf.DUMMYFUNCTION("""COMPUTED_VALUE"""),0.4618055555555556)</f>
        <v>0.4618055556</v>
      </c>
      <c r="K3" s="53">
        <f t="shared" si="1"/>
        <v>0.01388888889</v>
      </c>
      <c r="L3" s="49" t="s">
        <v>109</v>
      </c>
      <c r="M3" s="62" t="s">
        <v>714</v>
      </c>
      <c r="N3" s="62" t="str">
        <f t="shared" si="2"/>
        <v>PC_5_2_230f8603-c72e-4b0f-8f1a-20d41f115544_000000_000000.mp4</v>
      </c>
      <c r="O3" s="48"/>
      <c r="P3" s="48"/>
      <c r="Q3" s="63"/>
      <c r="R3" s="49"/>
      <c r="S3" s="49"/>
      <c r="T3" s="49"/>
    </row>
    <row r="4">
      <c r="A4" s="49" t="str">
        <f>IFERROR(__xludf.DUMMYFUNCTION("""COMPUTED_VALUE"""),"Knowing your customers: Easy to say, so hard to do")</f>
        <v>Knowing your customers: Easy to say, so hard to do</v>
      </c>
      <c r="B4" s="49" t="str">
        <f>IFERROR(__xludf.DUMMYFUNCTION("""COMPUTED_VALUE"""),"PandaConf")</f>
        <v>PandaConf</v>
      </c>
      <c r="C4" s="51" t="str">
        <f>IFERROR(__xludf.DUMMYFUNCTION("""COMPUTED_VALUE"""),"Edwina Dunn")</f>
        <v>Edwina Dunn</v>
      </c>
      <c r="D4" s="49" t="str">
        <f>IFERROR(__xludf.DUMMYFUNCTION("""COMPUTED_VALUE"""),"2019/11/05 11:05:00")</f>
        <v>2019/11/05 11:05:00</v>
      </c>
      <c r="E4" s="49" t="str">
        <f>IFERROR(__xludf.DUMMYFUNCTION("""COMPUTED_VALUE"""),"2019/11/05 11:25:00")</f>
        <v>2019/11/05 11:25:00</v>
      </c>
      <c r="F4" s="49" t="str">
        <f>IFERROR(__xludf.DUMMYFUNCTION("""COMPUTED_VALUE"""),"b5b06e8a-6056-4037-b0cc-90d74485c31d")</f>
        <v>b5b06e8a-6056-4037-b0cc-90d74485c31d</v>
      </c>
      <c r="G4" s="52">
        <f>IFERROR(__xludf.DUMMYFUNCTION("""COMPUTED_VALUE"""),43774.0)</f>
        <v>43774</v>
      </c>
      <c r="H4" s="53">
        <f>IFERROR(__xludf.DUMMYFUNCTION("""COMPUTED_VALUE"""),0.4618055555555556)</f>
        <v>0.4618055556</v>
      </c>
      <c r="I4" s="52">
        <f>IFERROR(__xludf.DUMMYFUNCTION("""COMPUTED_VALUE"""),43774.0)</f>
        <v>43774</v>
      </c>
      <c r="J4" s="53">
        <f>IFERROR(__xludf.DUMMYFUNCTION("""COMPUTED_VALUE"""),0.4756944444444444)</f>
        <v>0.4756944444</v>
      </c>
      <c r="K4" s="53">
        <f t="shared" si="1"/>
        <v>0.01388888889</v>
      </c>
      <c r="L4" s="49" t="s">
        <v>109</v>
      </c>
      <c r="M4" s="62" t="s">
        <v>715</v>
      </c>
      <c r="N4" s="62" t="str">
        <f t="shared" si="2"/>
        <v>PC_5_3_b5b06e8a-6056-4037-b0cc-90d74485c31d_000000_000000.mp4</v>
      </c>
      <c r="O4" s="48"/>
      <c r="P4" s="48"/>
      <c r="Q4" s="63"/>
      <c r="R4" s="49"/>
      <c r="S4" s="49"/>
      <c r="T4" s="49"/>
    </row>
    <row r="5">
      <c r="A5" s="49" t="str">
        <f>IFERROR(__xludf.DUMMYFUNCTION("""COMPUTED_VALUE"""),"Daring to go beyond customer centricity")</f>
        <v>Daring to go beyond customer centricity</v>
      </c>
      <c r="B5" s="49" t="str">
        <f>IFERROR(__xludf.DUMMYFUNCTION("""COMPUTED_VALUE"""),"PandaConf")</f>
        <v>PandaConf</v>
      </c>
      <c r="C5" s="51" t="str">
        <f>IFERROR(__xludf.DUMMYFUNCTION("""COMPUTED_VALUE"""),"Barbara Martin Coppola")</f>
        <v>Barbara Martin Coppola</v>
      </c>
      <c r="D5" s="49" t="str">
        <f>IFERROR(__xludf.DUMMYFUNCTION("""COMPUTED_VALUE"""),"2019/11/05 11:25:00")</f>
        <v>2019/11/05 11:25:00</v>
      </c>
      <c r="E5" s="49" t="str">
        <f>IFERROR(__xludf.DUMMYFUNCTION("""COMPUTED_VALUE"""),"2019/11/05 11:45:00")</f>
        <v>2019/11/05 11:45:00</v>
      </c>
      <c r="F5" s="49" t="str">
        <f>IFERROR(__xludf.DUMMYFUNCTION("""COMPUTED_VALUE"""),"17001da9-e844-4173-8ba0-6bbb8349e0ef")</f>
        <v>17001da9-e844-4173-8ba0-6bbb8349e0ef</v>
      </c>
      <c r="G5" s="52">
        <f>IFERROR(__xludf.DUMMYFUNCTION("""COMPUTED_VALUE"""),43774.0)</f>
        <v>43774</v>
      </c>
      <c r="H5" s="53">
        <f>IFERROR(__xludf.DUMMYFUNCTION("""COMPUTED_VALUE"""),0.4756944444444444)</f>
        <v>0.4756944444</v>
      </c>
      <c r="I5" s="52">
        <f>IFERROR(__xludf.DUMMYFUNCTION("""COMPUTED_VALUE"""),43774.0)</f>
        <v>43774</v>
      </c>
      <c r="J5" s="53">
        <f>IFERROR(__xludf.DUMMYFUNCTION("""COMPUTED_VALUE"""),0.4895833333333333)</f>
        <v>0.4895833333</v>
      </c>
      <c r="K5" s="53">
        <f t="shared" si="1"/>
        <v>0.01388888889</v>
      </c>
      <c r="L5" s="49" t="s">
        <v>109</v>
      </c>
      <c r="M5" s="62" t="s">
        <v>716</v>
      </c>
      <c r="N5" s="62" t="str">
        <f t="shared" si="2"/>
        <v>PC_5_4_17001da9-e844-4173-8ba0-6bbb8349e0ef_000000_000000.mp4</v>
      </c>
      <c r="O5" s="48"/>
      <c r="P5" s="48"/>
      <c r="Q5" s="63"/>
      <c r="R5" s="49"/>
      <c r="S5" s="49"/>
      <c r="T5" s="49"/>
    </row>
    <row r="6">
      <c r="A6" s="49" t="str">
        <f>IFERROR(__xludf.DUMMYFUNCTION("""COMPUTED_VALUE"""),"Reaching for the Sky")</f>
        <v>Reaching for the Sky</v>
      </c>
      <c r="B6" s="49" t="str">
        <f>IFERROR(__xludf.DUMMYFUNCTION("""COMPUTED_VALUE"""),"PandaConf")</f>
        <v>PandaConf</v>
      </c>
      <c r="C6" s="51" t="str">
        <f>IFERROR(__xludf.DUMMYFUNCTION("""COMPUTED_VALUE"""),"Jeremy Darroch and Karen Tso")</f>
        <v>Jeremy Darroch and Karen Tso</v>
      </c>
      <c r="D6" s="49" t="str">
        <f>IFERROR(__xludf.DUMMYFUNCTION("""COMPUTED_VALUE"""),"2019/11/05 11:45:00")</f>
        <v>2019/11/05 11:45:00</v>
      </c>
      <c r="E6" s="49" t="str">
        <f>IFERROR(__xludf.DUMMYFUNCTION("""COMPUTED_VALUE"""),"2019/11/05 12:10:00")</f>
        <v>2019/11/05 12:10:00</v>
      </c>
      <c r="F6" s="49" t="str">
        <f>IFERROR(__xludf.DUMMYFUNCTION("""COMPUTED_VALUE"""),"6ccc45ad-1415-4f0e-9fa0-a50b2bcc87ec")</f>
        <v>6ccc45ad-1415-4f0e-9fa0-a50b2bcc87ec</v>
      </c>
      <c r="G6" s="52">
        <f>IFERROR(__xludf.DUMMYFUNCTION("""COMPUTED_VALUE"""),43774.0)</f>
        <v>43774</v>
      </c>
      <c r="H6" s="53">
        <f>IFERROR(__xludf.DUMMYFUNCTION("""COMPUTED_VALUE"""),0.4895833333333333)</f>
        <v>0.4895833333</v>
      </c>
      <c r="I6" s="52">
        <f>IFERROR(__xludf.DUMMYFUNCTION("""COMPUTED_VALUE"""),43774.0)</f>
        <v>43774</v>
      </c>
      <c r="J6" s="53">
        <f>IFERROR(__xludf.DUMMYFUNCTION("""COMPUTED_VALUE"""),0.5069444444444444)</f>
        <v>0.5069444444</v>
      </c>
      <c r="K6" s="53">
        <f t="shared" si="1"/>
        <v>0.01736111111</v>
      </c>
      <c r="L6" s="49" t="s">
        <v>111</v>
      </c>
      <c r="M6" s="62" t="s">
        <v>717</v>
      </c>
      <c r="N6" s="62" t="str">
        <f t="shared" si="2"/>
        <v>PC_5_5_6ccc45ad-1415-4f0e-9fa0-a50b2bcc87ec_000000_000000.mp4</v>
      </c>
      <c r="O6" s="48"/>
      <c r="P6" s="48"/>
      <c r="Q6" s="63"/>
      <c r="R6" s="49"/>
      <c r="S6" s="49"/>
      <c r="T6" s="49"/>
    </row>
    <row r="7">
      <c r="A7" s="49" t="str">
        <f>IFERROR(__xludf.DUMMYFUNCTION("""COMPUTED_VALUE"""),"Consolidation of the agency world")</f>
        <v>Consolidation of the agency world</v>
      </c>
      <c r="B7" s="49" t="str">
        <f>IFERROR(__xludf.DUMMYFUNCTION("""COMPUTED_VALUE"""),"PandaConf")</f>
        <v>PandaConf</v>
      </c>
      <c r="C7" s="51" t="str">
        <f>IFERROR(__xludf.DUMMYFUNCTION("""COMPUTED_VALUE"""),"Mel Edwards, Sairah Ashman, Brian Collins and Michelle Castillo")</f>
        <v>Mel Edwards, Sairah Ashman, Brian Collins and Michelle Castillo</v>
      </c>
      <c r="D7" s="49" t="str">
        <f>IFERROR(__xludf.DUMMYFUNCTION("""COMPUTED_VALUE"""),"2019/11/05 12:10:00")</f>
        <v>2019/11/05 12:10:00</v>
      </c>
      <c r="E7" s="49" t="str">
        <f>IFERROR(__xludf.DUMMYFUNCTION("""COMPUTED_VALUE"""),"2019/11/05 12:35:00")</f>
        <v>2019/11/05 12:35:00</v>
      </c>
      <c r="F7" s="49" t="str">
        <f>IFERROR(__xludf.DUMMYFUNCTION("""COMPUTED_VALUE"""),"573ce78e-2bdf-41c6-a33f-860d08c777f3")</f>
        <v>573ce78e-2bdf-41c6-a33f-860d08c777f3</v>
      </c>
      <c r="G7" s="52">
        <f>IFERROR(__xludf.DUMMYFUNCTION("""COMPUTED_VALUE"""),43774.0)</f>
        <v>43774</v>
      </c>
      <c r="H7" s="53">
        <f>IFERROR(__xludf.DUMMYFUNCTION("""COMPUTED_VALUE"""),0.5069444444444444)</f>
        <v>0.5069444444</v>
      </c>
      <c r="I7" s="52">
        <f>IFERROR(__xludf.DUMMYFUNCTION("""COMPUTED_VALUE"""),43774.0)</f>
        <v>43774</v>
      </c>
      <c r="J7" s="53">
        <f>IFERROR(__xludf.DUMMYFUNCTION("""COMPUTED_VALUE"""),0.5243055555555556)</f>
        <v>0.5243055556</v>
      </c>
      <c r="K7" s="53">
        <f t="shared" si="1"/>
        <v>0.01736111111</v>
      </c>
      <c r="L7" s="49" t="s">
        <v>111</v>
      </c>
      <c r="M7" s="62" t="s">
        <v>718</v>
      </c>
      <c r="N7" s="62" t="str">
        <f t="shared" si="2"/>
        <v>PC_5_6_573ce78e-2bdf-41c6-a33f-860d08c777f3_000000_000000.mp4</v>
      </c>
      <c r="O7" s="48"/>
      <c r="P7" s="48"/>
      <c r="Q7" s="63"/>
      <c r="R7" s="49"/>
      <c r="S7" s="49"/>
      <c r="T7" s="49"/>
    </row>
    <row r="8">
      <c r="A8" s="49" t="str">
        <f>IFERROR(__xludf.DUMMYFUNCTION("""COMPUTED_VALUE"""),"Machine learning will make marketing more human")</f>
        <v>Machine learning will make marketing more human</v>
      </c>
      <c r="B8" s="49" t="str">
        <f>IFERROR(__xludf.DUMMYFUNCTION("""COMPUTED_VALUE"""),"PandaConf")</f>
        <v>PandaConf</v>
      </c>
      <c r="C8" s="51" t="str">
        <f>IFERROR(__xludf.DUMMYFUNCTION("""COMPUTED_VALUE"""),"Kristin Lemkau")</f>
        <v>Kristin Lemkau</v>
      </c>
      <c r="D8" s="49" t="str">
        <f>IFERROR(__xludf.DUMMYFUNCTION("""COMPUTED_VALUE"""),"2019/11/05 12:35:00")</f>
        <v>2019/11/05 12:35:00</v>
      </c>
      <c r="E8" s="49" t="str">
        <f>IFERROR(__xludf.DUMMYFUNCTION("""COMPUTED_VALUE"""),"2019/11/05 12:55:00")</f>
        <v>2019/11/05 12:55:00</v>
      </c>
      <c r="F8" s="49" t="str">
        <f>IFERROR(__xludf.DUMMYFUNCTION("""COMPUTED_VALUE"""),"86714f34-c053-4ef6-bbb3-fa559a80d1ca")</f>
        <v>86714f34-c053-4ef6-bbb3-fa559a80d1ca</v>
      </c>
      <c r="G8" s="52">
        <f>IFERROR(__xludf.DUMMYFUNCTION("""COMPUTED_VALUE"""),43774.0)</f>
        <v>43774</v>
      </c>
      <c r="H8" s="53">
        <f>IFERROR(__xludf.DUMMYFUNCTION("""COMPUTED_VALUE"""),0.5243055555555556)</f>
        <v>0.5243055556</v>
      </c>
      <c r="I8" s="52">
        <f>IFERROR(__xludf.DUMMYFUNCTION("""COMPUTED_VALUE"""),43774.0)</f>
        <v>43774</v>
      </c>
      <c r="J8" s="53">
        <f>IFERROR(__xludf.DUMMYFUNCTION("""COMPUTED_VALUE"""),0.5381944444444444)</f>
        <v>0.5381944444</v>
      </c>
      <c r="K8" s="53">
        <f t="shared" si="1"/>
        <v>0.01388888889</v>
      </c>
      <c r="L8" s="49" t="s">
        <v>109</v>
      </c>
      <c r="M8" s="62" t="s">
        <v>719</v>
      </c>
      <c r="N8" s="62" t="str">
        <f t="shared" si="2"/>
        <v>PC_5_7_86714f34-c053-4ef6-bbb3-fa559a80d1ca_000000_000000.mp4</v>
      </c>
      <c r="O8" s="48"/>
      <c r="P8" s="48"/>
      <c r="Q8" s="63"/>
      <c r="R8" s="49"/>
      <c r="S8" s="49"/>
      <c r="T8" s="49"/>
    </row>
    <row r="9">
      <c r="A9" s="49" t="str">
        <f>IFERROR(__xludf.DUMMYFUNCTION("""COMPUTED_VALUE"""),"Lunch break")</f>
        <v>Lunch break</v>
      </c>
      <c r="B9" s="49" t="str">
        <f>IFERROR(__xludf.DUMMYFUNCTION("""COMPUTED_VALUE"""),"PandaConf")</f>
        <v>PandaConf</v>
      </c>
      <c r="C9" s="51" t="str">
        <f>IFERROR(__xludf.DUMMYFUNCTION("""COMPUTED_VALUE"""),"")</f>
        <v/>
      </c>
      <c r="D9" s="49" t="str">
        <f>IFERROR(__xludf.DUMMYFUNCTION("""COMPUTED_VALUE"""),"2019/11/05 12:55:00")</f>
        <v>2019/11/05 12:55:00</v>
      </c>
      <c r="E9" s="49" t="str">
        <f>IFERROR(__xludf.DUMMYFUNCTION("""COMPUTED_VALUE"""),"2019/11/05 13:40:00")</f>
        <v>2019/11/05 13:40:00</v>
      </c>
      <c r="F9" s="49" t="str">
        <f>IFERROR(__xludf.DUMMYFUNCTION("""COMPUTED_VALUE"""),"160966cb-f4ed-40a4-9530-bbdcdc4ca4ea")</f>
        <v>160966cb-f4ed-40a4-9530-bbdcdc4ca4ea</v>
      </c>
      <c r="G9" s="52">
        <f>IFERROR(__xludf.DUMMYFUNCTION("""COMPUTED_VALUE"""),43774.0)</f>
        <v>43774</v>
      </c>
      <c r="H9" s="53">
        <f>IFERROR(__xludf.DUMMYFUNCTION("""COMPUTED_VALUE"""),0.5381944444444444)</f>
        <v>0.5381944444</v>
      </c>
      <c r="I9" s="52">
        <f>IFERROR(__xludf.DUMMYFUNCTION("""COMPUTED_VALUE"""),43774.0)</f>
        <v>43774</v>
      </c>
      <c r="J9" s="53">
        <f>IFERROR(__xludf.DUMMYFUNCTION("""COMPUTED_VALUE"""),0.5694444444444444)</f>
        <v>0.5694444444</v>
      </c>
      <c r="K9" s="53">
        <f t="shared" si="1"/>
        <v>0.03125</v>
      </c>
      <c r="L9" s="49" t="s">
        <v>127</v>
      </c>
      <c r="M9" s="49"/>
      <c r="N9" s="62" t="str">
        <f t="shared" si="2"/>
        <v>_160966cb-f4ed-40a4-9530-bbdcdc4ca4ea_000000_000000.mp4</v>
      </c>
      <c r="O9" s="48"/>
      <c r="P9" s="48"/>
      <c r="Q9" s="63"/>
      <c r="R9" s="49"/>
      <c r="S9" s="49"/>
      <c r="T9" s="49"/>
    </row>
    <row r="10">
      <c r="A10" s="49" t="str">
        <f>IFERROR(__xludf.DUMMYFUNCTION("""COMPUTED_VALUE"""),"Opening remarks")</f>
        <v>Opening remarks</v>
      </c>
      <c r="B10" s="49" t="str">
        <f>IFERROR(__xludf.DUMMYFUNCTION("""COMPUTED_VALUE"""),"PandaConf")</f>
        <v>PandaConf</v>
      </c>
      <c r="C10" s="51" t="str">
        <f>IFERROR(__xludf.DUMMYFUNCTION("""COMPUTED_VALUE"""),"Noel Toolan")</f>
        <v>Noel Toolan</v>
      </c>
      <c r="D10" s="49" t="str">
        <f>IFERROR(__xludf.DUMMYFUNCTION("""COMPUTED_VALUE"""),"2019/11/05 13:40:00")</f>
        <v>2019/11/05 13:40:00</v>
      </c>
      <c r="E10" s="49" t="str">
        <f>IFERROR(__xludf.DUMMYFUNCTION("""COMPUTED_VALUE"""),"2019/11/05 13:50:00")</f>
        <v>2019/11/05 13:50:00</v>
      </c>
      <c r="F10" s="49" t="str">
        <f>IFERROR(__xludf.DUMMYFUNCTION("""COMPUTED_VALUE"""),"0e730870-de40-4c0e-8436-f6883aa647f3")</f>
        <v>0e730870-de40-4c0e-8436-f6883aa647f3</v>
      </c>
      <c r="G10" s="52">
        <f>IFERROR(__xludf.DUMMYFUNCTION("""COMPUTED_VALUE"""),43774.0)</f>
        <v>43774</v>
      </c>
      <c r="H10" s="53">
        <f>IFERROR(__xludf.DUMMYFUNCTION("""COMPUTED_VALUE"""),0.5694444444444444)</f>
        <v>0.5694444444</v>
      </c>
      <c r="I10" s="52">
        <f>IFERROR(__xludf.DUMMYFUNCTION("""COMPUTED_VALUE"""),43774.0)</f>
        <v>43774</v>
      </c>
      <c r="J10" s="53">
        <f>IFERROR(__xludf.DUMMYFUNCTION("""COMPUTED_VALUE"""),0.5763888888888888)</f>
        <v>0.5763888889</v>
      </c>
      <c r="K10" s="53">
        <f t="shared" si="1"/>
        <v>0.006944444444</v>
      </c>
      <c r="L10" s="49" t="s">
        <v>122</v>
      </c>
      <c r="M10" s="62" t="s">
        <v>720</v>
      </c>
      <c r="N10" s="62" t="str">
        <f t="shared" si="2"/>
        <v>PC_5_8_0e730870-de40-4c0e-8436-f6883aa647f3_000000_000000.mp4</v>
      </c>
      <c r="O10" s="48"/>
      <c r="P10" s="48"/>
      <c r="Q10" s="63"/>
      <c r="R10" s="49"/>
      <c r="S10" s="49"/>
      <c r="T10" s="49"/>
    </row>
    <row r="11">
      <c r="A11" s="49" t="str">
        <f>IFERROR(__xludf.DUMMYFUNCTION("""COMPUTED_VALUE"""),"Microsoft’s vision for transforming the web for businesses")</f>
        <v>Microsoft’s vision for transforming the web for businesses</v>
      </c>
      <c r="B11" s="49" t="str">
        <f>IFERROR(__xludf.DUMMYFUNCTION("""COMPUTED_VALUE"""),"PandaConf")</f>
        <v>PandaConf</v>
      </c>
      <c r="C11" s="51" t="str">
        <f>IFERROR(__xludf.DUMMYFUNCTION("""COMPUTED_VALUE"""),"Liat Ben Zur")</f>
        <v>Liat Ben Zur</v>
      </c>
      <c r="D11" s="49" t="str">
        <f>IFERROR(__xludf.DUMMYFUNCTION("""COMPUTED_VALUE"""),"2019/11/05 13:50:00")</f>
        <v>2019/11/05 13:50:00</v>
      </c>
      <c r="E11" s="49" t="str">
        <f>IFERROR(__xludf.DUMMYFUNCTION("""COMPUTED_VALUE"""),"2019/11/05 14:10:00")</f>
        <v>2019/11/05 14:10:00</v>
      </c>
      <c r="F11" s="49" t="str">
        <f>IFERROR(__xludf.DUMMYFUNCTION("""COMPUTED_VALUE"""),"7c7842c9-3e52-4ef8-bfde-6c626eee847e")</f>
        <v>7c7842c9-3e52-4ef8-bfde-6c626eee847e</v>
      </c>
      <c r="G11" s="52">
        <f>IFERROR(__xludf.DUMMYFUNCTION("""COMPUTED_VALUE"""),43774.0)</f>
        <v>43774</v>
      </c>
      <c r="H11" s="53">
        <f>IFERROR(__xludf.DUMMYFUNCTION("""COMPUTED_VALUE"""),0.5763888888888888)</f>
        <v>0.5763888889</v>
      </c>
      <c r="I11" s="52">
        <f>IFERROR(__xludf.DUMMYFUNCTION("""COMPUTED_VALUE"""),43774.0)</f>
        <v>43774</v>
      </c>
      <c r="J11" s="53">
        <f>IFERROR(__xludf.DUMMYFUNCTION("""COMPUTED_VALUE"""),0.5902777777777778)</f>
        <v>0.5902777778</v>
      </c>
      <c r="K11" s="53">
        <f t="shared" si="1"/>
        <v>0.01388888889</v>
      </c>
      <c r="L11" s="49" t="s">
        <v>109</v>
      </c>
      <c r="M11" s="62" t="s">
        <v>721</v>
      </c>
      <c r="N11" s="62" t="str">
        <f t="shared" si="2"/>
        <v>PC_5_9_7c7842c9-3e52-4ef8-bfde-6c626eee847e_000000_000000.mp4</v>
      </c>
      <c r="O11" s="48"/>
      <c r="P11" s="48"/>
      <c r="Q11" s="63"/>
      <c r="R11" s="49"/>
      <c r="S11" s="49"/>
      <c r="T11" s="49"/>
    </row>
    <row r="12">
      <c r="A12" s="49" t="str">
        <f>IFERROR(__xludf.DUMMYFUNCTION("""COMPUTED_VALUE"""),"What does it take to be a modern CMO?")</f>
        <v>What does it take to be a modern CMO?</v>
      </c>
      <c r="B12" s="49" t="str">
        <f>IFERROR(__xludf.DUMMYFUNCTION("""COMPUTED_VALUE"""),"PandaConf")</f>
        <v>PandaConf</v>
      </c>
      <c r="C12" s="51" t="str">
        <f>IFERROR(__xludf.DUMMYFUNCTION("""COMPUTED_VALUE"""),"Meagen Eisenberg, Tom Klein, Janine Pelosi and Katie Deighton")</f>
        <v>Meagen Eisenberg, Tom Klein, Janine Pelosi and Katie Deighton</v>
      </c>
      <c r="D12" s="49" t="str">
        <f>IFERROR(__xludf.DUMMYFUNCTION("""COMPUTED_VALUE"""),"2019/11/05 14:10:00")</f>
        <v>2019/11/05 14:10:00</v>
      </c>
      <c r="E12" s="49" t="str">
        <f>IFERROR(__xludf.DUMMYFUNCTION("""COMPUTED_VALUE"""),"2019/11/05 14:35:00")</f>
        <v>2019/11/05 14:35:00</v>
      </c>
      <c r="F12" s="49" t="str">
        <f>IFERROR(__xludf.DUMMYFUNCTION("""COMPUTED_VALUE"""),"f9830c98-c828-4bff-97b9-d496bb65eb0b")</f>
        <v>f9830c98-c828-4bff-97b9-d496bb65eb0b</v>
      </c>
      <c r="G12" s="52">
        <f>IFERROR(__xludf.DUMMYFUNCTION("""COMPUTED_VALUE"""),43774.0)</f>
        <v>43774</v>
      </c>
      <c r="H12" s="53">
        <f>IFERROR(__xludf.DUMMYFUNCTION("""COMPUTED_VALUE"""),0.5902777777777778)</f>
        <v>0.5902777778</v>
      </c>
      <c r="I12" s="52">
        <f>IFERROR(__xludf.DUMMYFUNCTION("""COMPUTED_VALUE"""),43774.0)</f>
        <v>43774</v>
      </c>
      <c r="J12" s="53">
        <f>IFERROR(__xludf.DUMMYFUNCTION("""COMPUTED_VALUE"""),0.6076388888888888)</f>
        <v>0.6076388889</v>
      </c>
      <c r="K12" s="53">
        <f t="shared" si="1"/>
        <v>0.01736111111</v>
      </c>
      <c r="L12" s="49" t="s">
        <v>111</v>
      </c>
      <c r="M12" s="62" t="s">
        <v>722</v>
      </c>
      <c r="N12" s="62" t="str">
        <f t="shared" si="2"/>
        <v>PC_5_10_f9830c98-c828-4bff-97b9-d496bb65eb0b_000000_000000.mp4</v>
      </c>
      <c r="O12" s="48"/>
      <c r="P12" s="48"/>
      <c r="Q12" s="63"/>
      <c r="R12" s="49"/>
      <c r="S12" s="49"/>
      <c r="T12" s="49"/>
    </row>
    <row r="13">
      <c r="A13" s="49" t="str">
        <f>IFERROR(__xludf.DUMMYFUNCTION("""COMPUTED_VALUE"""),"Getting inside the brand marketing engine")</f>
        <v>Getting inside the brand marketing engine</v>
      </c>
      <c r="B13" s="49" t="str">
        <f>IFERROR(__xludf.DUMMYFUNCTION("""COMPUTED_VALUE"""),"PandaConf")</f>
        <v>PandaConf</v>
      </c>
      <c r="C13" s="51" t="str">
        <f>IFERROR(__xludf.DUMMYFUNCTION("""COMPUTED_VALUE"""),"Alan Boehme, Cynthia Johnson, Dominic Grounsell and Marty Swant")</f>
        <v>Alan Boehme, Cynthia Johnson, Dominic Grounsell and Marty Swant</v>
      </c>
      <c r="D13" s="49" t="str">
        <f>IFERROR(__xludf.DUMMYFUNCTION("""COMPUTED_VALUE"""),"2019/11/05 14:35:00")</f>
        <v>2019/11/05 14:35:00</v>
      </c>
      <c r="E13" s="49" t="str">
        <f>IFERROR(__xludf.DUMMYFUNCTION("""COMPUTED_VALUE"""),"2019/11/05 15:00:00")</f>
        <v>2019/11/05 15:00:00</v>
      </c>
      <c r="F13" s="49" t="str">
        <f>IFERROR(__xludf.DUMMYFUNCTION("""COMPUTED_VALUE"""),"1c578985-09b2-45c8-85ca-c88703258799")</f>
        <v>1c578985-09b2-45c8-85ca-c88703258799</v>
      </c>
      <c r="G13" s="52">
        <f>IFERROR(__xludf.DUMMYFUNCTION("""COMPUTED_VALUE"""),43774.0)</f>
        <v>43774</v>
      </c>
      <c r="H13" s="53">
        <f>IFERROR(__xludf.DUMMYFUNCTION("""COMPUTED_VALUE"""),0.6076388888888888)</f>
        <v>0.6076388889</v>
      </c>
      <c r="I13" s="52">
        <f>IFERROR(__xludf.DUMMYFUNCTION("""COMPUTED_VALUE"""),43774.0)</f>
        <v>43774</v>
      </c>
      <c r="J13" s="53">
        <f>IFERROR(__xludf.DUMMYFUNCTION("""COMPUTED_VALUE"""),0.625)</f>
        <v>0.625</v>
      </c>
      <c r="K13" s="53">
        <f t="shared" si="1"/>
        <v>0.01736111111</v>
      </c>
      <c r="L13" s="49" t="s">
        <v>111</v>
      </c>
      <c r="M13" s="62" t="s">
        <v>724</v>
      </c>
      <c r="N13" s="62" t="str">
        <f t="shared" si="2"/>
        <v>PC_5_11_1c578985-09b2-45c8-85ca-c88703258799_000000_000000.mp4</v>
      </c>
      <c r="O13" s="48"/>
      <c r="P13" s="48"/>
      <c r="Q13" s="63"/>
      <c r="R13" s="49"/>
      <c r="S13" s="49"/>
      <c r="T13" s="49"/>
    </row>
    <row r="14">
      <c r="A14" s="49" t="str">
        <f>IFERROR(__xludf.DUMMYFUNCTION("""COMPUTED_VALUE"""),"Redefining mobile measurement")</f>
        <v>Redefining mobile measurement</v>
      </c>
      <c r="B14" s="49" t="str">
        <f>IFERROR(__xludf.DUMMYFUNCTION("""COMPUTED_VALUE"""),"PandaConf")</f>
        <v>PandaConf</v>
      </c>
      <c r="C14" s="51" t="str">
        <f>IFERROR(__xludf.DUMMYFUNCTION("""COMPUTED_VALUE"""),"Ted Krantz")</f>
        <v>Ted Krantz</v>
      </c>
      <c r="D14" s="49" t="str">
        <f>IFERROR(__xludf.DUMMYFUNCTION("""COMPUTED_VALUE"""),"2019/11/05 15:00:00")</f>
        <v>2019/11/05 15:00:00</v>
      </c>
      <c r="E14" s="49" t="str">
        <f>IFERROR(__xludf.DUMMYFUNCTION("""COMPUTED_VALUE"""),"2019/11/05 15:20:00")</f>
        <v>2019/11/05 15:20:00</v>
      </c>
      <c r="F14" s="49" t="str">
        <f>IFERROR(__xludf.DUMMYFUNCTION("""COMPUTED_VALUE"""),"2c83924e-c82c-4739-9135-e70cad466a2d")</f>
        <v>2c83924e-c82c-4739-9135-e70cad466a2d</v>
      </c>
      <c r="G14" s="52">
        <f>IFERROR(__xludf.DUMMYFUNCTION("""COMPUTED_VALUE"""),43774.0)</f>
        <v>43774</v>
      </c>
      <c r="H14" s="53">
        <f>IFERROR(__xludf.DUMMYFUNCTION("""COMPUTED_VALUE"""),0.625)</f>
        <v>0.625</v>
      </c>
      <c r="I14" s="52">
        <f>IFERROR(__xludf.DUMMYFUNCTION("""COMPUTED_VALUE"""),43774.0)</f>
        <v>43774</v>
      </c>
      <c r="J14" s="53">
        <f>IFERROR(__xludf.DUMMYFUNCTION("""COMPUTED_VALUE"""),0.6388888888888888)</f>
        <v>0.6388888889</v>
      </c>
      <c r="K14" s="53">
        <f t="shared" si="1"/>
        <v>0.01388888889</v>
      </c>
      <c r="L14" s="49" t="s">
        <v>109</v>
      </c>
      <c r="M14" s="62" t="s">
        <v>726</v>
      </c>
      <c r="N14" s="62" t="str">
        <f t="shared" si="2"/>
        <v>PC_5_12_2c83924e-c82c-4739-9135-e70cad466a2d_000000_000000.mp4</v>
      </c>
      <c r="O14" s="48"/>
      <c r="P14" s="48"/>
      <c r="Q14" s="63"/>
      <c r="R14" s="49"/>
      <c r="S14" s="49"/>
      <c r="T14" s="49"/>
    </row>
    <row r="15">
      <c r="A15" s="49" t="str">
        <f>IFERROR(__xludf.DUMMYFUNCTION("""COMPUTED_VALUE"""),"Can brands save the planet?")</f>
        <v>Can brands save the planet?</v>
      </c>
      <c r="B15" s="49" t="str">
        <f>IFERROR(__xludf.DUMMYFUNCTION("""COMPUTED_VALUE"""),"PandaConf")</f>
        <v>PandaConf</v>
      </c>
      <c r="C15" s="51" t="str">
        <f>IFERROR(__xludf.DUMMYFUNCTION("""COMPUTED_VALUE"""),"Shane Wall, Ian Somerhalder and Naina Bajekal")</f>
        <v>Shane Wall, Ian Somerhalder and Naina Bajekal</v>
      </c>
      <c r="D15" s="49" t="str">
        <f>IFERROR(__xludf.DUMMYFUNCTION("""COMPUTED_VALUE"""),"2019/11/05 15:20:00")</f>
        <v>2019/11/05 15:20:00</v>
      </c>
      <c r="E15" s="49" t="str">
        <f>IFERROR(__xludf.DUMMYFUNCTION("""COMPUTED_VALUE"""),"2019/11/05 15:45:00")</f>
        <v>2019/11/05 15:45:00</v>
      </c>
      <c r="F15" s="49" t="str">
        <f>IFERROR(__xludf.DUMMYFUNCTION("""COMPUTED_VALUE"""),"796b9900-6f30-4fed-a2c1-7208ee07cac4")</f>
        <v>796b9900-6f30-4fed-a2c1-7208ee07cac4</v>
      </c>
      <c r="G15" s="52">
        <f>IFERROR(__xludf.DUMMYFUNCTION("""COMPUTED_VALUE"""),43774.0)</f>
        <v>43774</v>
      </c>
      <c r="H15" s="53">
        <f>IFERROR(__xludf.DUMMYFUNCTION("""COMPUTED_VALUE"""),0.6388888888888888)</f>
        <v>0.6388888889</v>
      </c>
      <c r="I15" s="52">
        <f>IFERROR(__xludf.DUMMYFUNCTION("""COMPUTED_VALUE"""),43774.0)</f>
        <v>43774</v>
      </c>
      <c r="J15" s="53">
        <f>IFERROR(__xludf.DUMMYFUNCTION("""COMPUTED_VALUE"""),0.65625)</f>
        <v>0.65625</v>
      </c>
      <c r="K15" s="53">
        <f t="shared" si="1"/>
        <v>0.01736111111</v>
      </c>
      <c r="L15" s="49" t="s">
        <v>111</v>
      </c>
      <c r="M15" s="62" t="s">
        <v>728</v>
      </c>
      <c r="N15" s="62" t="str">
        <f t="shared" si="2"/>
        <v>PC_5_13_796b9900-6f30-4fed-a2c1-7208ee07cac4_000000_000000.mp4</v>
      </c>
      <c r="O15" s="48"/>
      <c r="P15" s="48"/>
      <c r="Q15" s="63"/>
      <c r="R15" s="49"/>
      <c r="S15" s="49"/>
      <c r="T15" s="49"/>
    </row>
    <row r="16">
      <c r="A16" s="49" t="str">
        <f>IFERROR(__xludf.DUMMYFUNCTION("""COMPUTED_VALUE"""),"Can tech put women's health on the right track?")</f>
        <v>Can tech put women's health on the right track?</v>
      </c>
      <c r="B16" s="49" t="str">
        <f>IFERROR(__xludf.DUMMYFUNCTION("""COMPUTED_VALUE"""),"PandaConf")</f>
        <v>PandaConf</v>
      </c>
      <c r="C16" s="51" t="str">
        <f>IFERROR(__xludf.DUMMYFUNCTION("""COMPUTED_VALUE"""),"Jessica Ennis-Hill, Hilary Coles and Cheng Lei")</f>
        <v>Jessica Ennis-Hill, Hilary Coles and Cheng Lei</v>
      </c>
      <c r="D16" s="49" t="str">
        <f>IFERROR(__xludf.DUMMYFUNCTION("""COMPUTED_VALUE"""),"2019/11/05 15:45:00")</f>
        <v>2019/11/05 15:45:00</v>
      </c>
      <c r="E16" s="49" t="str">
        <f>IFERROR(__xludf.DUMMYFUNCTION("""COMPUTED_VALUE"""),"2019/11/05 16:10:00")</f>
        <v>2019/11/05 16:10:00</v>
      </c>
      <c r="F16" s="49" t="str">
        <f>IFERROR(__xludf.DUMMYFUNCTION("""COMPUTED_VALUE"""),"c0c630a0-a48c-448d-b10e-0b4a6e26f1ca")</f>
        <v>c0c630a0-a48c-448d-b10e-0b4a6e26f1ca</v>
      </c>
      <c r="G16" s="52">
        <f>IFERROR(__xludf.DUMMYFUNCTION("""COMPUTED_VALUE"""),43774.0)</f>
        <v>43774</v>
      </c>
      <c r="H16" s="53">
        <f>IFERROR(__xludf.DUMMYFUNCTION("""COMPUTED_VALUE"""),0.65625)</f>
        <v>0.65625</v>
      </c>
      <c r="I16" s="52">
        <f>IFERROR(__xludf.DUMMYFUNCTION("""COMPUTED_VALUE"""),43774.0)</f>
        <v>43774</v>
      </c>
      <c r="J16" s="53">
        <f>IFERROR(__xludf.DUMMYFUNCTION("""COMPUTED_VALUE"""),0.6736111111111112)</f>
        <v>0.6736111111</v>
      </c>
      <c r="K16" s="53">
        <f t="shared" si="1"/>
        <v>0.01736111111</v>
      </c>
      <c r="L16" s="49" t="s">
        <v>111</v>
      </c>
      <c r="M16" s="62" t="s">
        <v>730</v>
      </c>
      <c r="N16" s="62" t="str">
        <f t="shared" si="2"/>
        <v>PC_5_14_c0c630a0-a48c-448d-b10e-0b4a6e26f1ca_000000_000000.mp4</v>
      </c>
      <c r="O16" s="48"/>
      <c r="P16" s="48"/>
      <c r="Q16" s="63"/>
      <c r="R16" s="49"/>
      <c r="S16" s="49"/>
      <c r="T16" s="49"/>
    </row>
    <row r="17">
      <c r="A17" s="49" t="str">
        <f>IFERROR(__xludf.DUMMYFUNCTION("""COMPUTED_VALUE"""),"Opening remarks")</f>
        <v>Opening remarks</v>
      </c>
      <c r="B17" s="49" t="str">
        <f>IFERROR(__xludf.DUMMYFUNCTION("""COMPUTED_VALUE"""),"PandaConf")</f>
        <v>PandaConf</v>
      </c>
      <c r="C17" s="51" t="str">
        <f>IFERROR(__xludf.DUMMYFUNCTION("""COMPUTED_VALUE"""),"Yamilette Cano")</f>
        <v>Yamilette Cano</v>
      </c>
      <c r="D17" s="49" t="str">
        <f>IFERROR(__xludf.DUMMYFUNCTION("""COMPUTED_VALUE"""),"2019/11/06 10:45:00")</f>
        <v>2019/11/06 10:45:00</v>
      </c>
      <c r="E17" s="49" t="str">
        <f>IFERROR(__xludf.DUMMYFUNCTION("""COMPUTED_VALUE"""),"2019/11/06 10:50:00")</f>
        <v>2019/11/06 10:50:00</v>
      </c>
      <c r="F17" s="49" t="str">
        <f>IFERROR(__xludf.DUMMYFUNCTION("""COMPUTED_VALUE"""),"fc0020ff-046f-4c92-a2c8-82205616d052")</f>
        <v>fc0020ff-046f-4c92-a2c8-82205616d052</v>
      </c>
      <c r="G17" s="52">
        <f>IFERROR(__xludf.DUMMYFUNCTION("""COMPUTED_VALUE"""),43775.0)</f>
        <v>43775</v>
      </c>
      <c r="H17" s="53">
        <f>IFERROR(__xludf.DUMMYFUNCTION("""COMPUTED_VALUE"""),0.4479166666666667)</f>
        <v>0.4479166667</v>
      </c>
      <c r="I17" s="52">
        <f>IFERROR(__xludf.DUMMYFUNCTION("""COMPUTED_VALUE"""),43775.0)</f>
        <v>43775</v>
      </c>
      <c r="J17" s="53">
        <f>IFERROR(__xludf.DUMMYFUNCTION("""COMPUTED_VALUE"""),0.4513888888888889)</f>
        <v>0.4513888889</v>
      </c>
      <c r="K17" s="53">
        <f t="shared" si="1"/>
        <v>0.003472222222</v>
      </c>
      <c r="L17" s="49" t="s">
        <v>228</v>
      </c>
      <c r="M17" s="62" t="s">
        <v>731</v>
      </c>
      <c r="N17" s="62" t="str">
        <f t="shared" si="2"/>
        <v>PC_6_1_fc0020ff-046f-4c92-a2c8-82205616d052_000000_000000.mp4</v>
      </c>
      <c r="O17" s="48"/>
      <c r="P17" s="48"/>
      <c r="Q17" s="63"/>
      <c r="R17" s="49"/>
      <c r="S17" s="49"/>
      <c r="T17" s="49"/>
    </row>
    <row r="18">
      <c r="A18" s="49" t="str">
        <f>IFERROR(__xludf.DUMMYFUNCTION("""COMPUTED_VALUE"""),"The 2020 marketing playbook ")</f>
        <v>The 2020 marketing playbook </v>
      </c>
      <c r="B18" s="49" t="str">
        <f>IFERROR(__xludf.DUMMYFUNCTION("""COMPUTED_VALUE"""),"PandaConf")</f>
        <v>PandaConf</v>
      </c>
      <c r="C18" s="51" t="str">
        <f>IFERROR(__xludf.DUMMYFUNCTION("""COMPUTED_VALUE"""),"David Meltzer")</f>
        <v>David Meltzer</v>
      </c>
      <c r="D18" s="49" t="str">
        <f>IFERROR(__xludf.DUMMYFUNCTION("""COMPUTED_VALUE"""),"2019/11/06 10:50:00")</f>
        <v>2019/11/06 10:50:00</v>
      </c>
      <c r="E18" s="49" t="str">
        <f>IFERROR(__xludf.DUMMYFUNCTION("""COMPUTED_VALUE"""),"2019/11/06 11:00:00")</f>
        <v>2019/11/06 11:00:00</v>
      </c>
      <c r="F18" s="49" t="str">
        <f>IFERROR(__xludf.DUMMYFUNCTION("""COMPUTED_VALUE"""),"a3e6df10-bf0c-4bb6-bc64-445c0756285c")</f>
        <v>a3e6df10-bf0c-4bb6-bc64-445c0756285c</v>
      </c>
      <c r="G18" s="52">
        <f>IFERROR(__xludf.DUMMYFUNCTION("""COMPUTED_VALUE"""),43775.0)</f>
        <v>43775</v>
      </c>
      <c r="H18" s="53">
        <f>IFERROR(__xludf.DUMMYFUNCTION("""COMPUTED_VALUE"""),0.4513888888888889)</f>
        <v>0.4513888889</v>
      </c>
      <c r="I18" s="52">
        <f>IFERROR(__xludf.DUMMYFUNCTION("""COMPUTED_VALUE"""),43775.0)</f>
        <v>43775</v>
      </c>
      <c r="J18" s="53">
        <f>IFERROR(__xludf.DUMMYFUNCTION("""COMPUTED_VALUE"""),0.4583333333333333)</f>
        <v>0.4583333333</v>
      </c>
      <c r="K18" s="53">
        <f t="shared" si="1"/>
        <v>0.006944444444</v>
      </c>
      <c r="L18" s="49" t="s">
        <v>122</v>
      </c>
      <c r="M18" s="62" t="s">
        <v>733</v>
      </c>
      <c r="N18" s="62" t="str">
        <f t="shared" si="2"/>
        <v>PC_6_2_a3e6df10-bf0c-4bb6-bc64-445c0756285c_000000_000000.mp4</v>
      </c>
      <c r="O18" s="48"/>
      <c r="P18" s="48"/>
      <c r="Q18" s="63"/>
      <c r="R18" s="49"/>
      <c r="S18" s="49"/>
      <c r="T18" s="49"/>
    </row>
    <row r="19">
      <c r="A19" s="49" t="str">
        <f>IFERROR(__xludf.DUMMYFUNCTION("""COMPUTED_VALUE"""),"Every day amplified: The Lamborghini experience")</f>
        <v>Every day amplified: The Lamborghini experience</v>
      </c>
      <c r="B19" s="49" t="str">
        <f>IFERROR(__xludf.DUMMYFUNCTION("""COMPUTED_VALUE"""),"PandaConf")</f>
        <v>PandaConf</v>
      </c>
      <c r="C19" s="51" t="str">
        <f>IFERROR(__xludf.DUMMYFUNCTION("""COMPUTED_VALUE"""),"Katia Bassi")</f>
        <v>Katia Bassi</v>
      </c>
      <c r="D19" s="49" t="str">
        <f>IFERROR(__xludf.DUMMYFUNCTION("""COMPUTED_VALUE"""),"2019/11/06 11:00:00")</f>
        <v>2019/11/06 11:00:00</v>
      </c>
      <c r="E19" s="49" t="str">
        <f>IFERROR(__xludf.DUMMYFUNCTION("""COMPUTED_VALUE"""),"2019/11/06 11:30:00")</f>
        <v>2019/11/06 11:30:00</v>
      </c>
      <c r="F19" s="49" t="str">
        <f>IFERROR(__xludf.DUMMYFUNCTION("""COMPUTED_VALUE"""),"2480ada4-aa87-4928-9270-10496ee3b070")</f>
        <v>2480ada4-aa87-4928-9270-10496ee3b070</v>
      </c>
      <c r="G19" s="52">
        <f>IFERROR(__xludf.DUMMYFUNCTION("""COMPUTED_VALUE"""),43775.0)</f>
        <v>43775</v>
      </c>
      <c r="H19" s="53">
        <f>IFERROR(__xludf.DUMMYFUNCTION("""COMPUTED_VALUE"""),0.4583333333333333)</f>
        <v>0.4583333333</v>
      </c>
      <c r="I19" s="52">
        <f>IFERROR(__xludf.DUMMYFUNCTION("""COMPUTED_VALUE"""),43775.0)</f>
        <v>43775</v>
      </c>
      <c r="J19" s="53">
        <f>IFERROR(__xludf.DUMMYFUNCTION("""COMPUTED_VALUE"""),0.4791666666666667)</f>
        <v>0.4791666667</v>
      </c>
      <c r="K19" s="53">
        <f t="shared" si="1"/>
        <v>0.02083333333</v>
      </c>
      <c r="L19" s="49" t="s">
        <v>105</v>
      </c>
      <c r="M19" s="62" t="s">
        <v>735</v>
      </c>
      <c r="N19" s="62" t="str">
        <f t="shared" si="2"/>
        <v>PC_6_3_2480ada4-aa87-4928-9270-10496ee3b070_000000_000000.mp4</v>
      </c>
      <c r="O19" s="48"/>
      <c r="P19" s="48"/>
      <c r="Q19" s="63"/>
      <c r="R19" s="49"/>
      <c r="S19" s="49"/>
      <c r="T19" s="49"/>
    </row>
    <row r="20">
      <c r="A20" s="49" t="str">
        <f>IFERROR(__xludf.DUMMYFUNCTION("""COMPUTED_VALUE""")," Changes are afoot: The death of traditional retail")</f>
        <v> Changes are afoot: The death of traditional retail</v>
      </c>
      <c r="B20" s="49" t="str">
        <f>IFERROR(__xludf.DUMMYFUNCTION("""COMPUTED_VALUE"""),"PandaConf")</f>
        <v>PandaConf</v>
      </c>
      <c r="C20" s="51" t="str">
        <f>IFERROR(__xludf.DUMMYFUNCTION("""COMPUTED_VALUE"""),"Josh Luber and Rebecca Stewart")</f>
        <v>Josh Luber and Rebecca Stewart</v>
      </c>
      <c r="D20" s="49" t="str">
        <f>IFERROR(__xludf.DUMMYFUNCTION("""COMPUTED_VALUE"""),"2019/11/06 11:30:00")</f>
        <v>2019/11/06 11:30:00</v>
      </c>
      <c r="E20" s="49" t="str">
        <f>IFERROR(__xludf.DUMMYFUNCTION("""COMPUTED_VALUE"""),"2019/11/06 11:50:00")</f>
        <v>2019/11/06 11:50:00</v>
      </c>
      <c r="F20" s="49" t="str">
        <f>IFERROR(__xludf.DUMMYFUNCTION("""COMPUTED_VALUE"""),"476f37c9-89b4-4016-a979-7dc647616266")</f>
        <v>476f37c9-89b4-4016-a979-7dc647616266</v>
      </c>
      <c r="G20" s="52">
        <f>IFERROR(__xludf.DUMMYFUNCTION("""COMPUTED_VALUE"""),43775.0)</f>
        <v>43775</v>
      </c>
      <c r="H20" s="53">
        <f>IFERROR(__xludf.DUMMYFUNCTION("""COMPUTED_VALUE"""),0.4791666666666667)</f>
        <v>0.4791666667</v>
      </c>
      <c r="I20" s="52">
        <f>IFERROR(__xludf.DUMMYFUNCTION("""COMPUTED_VALUE"""),43775.0)</f>
        <v>43775</v>
      </c>
      <c r="J20" s="53">
        <f>IFERROR(__xludf.DUMMYFUNCTION("""COMPUTED_VALUE"""),0.4930555555555556)</f>
        <v>0.4930555556</v>
      </c>
      <c r="K20" s="53">
        <f t="shared" si="1"/>
        <v>0.01388888889</v>
      </c>
      <c r="L20" s="49" t="s">
        <v>109</v>
      </c>
      <c r="M20" s="62" t="s">
        <v>737</v>
      </c>
      <c r="N20" s="62" t="str">
        <f t="shared" si="2"/>
        <v>PC_6_4_476f37c9-89b4-4016-a979-7dc647616266_000000_000000.mp4</v>
      </c>
      <c r="O20" s="48"/>
      <c r="P20" s="48"/>
      <c r="Q20" s="63"/>
      <c r="R20" s="49"/>
      <c r="S20" s="49"/>
      <c r="T20" s="49"/>
    </row>
    <row r="21">
      <c r="A21" s="49" t="str">
        <f>IFERROR(__xludf.DUMMYFUNCTION("""COMPUTED_VALUE"""),"How to win on social")</f>
        <v>How to win on social</v>
      </c>
      <c r="B21" s="49" t="str">
        <f>IFERROR(__xludf.DUMMYFUNCTION("""COMPUTED_VALUE"""),"PandaConf")</f>
        <v>PandaConf</v>
      </c>
      <c r="C21" s="51" t="str">
        <f>IFERROR(__xludf.DUMMYFUNCTION("""COMPUTED_VALUE"""),"Dima Khatib, Margaret Molloy, Alex Chung and Mark Little")</f>
        <v>Dima Khatib, Margaret Molloy, Alex Chung and Mark Little</v>
      </c>
      <c r="D21" s="49" t="str">
        <f>IFERROR(__xludf.DUMMYFUNCTION("""COMPUTED_VALUE"""),"2019/11/06 11:50:00")</f>
        <v>2019/11/06 11:50:00</v>
      </c>
      <c r="E21" s="49" t="str">
        <f>IFERROR(__xludf.DUMMYFUNCTION("""COMPUTED_VALUE"""),"2019/11/06 12:10:00")</f>
        <v>2019/11/06 12:10:00</v>
      </c>
      <c r="F21" s="49" t="str">
        <f>IFERROR(__xludf.DUMMYFUNCTION("""COMPUTED_VALUE"""),"58ae0116-8289-4d43-aec1-d71e1c6e9d06")</f>
        <v>58ae0116-8289-4d43-aec1-d71e1c6e9d06</v>
      </c>
      <c r="G21" s="52">
        <f>IFERROR(__xludf.DUMMYFUNCTION("""COMPUTED_VALUE"""),43775.0)</f>
        <v>43775</v>
      </c>
      <c r="H21" s="53">
        <f>IFERROR(__xludf.DUMMYFUNCTION("""COMPUTED_VALUE"""),0.4930555555555556)</f>
        <v>0.4930555556</v>
      </c>
      <c r="I21" s="52">
        <f>IFERROR(__xludf.DUMMYFUNCTION("""COMPUTED_VALUE"""),43775.0)</f>
        <v>43775</v>
      </c>
      <c r="J21" s="53">
        <f>IFERROR(__xludf.DUMMYFUNCTION("""COMPUTED_VALUE"""),0.5069444444444444)</f>
        <v>0.5069444444</v>
      </c>
      <c r="K21" s="53">
        <f t="shared" si="1"/>
        <v>0.01388888889</v>
      </c>
      <c r="L21" s="49" t="s">
        <v>109</v>
      </c>
      <c r="M21" s="62" t="s">
        <v>738</v>
      </c>
      <c r="N21" s="62" t="str">
        <f t="shared" si="2"/>
        <v>PC_6_5_58ae0116-8289-4d43-aec1-d71e1c6e9d06_000000_000000.mp4</v>
      </c>
      <c r="O21" s="48"/>
      <c r="P21" s="48"/>
      <c r="Q21" s="63"/>
      <c r="R21" s="49"/>
      <c r="S21" s="49"/>
      <c r="T21" s="49"/>
    </row>
    <row r="22">
      <c r="A22" s="49" t="str">
        <f>IFERROR(__xludf.DUMMYFUNCTION("""COMPUTED_VALUE"""),"Behind the paywall: Making money in media")</f>
        <v>Behind the paywall: Making money in media</v>
      </c>
      <c r="B22" s="49" t="str">
        <f>IFERROR(__xludf.DUMMYFUNCTION("""COMPUTED_VALUE"""),"PandaConf")</f>
        <v>PandaConf</v>
      </c>
      <c r="C22" s="51" t="str">
        <f>IFERROR(__xludf.DUMMYFUNCTION("""COMPUTED_VALUE"""),"Brendan Eich, Yaron Galai and Kit Eaton")</f>
        <v>Brendan Eich, Yaron Galai and Kit Eaton</v>
      </c>
      <c r="D22" s="49" t="str">
        <f>IFERROR(__xludf.DUMMYFUNCTION("""COMPUTED_VALUE"""),"2019/11/06 12:10:00")</f>
        <v>2019/11/06 12:10:00</v>
      </c>
      <c r="E22" s="49" t="str">
        <f>IFERROR(__xludf.DUMMYFUNCTION("""COMPUTED_VALUE"""),"2019/11/06 12:30:00")</f>
        <v>2019/11/06 12:30:00</v>
      </c>
      <c r="F22" s="49" t="str">
        <f>IFERROR(__xludf.DUMMYFUNCTION("""COMPUTED_VALUE"""),"ed625704-266c-45fc-b093-337bcd4e6c90")</f>
        <v>ed625704-266c-45fc-b093-337bcd4e6c90</v>
      </c>
      <c r="G22" s="52">
        <f>IFERROR(__xludf.DUMMYFUNCTION("""COMPUTED_VALUE"""),43775.0)</f>
        <v>43775</v>
      </c>
      <c r="H22" s="53">
        <f>IFERROR(__xludf.DUMMYFUNCTION("""COMPUTED_VALUE"""),0.5069444444444444)</f>
        <v>0.5069444444</v>
      </c>
      <c r="I22" s="52">
        <f>IFERROR(__xludf.DUMMYFUNCTION("""COMPUTED_VALUE"""),43775.0)</f>
        <v>43775</v>
      </c>
      <c r="J22" s="53">
        <f>IFERROR(__xludf.DUMMYFUNCTION("""COMPUTED_VALUE"""),0.5208333333333334)</f>
        <v>0.5208333333</v>
      </c>
      <c r="K22" s="53">
        <f t="shared" si="1"/>
        <v>0.01388888889</v>
      </c>
      <c r="L22" s="49" t="s">
        <v>109</v>
      </c>
      <c r="M22" s="62" t="s">
        <v>740</v>
      </c>
      <c r="N22" s="62" t="str">
        <f t="shared" si="2"/>
        <v>PC_6_6_ed625704-266c-45fc-b093-337bcd4e6c90_000000_000000.mp4</v>
      </c>
      <c r="O22" s="48"/>
      <c r="P22" s="48"/>
      <c r="Q22" s="63"/>
      <c r="R22" s="49"/>
      <c r="S22" s="49"/>
      <c r="T22" s="49"/>
    </row>
    <row r="23">
      <c r="A23" s="49" t="str">
        <f>IFERROR(__xludf.DUMMYFUNCTION("""COMPUTED_VALUE"""),"How can tech companies regain our trust?")</f>
        <v>How can tech companies regain our trust?</v>
      </c>
      <c r="B23" s="49" t="str">
        <f>IFERROR(__xludf.DUMMYFUNCTION("""COMPUTED_VALUE"""),"PandaConf")</f>
        <v>PandaConf</v>
      </c>
      <c r="C23" s="51" t="str">
        <f>IFERROR(__xludf.DUMMYFUNCTION("""COMPUTED_VALUE"""),"Richard Edelman and Sara Fischer")</f>
        <v>Richard Edelman and Sara Fischer</v>
      </c>
      <c r="D23" s="49" t="str">
        <f>IFERROR(__xludf.DUMMYFUNCTION("""COMPUTED_VALUE"""),"2019/11/06 12:30:00")</f>
        <v>2019/11/06 12:30:00</v>
      </c>
      <c r="E23" s="49" t="str">
        <f>IFERROR(__xludf.DUMMYFUNCTION("""COMPUTED_VALUE"""),"2019/11/06 12:50:00")</f>
        <v>2019/11/06 12:50:00</v>
      </c>
      <c r="F23" s="49" t="str">
        <f>IFERROR(__xludf.DUMMYFUNCTION("""COMPUTED_VALUE"""),"e5951b2b-a338-4770-ac0d-d01d3e50257f")</f>
        <v>e5951b2b-a338-4770-ac0d-d01d3e50257f</v>
      </c>
      <c r="G23" s="52">
        <f>IFERROR(__xludf.DUMMYFUNCTION("""COMPUTED_VALUE"""),43775.0)</f>
        <v>43775</v>
      </c>
      <c r="H23" s="53">
        <f>IFERROR(__xludf.DUMMYFUNCTION("""COMPUTED_VALUE"""),0.5208333333333334)</f>
        <v>0.5208333333</v>
      </c>
      <c r="I23" s="52">
        <f>IFERROR(__xludf.DUMMYFUNCTION("""COMPUTED_VALUE"""),43775.0)</f>
        <v>43775</v>
      </c>
      <c r="J23" s="53">
        <f>IFERROR(__xludf.DUMMYFUNCTION("""COMPUTED_VALUE"""),0.5347222222222222)</f>
        <v>0.5347222222</v>
      </c>
      <c r="K23" s="53">
        <f t="shared" si="1"/>
        <v>0.01388888889</v>
      </c>
      <c r="L23" s="49" t="s">
        <v>109</v>
      </c>
      <c r="M23" s="62" t="s">
        <v>742</v>
      </c>
      <c r="N23" s="62" t="str">
        <f t="shared" si="2"/>
        <v>PC_6_7_e5951b2b-a338-4770-ac0d-d01d3e50257f_000000_000000.mp4</v>
      </c>
      <c r="O23" s="48"/>
      <c r="P23" s="48"/>
      <c r="Q23" s="63"/>
      <c r="R23" s="49"/>
      <c r="S23" s="49"/>
      <c r="T23" s="49"/>
    </row>
    <row r="24">
      <c r="A24" s="49" t="str">
        <f>IFERROR(__xludf.DUMMYFUNCTION("""COMPUTED_VALUE"""),"Lunch break")</f>
        <v>Lunch break</v>
      </c>
      <c r="B24" s="49" t="str">
        <f>IFERROR(__xludf.DUMMYFUNCTION("""COMPUTED_VALUE"""),"PandaConf")</f>
        <v>PandaConf</v>
      </c>
      <c r="C24" s="51" t="str">
        <f>IFERROR(__xludf.DUMMYFUNCTION("""COMPUTED_VALUE"""),"")</f>
        <v/>
      </c>
      <c r="D24" s="49" t="str">
        <f>IFERROR(__xludf.DUMMYFUNCTION("""COMPUTED_VALUE"""),"2019/11/06 12:50:00")</f>
        <v>2019/11/06 12:50:00</v>
      </c>
      <c r="E24" s="49" t="str">
        <f>IFERROR(__xludf.DUMMYFUNCTION("""COMPUTED_VALUE"""),"2019/11/06 13:20:00")</f>
        <v>2019/11/06 13:20:00</v>
      </c>
      <c r="F24" s="49" t="str">
        <f>IFERROR(__xludf.DUMMYFUNCTION("""COMPUTED_VALUE"""),"4b044661-24dc-4ab0-bfe3-412a4bbb8a65")</f>
        <v>4b044661-24dc-4ab0-bfe3-412a4bbb8a65</v>
      </c>
      <c r="G24" s="52">
        <f>IFERROR(__xludf.DUMMYFUNCTION("""COMPUTED_VALUE"""),43775.0)</f>
        <v>43775</v>
      </c>
      <c r="H24" s="53">
        <f>IFERROR(__xludf.DUMMYFUNCTION("""COMPUTED_VALUE"""),0.5347222222222222)</f>
        <v>0.5347222222</v>
      </c>
      <c r="I24" s="52">
        <f>IFERROR(__xludf.DUMMYFUNCTION("""COMPUTED_VALUE"""),43775.0)</f>
        <v>43775</v>
      </c>
      <c r="J24" s="53">
        <f>IFERROR(__xludf.DUMMYFUNCTION("""COMPUTED_VALUE"""),0.5555555555555556)</f>
        <v>0.5555555556</v>
      </c>
      <c r="K24" s="53">
        <f t="shared" si="1"/>
        <v>0.02083333333</v>
      </c>
      <c r="L24" s="49" t="s">
        <v>105</v>
      </c>
      <c r="M24" s="49"/>
      <c r="N24" s="62" t="str">
        <f t="shared" si="2"/>
        <v>_4b044661-24dc-4ab0-bfe3-412a4bbb8a65_000000_000000.mp4</v>
      </c>
      <c r="O24" s="48"/>
      <c r="P24" s="48"/>
      <c r="Q24" s="63"/>
      <c r="R24" s="49"/>
      <c r="S24" s="49"/>
      <c r="T24" s="49"/>
    </row>
    <row r="25">
      <c r="A25" s="49" t="str">
        <f>IFERROR(__xludf.DUMMYFUNCTION("""COMPUTED_VALUE"""),"Opening remarks")</f>
        <v>Opening remarks</v>
      </c>
      <c r="B25" s="49" t="str">
        <f>IFERROR(__xludf.DUMMYFUNCTION("""COMPUTED_VALUE"""),"PandaConf")</f>
        <v>PandaConf</v>
      </c>
      <c r="C25" s="51" t="str">
        <f>IFERROR(__xludf.DUMMYFUNCTION("""COMPUTED_VALUE"""),"Belinda Esterhammer")</f>
        <v>Belinda Esterhammer</v>
      </c>
      <c r="D25" s="49" t="str">
        <f>IFERROR(__xludf.DUMMYFUNCTION("""COMPUTED_VALUE"""),"2019/11/06 13:20:00")</f>
        <v>2019/11/06 13:20:00</v>
      </c>
      <c r="E25" s="49" t="str">
        <f>IFERROR(__xludf.DUMMYFUNCTION("""COMPUTED_VALUE"""),"2019/11/06 13:25:00")</f>
        <v>2019/11/06 13:25:00</v>
      </c>
      <c r="F25" s="49" t="str">
        <f>IFERROR(__xludf.DUMMYFUNCTION("""COMPUTED_VALUE"""),"fb0e70e0-034f-404d-9fc4-51faa6d0e1dc")</f>
        <v>fb0e70e0-034f-404d-9fc4-51faa6d0e1dc</v>
      </c>
      <c r="G25" s="52">
        <f>IFERROR(__xludf.DUMMYFUNCTION("""COMPUTED_VALUE"""),43775.0)</f>
        <v>43775</v>
      </c>
      <c r="H25" s="53">
        <f>IFERROR(__xludf.DUMMYFUNCTION("""COMPUTED_VALUE"""),0.5555555555555556)</f>
        <v>0.5555555556</v>
      </c>
      <c r="I25" s="52">
        <f>IFERROR(__xludf.DUMMYFUNCTION("""COMPUTED_VALUE"""),43775.0)</f>
        <v>43775</v>
      </c>
      <c r="J25" s="53">
        <f>IFERROR(__xludf.DUMMYFUNCTION("""COMPUTED_VALUE"""),0.5590277777777778)</f>
        <v>0.5590277778</v>
      </c>
      <c r="K25" s="53">
        <f t="shared" si="1"/>
        <v>0.003472222222</v>
      </c>
      <c r="L25" s="49" t="s">
        <v>228</v>
      </c>
      <c r="M25" s="62" t="s">
        <v>746</v>
      </c>
      <c r="N25" s="62" t="str">
        <f t="shared" si="2"/>
        <v>PC_6_8_fb0e70e0-034f-404d-9fc4-51faa6d0e1dc_000000_000000.mp4</v>
      </c>
      <c r="O25" s="48"/>
      <c r="P25" s="48"/>
      <c r="Q25" s="63"/>
      <c r="R25" s="49"/>
      <c r="S25" s="49"/>
      <c r="T25" s="49"/>
    </row>
    <row r="26">
      <c r="A26" s="49" t="str">
        <f>IFERROR(__xludf.DUMMYFUNCTION("""COMPUTED_VALUE"""),"Sell me the truth")</f>
        <v>Sell me the truth</v>
      </c>
      <c r="B26" s="49" t="str">
        <f>IFERROR(__xludf.DUMMYFUNCTION("""COMPUTED_VALUE"""),"PandaConf")</f>
        <v>PandaConf</v>
      </c>
      <c r="C26" s="51" t="str">
        <f>IFERROR(__xludf.DUMMYFUNCTION("""COMPUTED_VALUE"""),"  and Erika Allen")</f>
        <v>  and Erika Allen</v>
      </c>
      <c r="D26" s="49" t="str">
        <f>IFERROR(__xludf.DUMMYFUNCTION("""COMPUTED_VALUE"""),"2019/11/06 13:25:00")</f>
        <v>2019/11/06 13:25:00</v>
      </c>
      <c r="E26" s="49" t="str">
        <f>IFERROR(__xludf.DUMMYFUNCTION("""COMPUTED_VALUE"""),"2019/11/06 13:40:00")</f>
        <v>2019/11/06 13:40:00</v>
      </c>
      <c r="F26" s="49" t="str">
        <f>IFERROR(__xludf.DUMMYFUNCTION("""COMPUTED_VALUE"""),"5d1754cd-ac66-4c61-ae91-b526c7e5b573")</f>
        <v>5d1754cd-ac66-4c61-ae91-b526c7e5b573</v>
      </c>
      <c r="G26" s="52">
        <f>IFERROR(__xludf.DUMMYFUNCTION("""COMPUTED_VALUE"""),43775.0)</f>
        <v>43775</v>
      </c>
      <c r="H26" s="53">
        <f>IFERROR(__xludf.DUMMYFUNCTION("""COMPUTED_VALUE"""),0.5590277777777778)</f>
        <v>0.5590277778</v>
      </c>
      <c r="I26" s="52">
        <f>IFERROR(__xludf.DUMMYFUNCTION("""COMPUTED_VALUE"""),43775.0)</f>
        <v>43775</v>
      </c>
      <c r="J26" s="53">
        <f>IFERROR(__xludf.DUMMYFUNCTION("""COMPUTED_VALUE"""),0.5694444444444444)</f>
        <v>0.5694444444</v>
      </c>
      <c r="K26" s="53">
        <f t="shared" si="1"/>
        <v>0.01041666667</v>
      </c>
      <c r="L26" s="49" t="s">
        <v>118</v>
      </c>
      <c r="M26" s="62" t="s">
        <v>748</v>
      </c>
      <c r="N26" s="62" t="str">
        <f t="shared" si="2"/>
        <v>PC_6_9_5d1754cd-ac66-4c61-ae91-b526c7e5b573_000000_000000.mp4</v>
      </c>
      <c r="O26" s="48"/>
      <c r="P26" s="48"/>
      <c r="Q26" s="63"/>
      <c r="R26" s="49"/>
      <c r="S26" s="49"/>
      <c r="T26" s="49"/>
    </row>
    <row r="27">
      <c r="A27" s="49" t="str">
        <f>IFERROR(__xludf.DUMMYFUNCTION("""COMPUTED_VALUE"""),"The end game: Making purpose real")</f>
        <v>The end game: Making purpose real</v>
      </c>
      <c r="B27" s="49" t="str">
        <f>IFERROR(__xludf.DUMMYFUNCTION("""COMPUTED_VALUE"""),"PandaConf")</f>
        <v>PandaConf</v>
      </c>
      <c r="C27" s="51" t="str">
        <f>IFERROR(__xludf.DUMMYFUNCTION("""COMPUTED_VALUE"""),"Frank Cooper")</f>
        <v>Frank Cooper</v>
      </c>
      <c r="D27" s="49" t="str">
        <f>IFERROR(__xludf.DUMMYFUNCTION("""COMPUTED_VALUE"""),"2019/11/06 13:40:00")</f>
        <v>2019/11/06 13:40:00</v>
      </c>
      <c r="E27" s="49" t="str">
        <f>IFERROR(__xludf.DUMMYFUNCTION("""COMPUTED_VALUE"""),"2019/11/06 14:00:00")</f>
        <v>2019/11/06 14:00:00</v>
      </c>
      <c r="F27" s="49" t="str">
        <f>IFERROR(__xludf.DUMMYFUNCTION("""COMPUTED_VALUE"""),"636226aa-a8ed-4f7f-a372-8195bc940c39")</f>
        <v>636226aa-a8ed-4f7f-a372-8195bc940c39</v>
      </c>
      <c r="G27" s="52">
        <f>IFERROR(__xludf.DUMMYFUNCTION("""COMPUTED_VALUE"""),43775.0)</f>
        <v>43775</v>
      </c>
      <c r="H27" s="53">
        <f>IFERROR(__xludf.DUMMYFUNCTION("""COMPUTED_VALUE"""),0.5694444444444444)</f>
        <v>0.5694444444</v>
      </c>
      <c r="I27" s="52">
        <f>IFERROR(__xludf.DUMMYFUNCTION("""COMPUTED_VALUE"""),43775.0)</f>
        <v>43775</v>
      </c>
      <c r="J27" s="53">
        <f>IFERROR(__xludf.DUMMYFUNCTION("""COMPUTED_VALUE"""),0.5833333333333334)</f>
        <v>0.5833333333</v>
      </c>
      <c r="K27" s="53">
        <f t="shared" si="1"/>
        <v>0.01388888889</v>
      </c>
      <c r="L27" s="49" t="s">
        <v>109</v>
      </c>
      <c r="M27" s="62" t="s">
        <v>750</v>
      </c>
      <c r="N27" s="62" t="str">
        <f t="shared" si="2"/>
        <v>PC_6_10_636226aa-a8ed-4f7f-a372-8195bc940c39_000000_000000.mp4</v>
      </c>
      <c r="O27" s="48"/>
      <c r="P27" s="48"/>
      <c r="Q27" s="63"/>
      <c r="R27" s="49"/>
      <c r="S27" s="49"/>
      <c r="T27" s="49"/>
    </row>
    <row r="28">
      <c r="A28" s="49" t="str">
        <f>IFERROR(__xludf.DUMMYFUNCTION("""COMPUTED_VALUE"""),"Brand safety and responsible media")</f>
        <v>Brand safety and responsible media</v>
      </c>
      <c r="B28" s="49" t="str">
        <f>IFERROR(__xludf.DUMMYFUNCTION("""COMPUTED_VALUE"""),"PandaConf")</f>
        <v>PandaConf</v>
      </c>
      <c r="C28" s="51" t="str">
        <f>IFERROR(__xludf.DUMMYFUNCTION("""COMPUTED_VALUE"""),"Raja Rajamannar")</f>
        <v>Raja Rajamannar</v>
      </c>
      <c r="D28" s="49" t="str">
        <f>IFERROR(__xludf.DUMMYFUNCTION("""COMPUTED_VALUE"""),"2019/11/06 14:00:00")</f>
        <v>2019/11/06 14:00:00</v>
      </c>
      <c r="E28" s="49" t="str">
        <f>IFERROR(__xludf.DUMMYFUNCTION("""COMPUTED_VALUE"""),"2019/11/06 14:20:00")</f>
        <v>2019/11/06 14:20:00</v>
      </c>
      <c r="F28" s="49" t="str">
        <f>IFERROR(__xludf.DUMMYFUNCTION("""COMPUTED_VALUE"""),"258a4d18-1e24-4cc3-b510-ceba05f8eea6")</f>
        <v>258a4d18-1e24-4cc3-b510-ceba05f8eea6</v>
      </c>
      <c r="G28" s="52">
        <f>IFERROR(__xludf.DUMMYFUNCTION("""COMPUTED_VALUE"""),43775.0)</f>
        <v>43775</v>
      </c>
      <c r="H28" s="53">
        <f>IFERROR(__xludf.DUMMYFUNCTION("""COMPUTED_VALUE"""),0.5833333333333334)</f>
        <v>0.5833333333</v>
      </c>
      <c r="I28" s="52">
        <f>IFERROR(__xludf.DUMMYFUNCTION("""COMPUTED_VALUE"""),43775.0)</f>
        <v>43775</v>
      </c>
      <c r="J28" s="53">
        <f>IFERROR(__xludf.DUMMYFUNCTION("""COMPUTED_VALUE"""),0.5972222222222222)</f>
        <v>0.5972222222</v>
      </c>
      <c r="K28" s="53">
        <f t="shared" si="1"/>
        <v>0.01388888889</v>
      </c>
      <c r="L28" s="49" t="s">
        <v>109</v>
      </c>
      <c r="M28" s="62" t="s">
        <v>751</v>
      </c>
      <c r="N28" s="62" t="str">
        <f t="shared" si="2"/>
        <v>PC_6_11_258a4d18-1e24-4cc3-b510-ceba05f8eea6_000000_000000.mp4</v>
      </c>
      <c r="O28" s="48"/>
      <c r="P28" s="48"/>
      <c r="Q28" s="63"/>
      <c r="R28" s="49"/>
      <c r="S28" s="49"/>
      <c r="T28" s="49"/>
    </row>
    <row r="29">
      <c r="A29" s="49" t="str">
        <f>IFERROR(__xludf.DUMMYFUNCTION("""COMPUTED_VALUE"""),"Growing a celebrity brand in the digital age")</f>
        <v>Growing a celebrity brand in the digital age</v>
      </c>
      <c r="B29" s="49" t="str">
        <f>IFERROR(__xludf.DUMMYFUNCTION("""COMPUTED_VALUE"""),"PandaConf")</f>
        <v>PandaConf</v>
      </c>
      <c r="C29" s="51" t="str">
        <f>IFERROR(__xludf.DUMMYFUNCTION("""COMPUTED_VALUE"""),"Louis Saha, Simon Oliveira, Paige VanZant and Miguel Delaney")</f>
        <v>Louis Saha, Simon Oliveira, Paige VanZant and Miguel Delaney</v>
      </c>
      <c r="D29" s="49" t="str">
        <f>IFERROR(__xludf.DUMMYFUNCTION("""COMPUTED_VALUE"""),"2019/11/06 14:20:00")</f>
        <v>2019/11/06 14:20:00</v>
      </c>
      <c r="E29" s="49" t="str">
        <f>IFERROR(__xludf.DUMMYFUNCTION("""COMPUTED_VALUE"""),"2019/11/06 14:45:00")</f>
        <v>2019/11/06 14:45:00</v>
      </c>
      <c r="F29" s="49" t="str">
        <f>IFERROR(__xludf.DUMMYFUNCTION("""COMPUTED_VALUE"""),"390ba761-c981-4b58-94f6-84489df157bb")</f>
        <v>390ba761-c981-4b58-94f6-84489df157bb</v>
      </c>
      <c r="G29" s="52">
        <f>IFERROR(__xludf.DUMMYFUNCTION("""COMPUTED_VALUE"""),43775.0)</f>
        <v>43775</v>
      </c>
      <c r="H29" s="53">
        <f>IFERROR(__xludf.DUMMYFUNCTION("""COMPUTED_VALUE"""),0.5972222222222222)</f>
        <v>0.5972222222</v>
      </c>
      <c r="I29" s="52">
        <f>IFERROR(__xludf.DUMMYFUNCTION("""COMPUTED_VALUE"""),43775.0)</f>
        <v>43775</v>
      </c>
      <c r="J29" s="53">
        <f>IFERROR(__xludf.DUMMYFUNCTION("""COMPUTED_VALUE"""),0.6145833333333334)</f>
        <v>0.6145833333</v>
      </c>
      <c r="K29" s="53">
        <f t="shared" si="1"/>
        <v>0.01736111111</v>
      </c>
      <c r="L29" s="49" t="s">
        <v>111</v>
      </c>
      <c r="M29" s="62" t="s">
        <v>753</v>
      </c>
      <c r="N29" s="62" t="str">
        <f t="shared" si="2"/>
        <v>PC_6_12_390ba761-c981-4b58-94f6-84489df157bb_000000_000000.mp4</v>
      </c>
      <c r="O29" s="48"/>
      <c r="P29" s="48"/>
      <c r="Q29" s="63"/>
      <c r="R29" s="49"/>
      <c r="S29" s="49"/>
      <c r="T29" s="49"/>
    </row>
    <row r="30">
      <c r="A30" s="49" t="str">
        <f>IFERROR(__xludf.DUMMYFUNCTION("""COMPUTED_VALUE"""),"Catching feelings: The strength of experience")</f>
        <v>Catching feelings: The strength of experience</v>
      </c>
      <c r="B30" s="49" t="str">
        <f>IFERROR(__xludf.DUMMYFUNCTION("""COMPUTED_VALUE"""),"PandaConf")</f>
        <v>PandaConf</v>
      </c>
      <c r="C30" s="51" t="str">
        <f>IFERROR(__xludf.DUMMYFUNCTION("""COMPUTED_VALUE"""),"Alicia Tillman")</f>
        <v>Alicia Tillman</v>
      </c>
      <c r="D30" s="49" t="str">
        <f>IFERROR(__xludf.DUMMYFUNCTION("""COMPUTED_VALUE"""),"2019/11/06 14:45:00")</f>
        <v>2019/11/06 14:45:00</v>
      </c>
      <c r="E30" s="49" t="str">
        <f>IFERROR(__xludf.DUMMYFUNCTION("""COMPUTED_VALUE"""),"2019/11/06 15:05:00")</f>
        <v>2019/11/06 15:05:00</v>
      </c>
      <c r="F30" s="49" t="str">
        <f>IFERROR(__xludf.DUMMYFUNCTION("""COMPUTED_VALUE"""),"dabafdcc-86cd-479f-96fb-0cd2da1b9ac1")</f>
        <v>dabafdcc-86cd-479f-96fb-0cd2da1b9ac1</v>
      </c>
      <c r="G30" s="52">
        <f>IFERROR(__xludf.DUMMYFUNCTION("""COMPUTED_VALUE"""),43775.0)</f>
        <v>43775</v>
      </c>
      <c r="H30" s="53">
        <f>IFERROR(__xludf.DUMMYFUNCTION("""COMPUTED_VALUE"""),0.6145833333333334)</f>
        <v>0.6145833333</v>
      </c>
      <c r="I30" s="52">
        <f>IFERROR(__xludf.DUMMYFUNCTION("""COMPUTED_VALUE"""),43775.0)</f>
        <v>43775</v>
      </c>
      <c r="J30" s="53">
        <f>IFERROR(__xludf.DUMMYFUNCTION("""COMPUTED_VALUE"""),0.6284722222222222)</f>
        <v>0.6284722222</v>
      </c>
      <c r="K30" s="53">
        <f t="shared" si="1"/>
        <v>0.01388888889</v>
      </c>
      <c r="L30" s="49" t="s">
        <v>109</v>
      </c>
      <c r="M30" s="62" t="s">
        <v>755</v>
      </c>
      <c r="N30" s="62" t="str">
        <f t="shared" si="2"/>
        <v>PC_6_13_dabafdcc-86cd-479f-96fb-0cd2da1b9ac1_000000_000000.mp4</v>
      </c>
      <c r="O30" s="48"/>
      <c r="P30" s="48"/>
      <c r="Q30" s="63"/>
      <c r="R30" s="49"/>
      <c r="S30" s="49"/>
      <c r="T30" s="49"/>
    </row>
    <row r="31">
      <c r="A31" s="49" t="str">
        <f>IFERROR(__xludf.DUMMYFUNCTION("""COMPUTED_VALUE"""),"Are your smartphone and outdoor advertising connected?")</f>
        <v>Are your smartphone and outdoor advertising connected?</v>
      </c>
      <c r="B31" s="49" t="str">
        <f>IFERROR(__xludf.DUMMYFUNCTION("""COMPUTED_VALUE"""),"PandaConf")</f>
        <v>PandaConf</v>
      </c>
      <c r="C31" s="51" t="str">
        <f>IFERROR(__xludf.DUMMYFUNCTION("""COMPUTED_VALUE"""),"François-Xavier Pierrel")</f>
        <v>François-Xavier Pierrel</v>
      </c>
      <c r="D31" s="49" t="str">
        <f>IFERROR(__xludf.DUMMYFUNCTION("""COMPUTED_VALUE"""),"2019/11/06 15:05:00")</f>
        <v>2019/11/06 15:05:00</v>
      </c>
      <c r="E31" s="49" t="str">
        <f>IFERROR(__xludf.DUMMYFUNCTION("""COMPUTED_VALUE"""),"2019/11/06 15:25:00")</f>
        <v>2019/11/06 15:25:00</v>
      </c>
      <c r="F31" s="49" t="str">
        <f>IFERROR(__xludf.DUMMYFUNCTION("""COMPUTED_VALUE"""),"44f5b406-feed-4fad-a094-485085d7d3e5")</f>
        <v>44f5b406-feed-4fad-a094-485085d7d3e5</v>
      </c>
      <c r="G31" s="52">
        <f>IFERROR(__xludf.DUMMYFUNCTION("""COMPUTED_VALUE"""),43775.0)</f>
        <v>43775</v>
      </c>
      <c r="H31" s="53">
        <f>IFERROR(__xludf.DUMMYFUNCTION("""COMPUTED_VALUE"""),0.6284722222222222)</f>
        <v>0.6284722222</v>
      </c>
      <c r="I31" s="52">
        <f>IFERROR(__xludf.DUMMYFUNCTION("""COMPUTED_VALUE"""),43775.0)</f>
        <v>43775</v>
      </c>
      <c r="J31" s="53">
        <f>IFERROR(__xludf.DUMMYFUNCTION("""COMPUTED_VALUE"""),0.6423611111111112)</f>
        <v>0.6423611111</v>
      </c>
      <c r="K31" s="53">
        <f t="shared" si="1"/>
        <v>0.01388888889</v>
      </c>
      <c r="L31" s="49" t="s">
        <v>109</v>
      </c>
      <c r="M31" s="62" t="s">
        <v>757</v>
      </c>
      <c r="N31" s="62" t="str">
        <f t="shared" si="2"/>
        <v>PC_6_14_44f5b406-feed-4fad-a094-485085d7d3e5_000000_000000.mp4</v>
      </c>
      <c r="O31" s="48"/>
      <c r="P31" s="48"/>
      <c r="Q31" s="63"/>
      <c r="R31" s="49"/>
      <c r="S31" s="49"/>
      <c r="T31" s="49"/>
    </row>
    <row r="32">
      <c r="A32" s="49" t="str">
        <f>IFERROR(__xludf.DUMMYFUNCTION("""COMPUTED_VALUE"""),"Listen, learn, love: How AI creates happier customers")</f>
        <v>Listen, learn, love: How AI creates happier customers</v>
      </c>
      <c r="B32" s="49" t="str">
        <f>IFERROR(__xludf.DUMMYFUNCTION("""COMPUTED_VALUE"""),"PandaConf")</f>
        <v>PandaConf</v>
      </c>
      <c r="C32" s="51" t="str">
        <f>IFERROR(__xludf.DUMMYFUNCTION("""COMPUTED_VALUE"""),"Ragy Thomas and Don Clark")</f>
        <v>Ragy Thomas and Don Clark</v>
      </c>
      <c r="D32" s="49" t="str">
        <f>IFERROR(__xludf.DUMMYFUNCTION("""COMPUTED_VALUE"""),"2019/11/06 15:25:00")</f>
        <v>2019/11/06 15:25:00</v>
      </c>
      <c r="E32" s="49" t="str">
        <f>IFERROR(__xludf.DUMMYFUNCTION("""COMPUTED_VALUE"""),"2019/11/06 15:45:00")</f>
        <v>2019/11/06 15:45:00</v>
      </c>
      <c r="F32" s="49" t="str">
        <f>IFERROR(__xludf.DUMMYFUNCTION("""COMPUTED_VALUE"""),"95a0e3a7-dd71-4df7-8b53-fd5feefc8ec7")</f>
        <v>95a0e3a7-dd71-4df7-8b53-fd5feefc8ec7</v>
      </c>
      <c r="G32" s="52">
        <f>IFERROR(__xludf.DUMMYFUNCTION("""COMPUTED_VALUE"""),43775.0)</f>
        <v>43775</v>
      </c>
      <c r="H32" s="53">
        <f>IFERROR(__xludf.DUMMYFUNCTION("""COMPUTED_VALUE"""),0.6423611111111112)</f>
        <v>0.6423611111</v>
      </c>
      <c r="I32" s="52">
        <f>IFERROR(__xludf.DUMMYFUNCTION("""COMPUTED_VALUE"""),43775.0)</f>
        <v>43775</v>
      </c>
      <c r="J32" s="53">
        <f>IFERROR(__xludf.DUMMYFUNCTION("""COMPUTED_VALUE"""),0.65625)</f>
        <v>0.65625</v>
      </c>
      <c r="K32" s="53">
        <f t="shared" si="1"/>
        <v>0.01388888889</v>
      </c>
      <c r="L32" s="49" t="s">
        <v>109</v>
      </c>
      <c r="M32" s="62" t="s">
        <v>759</v>
      </c>
      <c r="N32" s="62" t="str">
        <f t="shared" si="2"/>
        <v>PC_6_15_95a0e3a7-dd71-4df7-8b53-fd5feefc8ec7_000000_000000.mp4</v>
      </c>
      <c r="O32" s="48"/>
      <c r="P32" s="48"/>
      <c r="Q32" s="63"/>
      <c r="R32" s="49"/>
      <c r="S32" s="49"/>
      <c r="T32" s="49"/>
    </row>
    <row r="33">
      <c r="A33" s="49" t="str">
        <f>IFERROR(__xludf.DUMMYFUNCTION("""COMPUTED_VALUE"""),"Rethinking the marketing and sales funnel")</f>
        <v>Rethinking the marketing and sales funnel</v>
      </c>
      <c r="B33" s="49" t="str">
        <f>IFERROR(__xludf.DUMMYFUNCTION("""COMPUTED_VALUE"""),"PandaConf")</f>
        <v>PandaConf</v>
      </c>
      <c r="C33" s="51" t="str">
        <f>IFERROR(__xludf.DUMMYFUNCTION("""COMPUTED_VALUE"""),"Armand Thiberge, Mada Seghete, Bill Magnuson and Michelle Castillo")</f>
        <v>Armand Thiberge, Mada Seghete, Bill Magnuson and Michelle Castillo</v>
      </c>
      <c r="D33" s="49" t="str">
        <f>IFERROR(__xludf.DUMMYFUNCTION("""COMPUTED_VALUE"""),"2019/11/06 15:45:00")</f>
        <v>2019/11/06 15:45:00</v>
      </c>
      <c r="E33" s="49" t="str">
        <f>IFERROR(__xludf.DUMMYFUNCTION("""COMPUTED_VALUE"""),"2019/11/06 16:15:00")</f>
        <v>2019/11/06 16:15:00</v>
      </c>
      <c r="F33" s="49" t="str">
        <f>IFERROR(__xludf.DUMMYFUNCTION("""COMPUTED_VALUE"""),"30dc2f4b-0b11-4bdc-a05e-da3b7d605529")</f>
        <v>30dc2f4b-0b11-4bdc-a05e-da3b7d605529</v>
      </c>
      <c r="G33" s="52">
        <f>IFERROR(__xludf.DUMMYFUNCTION("""COMPUTED_VALUE"""),43775.0)</f>
        <v>43775</v>
      </c>
      <c r="H33" s="53">
        <f>IFERROR(__xludf.DUMMYFUNCTION("""COMPUTED_VALUE"""),0.65625)</f>
        <v>0.65625</v>
      </c>
      <c r="I33" s="52">
        <f>IFERROR(__xludf.DUMMYFUNCTION("""COMPUTED_VALUE"""),43775.0)</f>
        <v>43775</v>
      </c>
      <c r="J33" s="53">
        <f>IFERROR(__xludf.DUMMYFUNCTION("""COMPUTED_VALUE"""),0.6770833333333334)</f>
        <v>0.6770833333</v>
      </c>
      <c r="K33" s="53">
        <f t="shared" si="1"/>
        <v>0.02083333333</v>
      </c>
      <c r="L33" s="49" t="s">
        <v>105</v>
      </c>
      <c r="M33" s="62" t="s">
        <v>762</v>
      </c>
      <c r="N33" s="62" t="str">
        <f t="shared" si="2"/>
        <v>PC_6_16_30dc2f4b-0b11-4bdc-a05e-da3b7d605529_000000_000000.mp4</v>
      </c>
      <c r="O33" s="48"/>
      <c r="P33" s="48"/>
      <c r="Q33" s="63"/>
      <c r="R33" s="49"/>
      <c r="S33" s="49"/>
      <c r="T33" s="49"/>
    </row>
    <row r="34">
      <c r="A34" s="49" t="str">
        <f>IFERROR(__xludf.DUMMYFUNCTION("""COMPUTED_VALUE"""),"Opening remarks")</f>
        <v>Opening remarks</v>
      </c>
      <c r="B34" s="49" t="str">
        <f>IFERROR(__xludf.DUMMYFUNCTION("""COMPUTED_VALUE"""),"PandaConf")</f>
        <v>PandaConf</v>
      </c>
      <c r="C34" s="51" t="str">
        <f>IFERROR(__xludf.DUMMYFUNCTION("""COMPUTED_VALUE"""),"Cynthia Johnson")</f>
        <v>Cynthia Johnson</v>
      </c>
      <c r="D34" s="49" t="str">
        <f>IFERROR(__xludf.DUMMYFUNCTION("""COMPUTED_VALUE"""),"2019/11/07 10:45:00")</f>
        <v>2019/11/07 10:45:00</v>
      </c>
      <c r="E34" s="49" t="str">
        <f>IFERROR(__xludf.DUMMYFUNCTION("""COMPUTED_VALUE"""),"2019/11/07 11:00:00")</f>
        <v>2019/11/07 11:00:00</v>
      </c>
      <c r="F34" s="49" t="str">
        <f>IFERROR(__xludf.DUMMYFUNCTION("""COMPUTED_VALUE"""),"3265e843-4d4c-4cb5-9d4f-a7379991b0db")</f>
        <v>3265e843-4d4c-4cb5-9d4f-a7379991b0db</v>
      </c>
      <c r="G34" s="52">
        <f>IFERROR(__xludf.DUMMYFUNCTION("""COMPUTED_VALUE"""),43776.0)</f>
        <v>43776</v>
      </c>
      <c r="H34" s="53">
        <f>IFERROR(__xludf.DUMMYFUNCTION("""COMPUTED_VALUE"""),0.4479166666666667)</f>
        <v>0.4479166667</v>
      </c>
      <c r="I34" s="52">
        <f>IFERROR(__xludf.DUMMYFUNCTION("""COMPUTED_VALUE"""),43776.0)</f>
        <v>43776</v>
      </c>
      <c r="J34" s="53">
        <f>IFERROR(__xludf.DUMMYFUNCTION("""COMPUTED_VALUE"""),0.4583333333333333)</f>
        <v>0.4583333333</v>
      </c>
      <c r="K34" s="53">
        <f t="shared" si="1"/>
        <v>0.01041666667</v>
      </c>
      <c r="L34" s="49" t="s">
        <v>118</v>
      </c>
      <c r="M34" s="62" t="s">
        <v>763</v>
      </c>
      <c r="N34" s="62" t="str">
        <f t="shared" si="2"/>
        <v>PC_7_1_3265e843-4d4c-4cb5-9d4f-a7379991b0db_000000_000000.mp4</v>
      </c>
      <c r="O34" s="48"/>
      <c r="P34" s="48"/>
      <c r="Q34" s="63"/>
      <c r="R34" s="49"/>
      <c r="S34" s="49"/>
      <c r="T34" s="49"/>
    </row>
    <row r="35">
      <c r="A35" s="49" t="str">
        <f>IFERROR(__xludf.DUMMYFUNCTION("""COMPUTED_VALUE"""),"The marketeer making burgers king")</f>
        <v>The marketeer making burgers king</v>
      </c>
      <c r="B35" s="49" t="str">
        <f>IFERROR(__xludf.DUMMYFUNCTION("""COMPUTED_VALUE"""),"PandaConf")</f>
        <v>PandaConf</v>
      </c>
      <c r="C35" s="51" t="str">
        <f>IFERROR(__xludf.DUMMYFUNCTION("""COMPUTED_VALUE"""),"Fernando Machado")</f>
        <v>Fernando Machado</v>
      </c>
      <c r="D35" s="49" t="str">
        <f>IFERROR(__xludf.DUMMYFUNCTION("""COMPUTED_VALUE"""),"2019/11/07 11:00:00")</f>
        <v>2019/11/07 11:00:00</v>
      </c>
      <c r="E35" s="49" t="str">
        <f>IFERROR(__xludf.DUMMYFUNCTION("""COMPUTED_VALUE"""),"2019/11/07 11:25:00")</f>
        <v>2019/11/07 11:25:00</v>
      </c>
      <c r="F35" s="49" t="str">
        <f>IFERROR(__xludf.DUMMYFUNCTION("""COMPUTED_VALUE"""),"f2a418d4-8fab-4544-a203-4fdcb2822bd4")</f>
        <v>f2a418d4-8fab-4544-a203-4fdcb2822bd4</v>
      </c>
      <c r="G35" s="52">
        <f>IFERROR(__xludf.DUMMYFUNCTION("""COMPUTED_VALUE"""),43776.0)</f>
        <v>43776</v>
      </c>
      <c r="H35" s="53">
        <f>IFERROR(__xludf.DUMMYFUNCTION("""COMPUTED_VALUE"""),0.4583333333333333)</f>
        <v>0.4583333333</v>
      </c>
      <c r="I35" s="52">
        <f>IFERROR(__xludf.DUMMYFUNCTION("""COMPUTED_VALUE"""),43776.0)</f>
        <v>43776</v>
      </c>
      <c r="J35" s="53">
        <f>IFERROR(__xludf.DUMMYFUNCTION("""COMPUTED_VALUE"""),0.4756944444444444)</f>
        <v>0.4756944444</v>
      </c>
      <c r="K35" s="53">
        <f t="shared" si="1"/>
        <v>0.01736111111</v>
      </c>
      <c r="L35" s="49" t="s">
        <v>111</v>
      </c>
      <c r="M35" s="87" t="s">
        <v>765</v>
      </c>
      <c r="N35" s="62" t="str">
        <f t="shared" si="2"/>
        <v>PC_7_2_f2a418d4-8fab-4544-a203-4fdcb2822bd4_000000_000000.mp4</v>
      </c>
      <c r="O35" s="48"/>
      <c r="P35" s="48"/>
      <c r="Q35" s="63"/>
      <c r="R35" s="49"/>
      <c r="S35" s="49"/>
      <c r="T35" s="49"/>
    </row>
    <row r="36">
      <c r="A36" s="49" t="str">
        <f>IFERROR(__xludf.DUMMYFUNCTION("""COMPUTED_VALUE"""),"Everything you've always wanted to know about marketing but were afraid to ask")</f>
        <v>Everything you've always wanted to know about marketing but were afraid to ask</v>
      </c>
      <c r="B36" s="49" t="str">
        <f>IFERROR(__xludf.DUMMYFUNCTION("""COMPUTED_VALUE"""),"PandaConf")</f>
        <v>PandaConf</v>
      </c>
      <c r="C36" s="51" t="str">
        <f>IFERROR(__xludf.DUMMYFUNCTION("""COMPUTED_VALUE"""),"Fernando Machado, Jane Wakely, Sir Martin Sorrell and Hadas Gold")</f>
        <v>Fernando Machado, Jane Wakely, Sir Martin Sorrell and Hadas Gold</v>
      </c>
      <c r="D36" s="49" t="str">
        <f>IFERROR(__xludf.DUMMYFUNCTION("""COMPUTED_VALUE"""),"2019/11/07 11:25:00")</f>
        <v>2019/11/07 11:25:00</v>
      </c>
      <c r="E36" s="49" t="str">
        <f>IFERROR(__xludf.DUMMYFUNCTION("""COMPUTED_VALUE"""),"2019/11/07 11:50:00")</f>
        <v>2019/11/07 11:50:00</v>
      </c>
      <c r="F36" s="49" t="str">
        <f>IFERROR(__xludf.DUMMYFUNCTION("""COMPUTED_VALUE"""),"f5e559b4-876a-4ea1-bd93-338dfbcc5ca3")</f>
        <v>f5e559b4-876a-4ea1-bd93-338dfbcc5ca3</v>
      </c>
      <c r="G36" s="52">
        <f>IFERROR(__xludf.DUMMYFUNCTION("""COMPUTED_VALUE"""),43776.0)</f>
        <v>43776</v>
      </c>
      <c r="H36" s="53">
        <f>IFERROR(__xludf.DUMMYFUNCTION("""COMPUTED_VALUE"""),0.4756944444444444)</f>
        <v>0.4756944444</v>
      </c>
      <c r="I36" s="52">
        <f>IFERROR(__xludf.DUMMYFUNCTION("""COMPUTED_VALUE"""),43776.0)</f>
        <v>43776</v>
      </c>
      <c r="J36" s="53">
        <f>IFERROR(__xludf.DUMMYFUNCTION("""COMPUTED_VALUE"""),0.4930555555555556)</f>
        <v>0.4930555556</v>
      </c>
      <c r="K36" s="53">
        <f t="shared" si="1"/>
        <v>0.01736111111</v>
      </c>
      <c r="L36" s="49" t="s">
        <v>111</v>
      </c>
      <c r="M36" s="87" t="s">
        <v>767</v>
      </c>
      <c r="N36" s="62" t="str">
        <f t="shared" si="2"/>
        <v>PC_7_3_f5e559b4-876a-4ea1-bd93-338dfbcc5ca3_000000_000000.mp4</v>
      </c>
      <c r="O36" s="48"/>
      <c r="P36" s="48"/>
      <c r="Q36" s="63"/>
      <c r="R36" s="49"/>
      <c r="S36" s="49"/>
      <c r="T36" s="49"/>
    </row>
    <row r="37">
      <c r="A37" s="49" t="str">
        <f>IFERROR(__xludf.DUMMYFUNCTION("""COMPUTED_VALUE"""),"Purpose and innovation: Rethinking how we do business")</f>
        <v>Purpose and innovation: Rethinking how we do business</v>
      </c>
      <c r="B37" s="49" t="str">
        <f>IFERROR(__xludf.DUMMYFUNCTION("""COMPUTED_VALUE"""),"PandaConf")</f>
        <v>PandaConf</v>
      </c>
      <c r="C37" s="51" t="str">
        <f>IFERROR(__xludf.DUMMYFUNCTION("""COMPUTED_VALUE"""),"Brian Whipple ")</f>
        <v>Brian Whipple </v>
      </c>
      <c r="D37" s="49" t="str">
        <f>IFERROR(__xludf.DUMMYFUNCTION("""COMPUTED_VALUE"""),"2019/11/07 11:50:00")</f>
        <v>2019/11/07 11:50:00</v>
      </c>
      <c r="E37" s="49" t="str">
        <f>IFERROR(__xludf.DUMMYFUNCTION("""COMPUTED_VALUE"""),"2019/11/07 12:10:00")</f>
        <v>2019/11/07 12:10:00</v>
      </c>
      <c r="F37" s="49" t="str">
        <f>IFERROR(__xludf.DUMMYFUNCTION("""COMPUTED_VALUE"""),"8b83324c-51b5-4784-b324-45a7e94d2a59")</f>
        <v>8b83324c-51b5-4784-b324-45a7e94d2a59</v>
      </c>
      <c r="G37" s="52">
        <f>IFERROR(__xludf.DUMMYFUNCTION("""COMPUTED_VALUE"""),43776.0)</f>
        <v>43776</v>
      </c>
      <c r="H37" s="53">
        <f>IFERROR(__xludf.DUMMYFUNCTION("""COMPUTED_VALUE"""),0.4930555555555556)</f>
        <v>0.4930555556</v>
      </c>
      <c r="I37" s="52">
        <f>IFERROR(__xludf.DUMMYFUNCTION("""COMPUTED_VALUE"""),43776.0)</f>
        <v>43776</v>
      </c>
      <c r="J37" s="53">
        <f>IFERROR(__xludf.DUMMYFUNCTION("""COMPUTED_VALUE"""),0.5069444444444444)</f>
        <v>0.5069444444</v>
      </c>
      <c r="K37" s="53">
        <f t="shared" si="1"/>
        <v>0.01388888889</v>
      </c>
      <c r="L37" s="49" t="s">
        <v>109</v>
      </c>
      <c r="M37" s="87" t="s">
        <v>769</v>
      </c>
      <c r="N37" s="62" t="str">
        <f t="shared" si="2"/>
        <v>PC_7_4_8b83324c-51b5-4784-b324-45a7e94d2a59_000000_000000.mp4</v>
      </c>
      <c r="O37" s="48"/>
      <c r="P37" s="48"/>
      <c r="Q37" s="63"/>
      <c r="R37" s="49"/>
      <c r="S37" s="49"/>
      <c r="T37" s="49"/>
    </row>
    <row r="38">
      <c r="A38" s="49" t="str">
        <f>IFERROR(__xludf.DUMMYFUNCTION("""COMPUTED_VALUE"""),"Branding the East-West divide")</f>
        <v>Branding the East-West divide</v>
      </c>
      <c r="B38" s="49" t="str">
        <f>IFERROR(__xludf.DUMMYFUNCTION("""COMPUTED_VALUE"""),"PandaConf")</f>
        <v>PandaConf</v>
      </c>
      <c r="C38" s="51" t="str">
        <f>IFERROR(__xludf.DUMMYFUNCTION("""COMPUTED_VALUE"""),"Martin Brandenburg, Holly Zheng and Paul Michelman")</f>
        <v>Martin Brandenburg, Holly Zheng and Paul Michelman</v>
      </c>
      <c r="D38" s="49" t="str">
        <f>IFERROR(__xludf.DUMMYFUNCTION("""COMPUTED_VALUE"""),"2019/11/07 12:10:00")</f>
        <v>2019/11/07 12:10:00</v>
      </c>
      <c r="E38" s="49" t="str">
        <f>IFERROR(__xludf.DUMMYFUNCTION("""COMPUTED_VALUE"""),"2019/11/07 12:30:00")</f>
        <v>2019/11/07 12:30:00</v>
      </c>
      <c r="F38" s="49" t="str">
        <f>IFERROR(__xludf.DUMMYFUNCTION("""COMPUTED_VALUE"""),"47fc4b43-6a30-4984-afff-844100881acf")</f>
        <v>47fc4b43-6a30-4984-afff-844100881acf</v>
      </c>
      <c r="G38" s="52">
        <f>IFERROR(__xludf.DUMMYFUNCTION("""COMPUTED_VALUE"""),43776.0)</f>
        <v>43776</v>
      </c>
      <c r="H38" s="53">
        <f>IFERROR(__xludf.DUMMYFUNCTION("""COMPUTED_VALUE"""),0.5069444444444444)</f>
        <v>0.5069444444</v>
      </c>
      <c r="I38" s="52">
        <f>IFERROR(__xludf.DUMMYFUNCTION("""COMPUTED_VALUE"""),43776.0)</f>
        <v>43776</v>
      </c>
      <c r="J38" s="53">
        <f>IFERROR(__xludf.DUMMYFUNCTION("""COMPUTED_VALUE"""),0.5208333333333334)</f>
        <v>0.5208333333</v>
      </c>
      <c r="K38" s="53">
        <f t="shared" si="1"/>
        <v>0.01388888889</v>
      </c>
      <c r="L38" s="49" t="s">
        <v>109</v>
      </c>
      <c r="M38" s="87" t="s">
        <v>771</v>
      </c>
      <c r="N38" s="62" t="str">
        <f t="shared" si="2"/>
        <v>PC_7_5_47fc4b43-6a30-4984-afff-844100881acf_000000_000000.mp4</v>
      </c>
      <c r="O38" s="48"/>
      <c r="P38" s="48"/>
      <c r="Q38" s="63"/>
      <c r="R38" s="49"/>
      <c r="S38" s="49"/>
      <c r="T38" s="49"/>
    </row>
    <row r="39">
      <c r="A39" s="49" t="str">
        <f>IFERROR(__xludf.DUMMYFUNCTION("""COMPUTED_VALUE"""),"Diageo, data and the consumer experience")</f>
        <v>Diageo, data and the consumer experience</v>
      </c>
      <c r="B39" s="49" t="str">
        <f>IFERROR(__xludf.DUMMYFUNCTION("""COMPUTED_VALUE"""),"PandaConf")</f>
        <v>PandaConf</v>
      </c>
      <c r="C39" s="51" t="str">
        <f>IFERROR(__xludf.DUMMYFUNCTION("""COMPUTED_VALUE"""),"Ben Sutherland")</f>
        <v>Ben Sutherland</v>
      </c>
      <c r="D39" s="49" t="str">
        <f>IFERROR(__xludf.DUMMYFUNCTION("""COMPUTED_VALUE"""),"2019/11/07 12:30:00")</f>
        <v>2019/11/07 12:30:00</v>
      </c>
      <c r="E39" s="49" t="str">
        <f>IFERROR(__xludf.DUMMYFUNCTION("""COMPUTED_VALUE"""),"2019/11/07 12:50:00")</f>
        <v>2019/11/07 12:50:00</v>
      </c>
      <c r="F39" s="49" t="str">
        <f>IFERROR(__xludf.DUMMYFUNCTION("""COMPUTED_VALUE"""),"23c9f22b-e449-4e3f-9c80-d85208806aa2")</f>
        <v>23c9f22b-e449-4e3f-9c80-d85208806aa2</v>
      </c>
      <c r="G39" s="52">
        <f>IFERROR(__xludf.DUMMYFUNCTION("""COMPUTED_VALUE"""),43776.0)</f>
        <v>43776</v>
      </c>
      <c r="H39" s="53">
        <f>IFERROR(__xludf.DUMMYFUNCTION("""COMPUTED_VALUE"""),0.5208333333333334)</f>
        <v>0.5208333333</v>
      </c>
      <c r="I39" s="52">
        <f>IFERROR(__xludf.DUMMYFUNCTION("""COMPUTED_VALUE"""),43776.0)</f>
        <v>43776</v>
      </c>
      <c r="J39" s="53">
        <f>IFERROR(__xludf.DUMMYFUNCTION("""COMPUTED_VALUE"""),0.5347222222222222)</f>
        <v>0.5347222222</v>
      </c>
      <c r="K39" s="53">
        <f t="shared" si="1"/>
        <v>0.01388888889</v>
      </c>
      <c r="L39" s="49" t="s">
        <v>109</v>
      </c>
      <c r="M39" s="87" t="s">
        <v>773</v>
      </c>
      <c r="N39" s="62" t="str">
        <f t="shared" si="2"/>
        <v>PC_7_6_23c9f22b-e449-4e3f-9c80-d85208806aa2_000000_000000.mp4</v>
      </c>
      <c r="O39" s="48"/>
      <c r="P39" s="48"/>
      <c r="Q39" s="63"/>
      <c r="R39" s="49"/>
      <c r="S39" s="49"/>
      <c r="T39" s="49"/>
    </row>
    <row r="40">
      <c r="A40" s="49" t="str">
        <f>IFERROR(__xludf.DUMMYFUNCTION("""COMPUTED_VALUE"""),"Lunch break")</f>
        <v>Lunch break</v>
      </c>
      <c r="B40" s="49" t="str">
        <f>IFERROR(__xludf.DUMMYFUNCTION("""COMPUTED_VALUE"""),"PandaConf")</f>
        <v>PandaConf</v>
      </c>
      <c r="C40" s="51" t="str">
        <f>IFERROR(__xludf.DUMMYFUNCTION("""COMPUTED_VALUE"""),"")</f>
        <v/>
      </c>
      <c r="D40" s="49" t="str">
        <f>IFERROR(__xludf.DUMMYFUNCTION("""COMPUTED_VALUE"""),"2019/11/07 12:50:00")</f>
        <v>2019/11/07 12:50:00</v>
      </c>
      <c r="E40" s="49" t="str">
        <f>IFERROR(__xludf.DUMMYFUNCTION("""COMPUTED_VALUE"""),"2019/11/07 13:35:00")</f>
        <v>2019/11/07 13:35:00</v>
      </c>
      <c r="F40" s="49" t="str">
        <f>IFERROR(__xludf.DUMMYFUNCTION("""COMPUTED_VALUE"""),"a2e61a36-7cc0-4b6a-9ee4-7b5a4cd18351")</f>
        <v>a2e61a36-7cc0-4b6a-9ee4-7b5a4cd18351</v>
      </c>
      <c r="G40" s="52">
        <f>IFERROR(__xludf.DUMMYFUNCTION("""COMPUTED_VALUE"""),43776.0)</f>
        <v>43776</v>
      </c>
      <c r="H40" s="53">
        <f>IFERROR(__xludf.DUMMYFUNCTION("""COMPUTED_VALUE"""),0.5347222222222222)</f>
        <v>0.5347222222</v>
      </c>
      <c r="I40" s="52">
        <f>IFERROR(__xludf.DUMMYFUNCTION("""COMPUTED_VALUE"""),43776.0)</f>
        <v>43776</v>
      </c>
      <c r="J40" s="53">
        <f>IFERROR(__xludf.DUMMYFUNCTION("""COMPUTED_VALUE"""),0.5659722222222222)</f>
        <v>0.5659722222</v>
      </c>
      <c r="K40" s="53">
        <f t="shared" si="1"/>
        <v>0.03125</v>
      </c>
      <c r="L40" s="49" t="s">
        <v>127</v>
      </c>
      <c r="M40" s="49"/>
      <c r="N40" s="62" t="str">
        <f t="shared" si="2"/>
        <v>_a2e61a36-7cc0-4b6a-9ee4-7b5a4cd18351_000000_000000.mp4</v>
      </c>
      <c r="O40" s="48"/>
      <c r="P40" s="48"/>
      <c r="Q40" s="63"/>
      <c r="R40" s="49"/>
      <c r="S40" s="49"/>
      <c r="T40" s="49"/>
    </row>
    <row r="41">
      <c r="A41" s="49" t="str">
        <f>IFERROR(__xludf.DUMMYFUNCTION("""COMPUTED_VALUE"""),"Opening remarks")</f>
        <v>Opening remarks</v>
      </c>
      <c r="B41" s="49" t="str">
        <f>IFERROR(__xludf.DUMMYFUNCTION("""COMPUTED_VALUE"""),"PandaConf")</f>
        <v>PandaConf</v>
      </c>
      <c r="C41" s="51" t="str">
        <f>IFERROR(__xludf.DUMMYFUNCTION("""COMPUTED_VALUE"""),"Noel Toolan and Natalie Monbiot")</f>
        <v>Noel Toolan and Natalie Monbiot</v>
      </c>
      <c r="D41" s="49" t="str">
        <f>IFERROR(__xludf.DUMMYFUNCTION("""COMPUTED_VALUE"""),"2019/11/07 13:35:00")</f>
        <v>2019/11/07 13:35:00</v>
      </c>
      <c r="E41" s="49" t="str">
        <f>IFERROR(__xludf.DUMMYFUNCTION("""COMPUTED_VALUE"""),"2019/11/07 13:50:00")</f>
        <v>2019/11/07 13:50:00</v>
      </c>
      <c r="F41" s="49" t="str">
        <f>IFERROR(__xludf.DUMMYFUNCTION("""COMPUTED_VALUE"""),"f8285afa-6bd0-44af-8054-00b419dbdaf9")</f>
        <v>f8285afa-6bd0-44af-8054-00b419dbdaf9</v>
      </c>
      <c r="G41" s="52">
        <f>IFERROR(__xludf.DUMMYFUNCTION("""COMPUTED_VALUE"""),43776.0)</f>
        <v>43776</v>
      </c>
      <c r="H41" s="53">
        <f>IFERROR(__xludf.DUMMYFUNCTION("""COMPUTED_VALUE"""),0.5659722222222222)</f>
        <v>0.5659722222</v>
      </c>
      <c r="I41" s="52">
        <f>IFERROR(__xludf.DUMMYFUNCTION("""COMPUTED_VALUE"""),43776.0)</f>
        <v>43776</v>
      </c>
      <c r="J41" s="53">
        <f>IFERROR(__xludf.DUMMYFUNCTION("""COMPUTED_VALUE"""),0.5763888888888888)</f>
        <v>0.5763888889</v>
      </c>
      <c r="K41" s="53">
        <f t="shared" si="1"/>
        <v>0.01041666667</v>
      </c>
      <c r="L41" s="49" t="s">
        <v>118</v>
      </c>
      <c r="M41" s="87" t="s">
        <v>775</v>
      </c>
      <c r="N41" s="62" t="str">
        <f t="shared" si="2"/>
        <v>PC_7_7_f8285afa-6bd0-44af-8054-00b419dbdaf9_000000_000000.mp4</v>
      </c>
      <c r="O41" s="48"/>
      <c r="P41" s="48"/>
      <c r="Q41" s="63"/>
      <c r="R41" s="49"/>
      <c r="S41" s="49"/>
      <c r="T41" s="49"/>
    </row>
    <row r="42">
      <c r="A42" s="49" t="str">
        <f>IFERROR(__xludf.DUMMYFUNCTION("""COMPUTED_VALUE"""),"The mobile marketing trends you need to know about in 2020")</f>
        <v>The mobile marketing trends you need to know about in 2020</v>
      </c>
      <c r="B42" s="49" t="str">
        <f>IFERROR(__xludf.DUMMYFUNCTION("""COMPUTED_VALUE"""),"PandaConf")</f>
        <v>PandaConf</v>
      </c>
      <c r="C42" s="51" t="str">
        <f>IFERROR(__xludf.DUMMYFUNCTION("""COMPUTED_VALUE"""),"Mada Seghete")</f>
        <v>Mada Seghete</v>
      </c>
      <c r="D42" s="49" t="str">
        <f>IFERROR(__xludf.DUMMYFUNCTION("""COMPUTED_VALUE"""),"2019/11/07 13:50:00")</f>
        <v>2019/11/07 13:50:00</v>
      </c>
      <c r="E42" s="49" t="str">
        <f>IFERROR(__xludf.DUMMYFUNCTION("""COMPUTED_VALUE"""),"2019/11/07 14:10:00")</f>
        <v>2019/11/07 14:10:00</v>
      </c>
      <c r="F42" s="49" t="str">
        <f>IFERROR(__xludf.DUMMYFUNCTION("""COMPUTED_VALUE"""),"723e96c9-f196-4dde-abfb-632186b0f3cd")</f>
        <v>723e96c9-f196-4dde-abfb-632186b0f3cd</v>
      </c>
      <c r="G42" s="52">
        <f>IFERROR(__xludf.DUMMYFUNCTION("""COMPUTED_VALUE"""),43776.0)</f>
        <v>43776</v>
      </c>
      <c r="H42" s="53">
        <f>IFERROR(__xludf.DUMMYFUNCTION("""COMPUTED_VALUE"""),0.5763888888888888)</f>
        <v>0.5763888889</v>
      </c>
      <c r="I42" s="52">
        <f>IFERROR(__xludf.DUMMYFUNCTION("""COMPUTED_VALUE"""),43776.0)</f>
        <v>43776</v>
      </c>
      <c r="J42" s="53">
        <f>IFERROR(__xludf.DUMMYFUNCTION("""COMPUTED_VALUE"""),0.5902777777777778)</f>
        <v>0.5902777778</v>
      </c>
      <c r="K42" s="53">
        <f t="shared" si="1"/>
        <v>0.01388888889</v>
      </c>
      <c r="L42" s="49" t="s">
        <v>109</v>
      </c>
      <c r="M42" s="87" t="s">
        <v>777</v>
      </c>
      <c r="N42" s="62" t="str">
        <f t="shared" si="2"/>
        <v>PC_7_8_723e96c9-f196-4dde-abfb-632186b0f3cd_000000_000000.mp4</v>
      </c>
      <c r="O42" s="48"/>
      <c r="P42" s="48"/>
      <c r="Q42" s="63"/>
      <c r="R42" s="49"/>
      <c r="S42" s="49"/>
      <c r="T42" s="49"/>
    </row>
    <row r="43">
      <c r="A43" s="49" t="str">
        <f>IFERROR(__xludf.DUMMYFUNCTION("""COMPUTED_VALUE"""),"Predicting the future of brand design")</f>
        <v>Predicting the future of brand design</v>
      </c>
      <c r="B43" s="49" t="str">
        <f>IFERROR(__xludf.DUMMYFUNCTION("""COMPUTED_VALUE"""),"PandaConf")</f>
        <v>PandaConf</v>
      </c>
      <c r="C43" s="51" t="str">
        <f>IFERROR(__xludf.DUMMYFUNCTION("""COMPUTED_VALUE"""),"Dan Gardner, Amy Buckner Chowdhry, Tim Kobe and Marty Swant")</f>
        <v>Dan Gardner, Amy Buckner Chowdhry, Tim Kobe and Marty Swant</v>
      </c>
      <c r="D43" s="49" t="str">
        <f>IFERROR(__xludf.DUMMYFUNCTION("""COMPUTED_VALUE"""),"2019/11/07 14:10:00")</f>
        <v>2019/11/07 14:10:00</v>
      </c>
      <c r="E43" s="49" t="str">
        <f>IFERROR(__xludf.DUMMYFUNCTION("""COMPUTED_VALUE"""),"2019/11/07 14:35:00")</f>
        <v>2019/11/07 14:35:00</v>
      </c>
      <c r="F43" s="49" t="str">
        <f>IFERROR(__xludf.DUMMYFUNCTION("""COMPUTED_VALUE"""),"cd12ea61-81ae-49e1-85cf-c58408fce6bb")</f>
        <v>cd12ea61-81ae-49e1-85cf-c58408fce6bb</v>
      </c>
      <c r="G43" s="52">
        <f>IFERROR(__xludf.DUMMYFUNCTION("""COMPUTED_VALUE"""),43776.0)</f>
        <v>43776</v>
      </c>
      <c r="H43" s="53">
        <f>IFERROR(__xludf.DUMMYFUNCTION("""COMPUTED_VALUE"""),0.5902777777777778)</f>
        <v>0.5902777778</v>
      </c>
      <c r="I43" s="52">
        <f>IFERROR(__xludf.DUMMYFUNCTION("""COMPUTED_VALUE"""),43776.0)</f>
        <v>43776</v>
      </c>
      <c r="J43" s="53">
        <f>IFERROR(__xludf.DUMMYFUNCTION("""COMPUTED_VALUE"""),0.6076388888888888)</f>
        <v>0.6076388889</v>
      </c>
      <c r="K43" s="53">
        <f t="shared" si="1"/>
        <v>0.01736111111</v>
      </c>
      <c r="L43" s="49" t="s">
        <v>111</v>
      </c>
      <c r="M43" s="87" t="s">
        <v>779</v>
      </c>
      <c r="N43" s="62" t="str">
        <f t="shared" si="2"/>
        <v>PC_7_9_cd12ea61-81ae-49e1-85cf-c58408fce6bb_000000_000000.mp4</v>
      </c>
      <c r="O43" s="48"/>
      <c r="P43" s="48"/>
      <c r="Q43" s="63"/>
      <c r="R43" s="49"/>
      <c r="S43" s="49"/>
      <c r="T43" s="49"/>
    </row>
    <row r="44">
      <c r="A44" s="49" t="str">
        <f>IFERROR(__xludf.DUMMYFUNCTION("""COMPUTED_VALUE"""),"Beyond diversity: Making tech truly inclusive")</f>
        <v>Beyond diversity: Making tech truly inclusive</v>
      </c>
      <c r="B44" s="49" t="str">
        <f>IFERROR(__xludf.DUMMYFUNCTION("""COMPUTED_VALUE"""),"PandaConf")</f>
        <v>PandaConf</v>
      </c>
      <c r="C44" s="51" t="str">
        <f>IFERROR(__xludf.DUMMYFUNCTION("""COMPUTED_VALUE"""),"Andrew O' Dell, Belinda Smith and Leisha Santorelli")</f>
        <v>Andrew O' Dell, Belinda Smith and Leisha Santorelli</v>
      </c>
      <c r="D44" s="49" t="str">
        <f>IFERROR(__xludf.DUMMYFUNCTION("""COMPUTED_VALUE"""),"2019/11/07 14:35:00")</f>
        <v>2019/11/07 14:35:00</v>
      </c>
      <c r="E44" s="49" t="str">
        <f>IFERROR(__xludf.DUMMYFUNCTION("""COMPUTED_VALUE"""),"2019/11/07 14:55:00")</f>
        <v>2019/11/07 14:55:00</v>
      </c>
      <c r="F44" s="49" t="str">
        <f>IFERROR(__xludf.DUMMYFUNCTION("""COMPUTED_VALUE"""),"be97d141-7fd0-4ad9-be6d-853a7f54934d")</f>
        <v>be97d141-7fd0-4ad9-be6d-853a7f54934d</v>
      </c>
      <c r="G44" s="52">
        <f>IFERROR(__xludf.DUMMYFUNCTION("""COMPUTED_VALUE"""),43776.0)</f>
        <v>43776</v>
      </c>
      <c r="H44" s="53">
        <f>IFERROR(__xludf.DUMMYFUNCTION("""COMPUTED_VALUE"""),0.6076388888888888)</f>
        <v>0.6076388889</v>
      </c>
      <c r="I44" s="52">
        <f>IFERROR(__xludf.DUMMYFUNCTION("""COMPUTED_VALUE"""),43776.0)</f>
        <v>43776</v>
      </c>
      <c r="J44" s="53">
        <f>IFERROR(__xludf.DUMMYFUNCTION("""COMPUTED_VALUE"""),0.6215277777777778)</f>
        <v>0.6215277778</v>
      </c>
      <c r="K44" s="53">
        <f t="shared" si="1"/>
        <v>0.01388888889</v>
      </c>
      <c r="L44" s="49" t="s">
        <v>109</v>
      </c>
      <c r="M44" s="87" t="s">
        <v>781</v>
      </c>
      <c r="N44" s="62" t="str">
        <f t="shared" si="2"/>
        <v>PC_7_10_be97d141-7fd0-4ad9-be6d-853a7f54934d_000000_000000.mp4</v>
      </c>
      <c r="O44" s="48"/>
      <c r="P44" s="48"/>
      <c r="Q44" s="63"/>
      <c r="R44" s="49"/>
      <c r="S44" s="49"/>
      <c r="T44" s="49"/>
    </row>
    <row r="45">
      <c r="A45" s="49" t="str">
        <f>IFERROR(__xludf.DUMMYFUNCTION("""COMPUTED_VALUE"""),"Being a brand disruptor and proud")</f>
        <v>Being a brand disruptor and proud</v>
      </c>
      <c r="B45" s="49" t="str">
        <f>IFERROR(__xludf.DUMMYFUNCTION("""COMPUTED_VALUE"""),"PandaConf")</f>
        <v>PandaConf</v>
      </c>
      <c r="C45" s="51" t="str">
        <f>IFERROR(__xludf.DUMMYFUNCTION("""COMPUTED_VALUE"""),"Anthemos Georgiades, Rafael Museri and Katie Deighton")</f>
        <v>Anthemos Georgiades, Rafael Museri and Katie Deighton</v>
      </c>
      <c r="D45" s="49" t="str">
        <f>IFERROR(__xludf.DUMMYFUNCTION("""COMPUTED_VALUE"""),"2019/11/07 14:55:00")</f>
        <v>2019/11/07 14:55:00</v>
      </c>
      <c r="E45" s="49" t="str">
        <f>IFERROR(__xludf.DUMMYFUNCTION("""COMPUTED_VALUE"""),"2019/11/07 15:15:00")</f>
        <v>2019/11/07 15:15:00</v>
      </c>
      <c r="F45" s="49" t="str">
        <f>IFERROR(__xludf.DUMMYFUNCTION("""COMPUTED_VALUE"""),"f56a8a31-db97-4b6d-8821-caa5e70a2744")</f>
        <v>f56a8a31-db97-4b6d-8821-caa5e70a2744</v>
      </c>
      <c r="G45" s="52">
        <f>IFERROR(__xludf.DUMMYFUNCTION("""COMPUTED_VALUE"""),43776.0)</f>
        <v>43776</v>
      </c>
      <c r="H45" s="53">
        <f>IFERROR(__xludf.DUMMYFUNCTION("""COMPUTED_VALUE"""),0.6215277777777778)</f>
        <v>0.6215277778</v>
      </c>
      <c r="I45" s="52">
        <f>IFERROR(__xludf.DUMMYFUNCTION("""COMPUTED_VALUE"""),43776.0)</f>
        <v>43776</v>
      </c>
      <c r="J45" s="53">
        <f>IFERROR(__xludf.DUMMYFUNCTION("""COMPUTED_VALUE"""),0.6354166666666666)</f>
        <v>0.6354166667</v>
      </c>
      <c r="K45" s="53">
        <f t="shared" si="1"/>
        <v>0.01388888889</v>
      </c>
      <c r="L45" s="49" t="s">
        <v>109</v>
      </c>
      <c r="M45" s="87" t="s">
        <v>783</v>
      </c>
      <c r="N45" s="62" t="str">
        <f t="shared" si="2"/>
        <v>PC_7_11_f56a8a31-db97-4b6d-8821-caa5e70a2744_000000_000000.mp4</v>
      </c>
      <c r="O45" s="48"/>
      <c r="P45" s="48"/>
      <c r="Q45" s="63"/>
      <c r="R45" s="49"/>
      <c r="S45" s="49"/>
      <c r="T45" s="49"/>
    </row>
    <row r="46">
      <c r="A46" s="49" t="str">
        <f>IFERROR(__xludf.DUMMYFUNCTION("""COMPUTED_VALUE"""),"Protecting the Lion's Share")</f>
        <v>Protecting the Lion's Share</v>
      </c>
      <c r="B46" s="49" t="str">
        <f>IFERROR(__xludf.DUMMYFUNCTION("""COMPUTED_VALUE"""),"PandaConf")</f>
        <v>PandaConf</v>
      </c>
      <c r="C46" s="51" t="str">
        <f>IFERROR(__xludf.DUMMYFUNCTION("""COMPUTED_VALUE"""),"Jane Wakely")</f>
        <v>Jane Wakely</v>
      </c>
      <c r="D46" s="49" t="str">
        <f>IFERROR(__xludf.DUMMYFUNCTION("""COMPUTED_VALUE"""),"2019/11/07 15:15:00")</f>
        <v>2019/11/07 15:15:00</v>
      </c>
      <c r="E46" s="49" t="str">
        <f>IFERROR(__xludf.DUMMYFUNCTION("""COMPUTED_VALUE"""),"2019/11/07 15:35:00")</f>
        <v>2019/11/07 15:35:00</v>
      </c>
      <c r="F46" s="49" t="str">
        <f>IFERROR(__xludf.DUMMYFUNCTION("""COMPUTED_VALUE"""),"82b2a066-cc55-4cb3-b513-87046be33307")</f>
        <v>82b2a066-cc55-4cb3-b513-87046be33307</v>
      </c>
      <c r="G46" s="52">
        <f>IFERROR(__xludf.DUMMYFUNCTION("""COMPUTED_VALUE"""),43776.0)</f>
        <v>43776</v>
      </c>
      <c r="H46" s="53">
        <f>IFERROR(__xludf.DUMMYFUNCTION("""COMPUTED_VALUE"""),0.6354166666666666)</f>
        <v>0.6354166667</v>
      </c>
      <c r="I46" s="52">
        <f>IFERROR(__xludf.DUMMYFUNCTION("""COMPUTED_VALUE"""),43776.0)</f>
        <v>43776</v>
      </c>
      <c r="J46" s="53">
        <f>IFERROR(__xludf.DUMMYFUNCTION("""COMPUTED_VALUE"""),0.6493055555555556)</f>
        <v>0.6493055556</v>
      </c>
      <c r="K46" s="53">
        <f t="shared" si="1"/>
        <v>0.01388888889</v>
      </c>
      <c r="L46" s="49" t="s">
        <v>109</v>
      </c>
      <c r="M46" s="87" t="s">
        <v>785</v>
      </c>
      <c r="N46" s="62" t="str">
        <f t="shared" si="2"/>
        <v>PC_7_12_82b2a066-cc55-4cb3-b513-87046be33307_000000_000000.mp4</v>
      </c>
      <c r="O46" s="48"/>
      <c r="P46" s="48"/>
      <c r="Q46" s="63"/>
      <c r="R46" s="49"/>
      <c r="S46" s="49"/>
      <c r="T46" s="49"/>
    </row>
    <row r="47">
      <c r="A47" s="49" t="str">
        <f>IFERROR(__xludf.DUMMYFUNCTION("""COMPUTED_VALUE"""),"How to win brands and influence people")</f>
        <v>How to win brands and influence people</v>
      </c>
      <c r="B47" s="49" t="str">
        <f>IFERROR(__xludf.DUMMYFUNCTION("""COMPUTED_VALUE"""),"PandaConf")</f>
        <v>PandaConf</v>
      </c>
      <c r="C47" s="51" t="str">
        <f>IFERROR(__xludf.DUMMYFUNCTION("""COMPUTED_VALUE"""),"Charl Bassil, Ben Jeffries, Caspar Lee, Rachel Waller and Dima Khatib")</f>
        <v>Charl Bassil, Ben Jeffries, Caspar Lee, Rachel Waller and Dima Khatib</v>
      </c>
      <c r="D47" s="49" t="str">
        <f>IFERROR(__xludf.DUMMYFUNCTION("""COMPUTED_VALUE"""),"2019/11/07 15:35:00")</f>
        <v>2019/11/07 15:35:00</v>
      </c>
      <c r="E47" s="49" t="str">
        <f>IFERROR(__xludf.DUMMYFUNCTION("""COMPUTED_VALUE"""),"2019/11/07 16:05:00")</f>
        <v>2019/11/07 16:05:00</v>
      </c>
      <c r="F47" s="49" t="str">
        <f>IFERROR(__xludf.DUMMYFUNCTION("""COMPUTED_VALUE"""),"1ceaa5f2-b78b-4300-bac2-7756581469c8")</f>
        <v>1ceaa5f2-b78b-4300-bac2-7756581469c8</v>
      </c>
      <c r="G47" s="52">
        <f>IFERROR(__xludf.DUMMYFUNCTION("""COMPUTED_VALUE"""),43776.0)</f>
        <v>43776</v>
      </c>
      <c r="H47" s="53">
        <f>IFERROR(__xludf.DUMMYFUNCTION("""COMPUTED_VALUE"""),0.6493055555555556)</f>
        <v>0.6493055556</v>
      </c>
      <c r="I47" s="52">
        <f>IFERROR(__xludf.DUMMYFUNCTION("""COMPUTED_VALUE"""),43776.0)</f>
        <v>43776</v>
      </c>
      <c r="J47" s="53">
        <f>IFERROR(__xludf.DUMMYFUNCTION("""COMPUTED_VALUE"""),0.6701388888888888)</f>
        <v>0.6701388889</v>
      </c>
      <c r="K47" s="53">
        <f t="shared" si="1"/>
        <v>0.02083333333</v>
      </c>
      <c r="L47" s="49" t="s">
        <v>105</v>
      </c>
      <c r="M47" s="87" t="s">
        <v>787</v>
      </c>
      <c r="N47" s="62" t="str">
        <f t="shared" si="2"/>
        <v>PC_7_13_1ceaa5f2-b78b-4300-bac2-7756581469c8_000000_000000.mp4</v>
      </c>
      <c r="O47" s="48"/>
      <c r="P47" s="48"/>
      <c r="Q47" s="63"/>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f t="shared" si="1"/>
        <v>0</v>
      </c>
      <c r="L48" s="49" t="s">
        <v>255</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f t="shared" si="1"/>
        <v>0</v>
      </c>
      <c r="L49" s="49" t="s">
        <v>255</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f t="shared" si="1"/>
        <v>0</v>
      </c>
      <c r="L50" s="49" t="s">
        <v>255</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f t="shared" si="1"/>
        <v>0</v>
      </c>
      <c r="L51" s="49" t="s">
        <v>255</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f t="shared" si="1"/>
        <v>0</v>
      </c>
      <c r="L52" s="49" t="s">
        <v>255</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f t="shared" si="1"/>
        <v>0</v>
      </c>
      <c r="L53" s="49" t="s">
        <v>255</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f t="shared" si="1"/>
        <v>0</v>
      </c>
      <c r="L54" s="49" t="s">
        <v>255</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f t="shared" si="1"/>
        <v>0</v>
      </c>
      <c r="L55" s="49" t="s">
        <v>255</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f t="shared" si="1"/>
        <v>0</v>
      </c>
      <c r="L56" s="49" t="s">
        <v>255</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f t="shared" si="1"/>
        <v>0</v>
      </c>
      <c r="L57" s="49" t="s">
        <v>255</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f t="shared" si="1"/>
        <v>0</v>
      </c>
      <c r="L58" s="49" t="s">
        <v>255</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f t="shared" si="1"/>
        <v>0</v>
      </c>
      <c r="L59" s="49" t="s">
        <v>255</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c r="L60" s="49" t="s">
        <v>255</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c r="L61" s="49" t="s">
        <v>255</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c r="L62" s="49" t="s">
        <v>255</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c r="L63" s="49" t="s">
        <v>255</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255</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255</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255</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255</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255</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255</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255</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255</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255</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255</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255</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255</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255</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255</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255</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255</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255</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255</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255</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255</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255</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255</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255</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255</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255</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255</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255</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255</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255</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255</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255</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255</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255</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255</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255</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255</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255</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255</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255</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255</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255</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255</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255</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255</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255</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255</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255</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255</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255</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255</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255</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255</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255</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255</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255</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255</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255</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255</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255</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255</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255</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255</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255</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255</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255</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255</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255</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255</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255</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255</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255</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255</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255</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255</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255</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255</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255</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255</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255</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255</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255</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255</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255</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255</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255</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255</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255</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255</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255</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255</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255</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255</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255</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255</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255</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255</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255</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255</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255</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255</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255</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255</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255</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255</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255</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255</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255</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255</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255</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255</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255</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255</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255</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255</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255</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255</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255</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255</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255</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255</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255</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255</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255</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255</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255</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255</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255</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255</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255</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255</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255</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255</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255</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255</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255</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255</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255</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255</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255</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255</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255</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255</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255</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255</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255</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255</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255</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255</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255</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255</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255</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255</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255</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255</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255</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255</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255</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255</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255</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255</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255</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255</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255</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255</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255</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255</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255</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255</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255</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255</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255</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255</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255</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255</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255</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255</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255</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255</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255</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255</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255</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255</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255</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255</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255</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255</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255</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255</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255</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255</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255</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255</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255</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255</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255</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255</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255</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255</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255</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255</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255</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255</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255</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255</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255</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255</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255</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255</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255</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255</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255</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255</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255</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255</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255</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255</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255</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255</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255</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255</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255</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255</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255</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255</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255</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255</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255</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255</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255</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255</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255</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255</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255</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255</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255</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255</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255</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255</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255</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255</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255</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255</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255</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255</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255</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255</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255</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255</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255</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255</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255</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255</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255</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255</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255</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255</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255</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255</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255</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255</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255</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255</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255</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255</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255</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255</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255</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255</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255</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255</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255</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255</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255</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255</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255</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255</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255</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255</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255</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255</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255</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255</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255</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255</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255</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255</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255</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255</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255</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255</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255</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255</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255</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255</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255</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255</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255</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255</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255</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255</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255</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255</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255</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255</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255</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255</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255</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255</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255</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255</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255</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255</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255</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255</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255</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255</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255</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255</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255</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255</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255</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255</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255</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255</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255</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255</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255</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255</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255</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255</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255</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255</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255</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255</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255</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255</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255</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255</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255</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255</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255</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255</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255</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255</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255</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255</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255</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255</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255</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255</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255</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255</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255</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255</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255</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255</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255</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255</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255</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255</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255</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255</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255</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255</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255</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255</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255</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255</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255</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255</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255</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255</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255</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255</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255</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255</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255</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255</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255</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255</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255</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255</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255</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255</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255</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255</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255</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255</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255</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255</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255</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255</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255</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255</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255</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255</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255</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255</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255</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255</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255</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255</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255</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255</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255</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255</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255</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255</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255</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255</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255</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255</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255</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255</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255</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255</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255</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255</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255</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255</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255</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255</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255</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255</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255</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255</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255</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255</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255</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255</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255</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255</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255</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255</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255</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255</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255</v>
      </c>
      <c r="M533" s="49"/>
      <c r="N533" s="49"/>
      <c r="O533" s="49"/>
      <c r="P533" s="49"/>
      <c r="Q533" s="49"/>
      <c r="R533" s="49"/>
      <c r="S533" s="49"/>
      <c r="T533" s="49"/>
    </row>
    <row r="534">
      <c r="A534" s="49"/>
      <c r="B534" s="49"/>
      <c r="C534" s="51"/>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255</v>
      </c>
      <c r="M534" s="49"/>
      <c r="N534" s="49"/>
      <c r="O534" s="49"/>
      <c r="P534" s="49"/>
      <c r="Q534" s="49"/>
      <c r="R534" s="49"/>
      <c r="S534" s="49"/>
      <c r="T534" s="49"/>
    </row>
    <row r="535">
      <c r="A535" s="49"/>
      <c r="B535" s="49"/>
      <c r="C535" s="51"/>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255</v>
      </c>
      <c r="M535" s="49"/>
      <c r="N535" s="49"/>
      <c r="O535" s="49"/>
      <c r="P535" s="49"/>
      <c r="Q535" s="49"/>
      <c r="R535" s="49"/>
      <c r="S535" s="49"/>
      <c r="T535" s="49"/>
    </row>
    <row r="536">
      <c r="A536" s="49"/>
      <c r="B536" s="49"/>
      <c r="C536" s="51"/>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255</v>
      </c>
      <c r="M536" s="49"/>
      <c r="N536" s="49"/>
      <c r="O536" s="49"/>
      <c r="P536" s="49"/>
      <c r="Q536" s="49"/>
      <c r="R536" s="49"/>
      <c r="S536" s="49"/>
      <c r="T536" s="49"/>
    </row>
    <row r="537">
      <c r="A537" s="49"/>
      <c r="B537" s="49"/>
      <c r="C537" s="51"/>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255</v>
      </c>
      <c r="M537" s="49"/>
      <c r="N537" s="49"/>
      <c r="O537" s="49"/>
      <c r="P537" s="49"/>
      <c r="Q537" s="49"/>
      <c r="R537" s="49"/>
      <c r="S537" s="49"/>
      <c r="T537" s="49"/>
    </row>
    <row r="538">
      <c r="A538" s="49"/>
      <c r="B538" s="49"/>
      <c r="C538" s="51"/>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255</v>
      </c>
      <c r="M538" s="49"/>
      <c r="N538" s="49"/>
      <c r="O538" s="49"/>
      <c r="P538" s="49"/>
      <c r="Q538" s="49"/>
      <c r="R538" s="49"/>
      <c r="S538" s="49"/>
      <c r="T538" s="49"/>
    </row>
    <row r="539">
      <c r="A539" s="49"/>
      <c r="B539" s="49"/>
      <c r="C539" s="51"/>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255</v>
      </c>
      <c r="M539" s="49"/>
      <c r="N539" s="49"/>
      <c r="O539" s="49"/>
      <c r="P539" s="49"/>
      <c r="Q539" s="49"/>
      <c r="R539" s="49"/>
      <c r="S539" s="49"/>
      <c r="T539" s="49"/>
    </row>
    <row r="540">
      <c r="A540" s="49"/>
      <c r="B540" s="49"/>
      <c r="C540" s="51"/>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255</v>
      </c>
      <c r="M540" s="49"/>
      <c r="N540" s="49"/>
      <c r="O540" s="49"/>
      <c r="P540" s="49"/>
      <c r="Q540" s="49"/>
      <c r="R540" s="49"/>
      <c r="S540" s="49"/>
      <c r="T540" s="49"/>
    </row>
    <row r="541">
      <c r="A541" s="49"/>
      <c r="B541" s="49"/>
      <c r="C541" s="51"/>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255</v>
      </c>
      <c r="M541" s="49"/>
      <c r="N541" s="49"/>
      <c r="O541" s="49"/>
      <c r="P541" s="49"/>
      <c r="Q541" s="49"/>
      <c r="R541" s="49"/>
      <c r="S541" s="49"/>
      <c r="T541" s="49"/>
    </row>
    <row r="542">
      <c r="A542" s="49"/>
      <c r="B542" s="49"/>
      <c r="C542" s="51"/>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255</v>
      </c>
      <c r="M542" s="49"/>
      <c r="N542" s="49"/>
      <c r="O542" s="49"/>
      <c r="P542" s="49"/>
      <c r="Q542" s="49"/>
      <c r="R542" s="49"/>
      <c r="S542" s="49"/>
      <c r="T542" s="49"/>
    </row>
    <row r="543">
      <c r="A543" s="49"/>
      <c r="B543" s="49"/>
      <c r="C543" s="51"/>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255</v>
      </c>
      <c r="M543" s="49"/>
      <c r="N543" s="49"/>
      <c r="O543" s="49"/>
      <c r="P543" s="49"/>
      <c r="Q543" s="49"/>
      <c r="R543" s="49"/>
      <c r="S543" s="49"/>
      <c r="T543" s="49"/>
    </row>
    <row r="544">
      <c r="A544" s="49"/>
      <c r="B544" s="49"/>
      <c r="C544" s="51"/>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255</v>
      </c>
      <c r="M544" s="49"/>
      <c r="N544" s="49"/>
      <c r="O544" s="49"/>
      <c r="P544" s="49"/>
      <c r="Q544" s="49"/>
      <c r="R544" s="49"/>
      <c r="S544" s="49"/>
      <c r="T544" s="49"/>
    </row>
    <row r="545">
      <c r="A545" s="49"/>
      <c r="B545" s="49"/>
      <c r="C545" s="51"/>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255</v>
      </c>
      <c r="M545" s="49"/>
      <c r="N545" s="49"/>
      <c r="O545" s="49"/>
      <c r="P545" s="49"/>
      <c r="Q545" s="49"/>
      <c r="R545" s="49"/>
      <c r="S545" s="49"/>
      <c r="T545" s="49"/>
    </row>
    <row r="546">
      <c r="A546" s="49"/>
      <c r="B546" s="49"/>
      <c r="C546" s="51"/>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255</v>
      </c>
      <c r="M546" s="49"/>
      <c r="N546" s="49"/>
      <c r="O546" s="49"/>
      <c r="P546" s="49"/>
      <c r="Q546" s="49"/>
      <c r="R546" s="49"/>
      <c r="S546" s="49"/>
      <c r="T546" s="49"/>
    </row>
    <row r="547">
      <c r="A547" s="49"/>
      <c r="B547" s="49"/>
      <c r="C547" s="51"/>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255</v>
      </c>
      <c r="M547" s="49"/>
      <c r="N547" s="49"/>
      <c r="O547" s="49"/>
      <c r="P547" s="49"/>
      <c r="Q547" s="49"/>
      <c r="R547" s="49"/>
      <c r="S547" s="49"/>
      <c r="T547" s="49"/>
    </row>
    <row r="548">
      <c r="A548" s="49"/>
      <c r="B548" s="49"/>
      <c r="C548" s="51"/>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255</v>
      </c>
      <c r="M548" s="49"/>
      <c r="N548" s="49"/>
      <c r="O548" s="49"/>
      <c r="P548" s="49"/>
      <c r="Q548" s="49"/>
      <c r="R548" s="49"/>
      <c r="S548" s="49"/>
      <c r="T548" s="49"/>
    </row>
    <row r="549">
      <c r="A549" s="49"/>
      <c r="B549" s="49"/>
      <c r="C549" s="51"/>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255</v>
      </c>
      <c r="M549" s="49"/>
      <c r="N549" s="49"/>
      <c r="O549" s="49"/>
      <c r="P549" s="49"/>
      <c r="Q549" s="49"/>
      <c r="R549" s="49"/>
      <c r="S549" s="49"/>
      <c r="T549" s="49"/>
    </row>
    <row r="550">
      <c r="A550" s="49"/>
      <c r="B550" s="49"/>
      <c r="C550" s="51"/>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255</v>
      </c>
      <c r="M550" s="49"/>
      <c r="N550" s="49"/>
      <c r="O550" s="49"/>
      <c r="P550" s="49"/>
      <c r="Q550" s="49"/>
      <c r="R550" s="49"/>
      <c r="S550" s="49"/>
      <c r="T550" s="49"/>
    </row>
    <row r="551">
      <c r="A551" s="49"/>
      <c r="B551" s="49"/>
      <c r="C551" s="51"/>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255</v>
      </c>
      <c r="M551" s="49"/>
      <c r="N551" s="49"/>
      <c r="O551" s="49"/>
      <c r="P551" s="49"/>
      <c r="Q551" s="49"/>
      <c r="R551" s="49"/>
      <c r="S551" s="49"/>
      <c r="T551" s="49"/>
    </row>
    <row r="552">
      <c r="A552" s="49"/>
      <c r="B552" s="49"/>
      <c r="C552" s="51"/>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255</v>
      </c>
      <c r="M552" s="49"/>
      <c r="N552" s="49"/>
      <c r="O552" s="49"/>
      <c r="P552" s="49"/>
      <c r="Q552" s="49"/>
      <c r="R552" s="49"/>
      <c r="S552" s="49"/>
      <c r="T552" s="49"/>
    </row>
    <row r="553">
      <c r="A553" s="49"/>
      <c r="B553" s="49"/>
      <c r="C553" s="51"/>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255</v>
      </c>
      <c r="M553" s="49"/>
      <c r="N553" s="49"/>
      <c r="O553" s="49"/>
      <c r="P553" s="49"/>
      <c r="Q553" s="49"/>
      <c r="R553" s="49"/>
      <c r="S553" s="49"/>
      <c r="T553" s="49"/>
    </row>
    <row r="554">
      <c r="A554" s="49"/>
      <c r="B554" s="49"/>
      <c r="C554" s="51"/>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255</v>
      </c>
      <c r="M554" s="49"/>
      <c r="N554" s="49"/>
      <c r="O554" s="49"/>
      <c r="P554" s="49"/>
      <c r="Q554" s="49"/>
      <c r="R554" s="49"/>
      <c r="S554" s="49"/>
      <c r="T554" s="49"/>
    </row>
    <row r="555">
      <c r="A555" s="49"/>
      <c r="B555" s="49"/>
      <c r="C555" s="51"/>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255</v>
      </c>
      <c r="M555" s="49"/>
      <c r="N555" s="49"/>
      <c r="O555" s="49"/>
      <c r="P555" s="49"/>
      <c r="Q555" s="49"/>
      <c r="R555" s="49"/>
      <c r="S555" s="49"/>
      <c r="T555" s="49"/>
    </row>
    <row r="556">
      <c r="A556" s="49"/>
      <c r="B556" s="49"/>
      <c r="C556" s="51"/>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255</v>
      </c>
      <c r="M556" s="49"/>
      <c r="N556" s="49"/>
      <c r="O556" s="49"/>
      <c r="P556" s="49"/>
      <c r="Q556" s="49"/>
      <c r="R556" s="49"/>
      <c r="S556" s="49"/>
      <c r="T556" s="49"/>
    </row>
    <row r="557">
      <c r="A557" s="49"/>
      <c r="B557" s="49"/>
      <c r="C557" s="51"/>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255</v>
      </c>
      <c r="M557" s="49"/>
      <c r="N557" s="49"/>
      <c r="O557" s="49"/>
      <c r="P557" s="49"/>
      <c r="Q557" s="49"/>
      <c r="R557" s="49"/>
      <c r="S557" s="49"/>
      <c r="T557" s="49"/>
    </row>
    <row r="558">
      <c r="A558" s="49"/>
      <c r="B558" s="49"/>
      <c r="C558" s="51"/>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255</v>
      </c>
      <c r="M558" s="49"/>
      <c r="N558" s="49"/>
      <c r="O558" s="49"/>
      <c r="P558" s="49"/>
      <c r="Q558" s="49"/>
      <c r="R558" s="49"/>
      <c r="S558" s="49"/>
      <c r="T558" s="49"/>
    </row>
    <row r="559">
      <c r="A559" s="49"/>
      <c r="B559" s="49"/>
      <c r="C559" s="51"/>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255</v>
      </c>
      <c r="M559" s="49"/>
      <c r="N559" s="49"/>
      <c r="O559" s="49"/>
      <c r="P559" s="49"/>
      <c r="Q559" s="49"/>
      <c r="R559" s="49"/>
      <c r="S559" s="49"/>
      <c r="T559" s="49"/>
    </row>
    <row r="560">
      <c r="A560" s="49"/>
      <c r="B560" s="49"/>
      <c r="C560" s="51"/>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255</v>
      </c>
      <c r="M560" s="49"/>
      <c r="N560" s="49"/>
      <c r="O560" s="49"/>
      <c r="P560" s="49"/>
      <c r="Q560" s="49"/>
      <c r="R560" s="49"/>
      <c r="S560" s="49"/>
      <c r="T560" s="49"/>
    </row>
  </sheetData>
  <conditionalFormatting sqref="O2:O47">
    <cfRule type="containsText" dxfId="4" priority="1" operator="containsText" text="YES">
      <formula>NOT(ISERROR(SEARCH(("YES"),(O2))))</formula>
    </cfRule>
  </conditionalFormatting>
  <conditionalFormatting sqref="O2:O47">
    <cfRule type="cellIs" dxfId="5" priority="2" operator="equal">
      <formula>"NO"</formula>
    </cfRule>
  </conditionalFormatting>
  <conditionalFormatting sqref="P2:P47">
    <cfRule type="cellIs" dxfId="4" priority="3" operator="equal">
      <formula>"AVAILABLE"</formula>
    </cfRule>
  </conditionalFormatting>
  <conditionalFormatting sqref="P2:P47">
    <cfRule type="cellIs" dxfId="5" priority="4" operator="equal">
      <formula>"NOT AVAILABLE"</formula>
    </cfRule>
  </conditionalFormatting>
  <conditionalFormatting sqref="Q2:Q47">
    <cfRule type="cellIs" dxfId="4" priority="5" operator="equal">
      <formula>"AVAILABLE"</formula>
    </cfRule>
  </conditionalFormatting>
  <conditionalFormatting sqref="Q2:Q47">
    <cfRule type="cellIs" dxfId="6" priority="6" operator="equal">
      <formula>"UPLOADING"</formula>
    </cfRule>
  </conditionalFormatting>
  <conditionalFormatting sqref="Q2:Q47">
    <cfRule type="cellIs" dxfId="5" priority="7" operator="equal">
      <formula>"NOT AVAILABLE"</formula>
    </cfRule>
  </conditionalFormatting>
  <dataValidations>
    <dataValidation type="list" allowBlank="1" sqref="O2:O47">
      <formula1>"YES,NO"</formula1>
    </dataValidation>
    <dataValidation type="list" allowBlank="1" sqref="P2:P47">
      <formula1>"AVAILABLE,NOT AVAILABLE"</formula1>
    </dataValidation>
    <dataValidation type="list" allowBlank="1" sqref="Q2:Q47">
      <formula1>"AVAILABLE,UPLOADING,NOT AVAILABLE"</formula1>
    </dataValidation>
  </dataValidations>
  <drawing r:id="rId1"/>
  <tableParts count="1">
    <tablePart r:id="rId3"/>
  </tableParts>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29"/>
    <col customWidth="1" min="3" max="3" width="26.43"/>
    <col hidden="1" min="4" max="5" width="14.43"/>
    <col customWidth="1" min="6" max="6" width="42.43"/>
    <col hidden="1" min="9" max="9" width="14.43"/>
  </cols>
  <sheetData>
    <row r="1">
      <c r="A1" s="46" t="s">
        <v>79</v>
      </c>
      <c r="B1" s="46" t="s">
        <v>80</v>
      </c>
      <c r="C1" s="93"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'Corporate Innovation Summit' ORDER BY F"")"),"Opening remarks")</f>
        <v>Opening remarks</v>
      </c>
      <c r="B2" s="49" t="str">
        <f>IFERROR(__xludf.DUMMYFUNCTION("""COMPUTED_VALUE"""),"Corporate Innovation Summit")</f>
        <v>Corporate Innovation Summit</v>
      </c>
      <c r="C2" s="94" t="str">
        <f>IFERROR(__xludf.DUMMYFUNCTION("""COMPUTED_VALUE"""),"Scott Campbell")</f>
        <v>Scott Campbell</v>
      </c>
      <c r="D2" s="49" t="str">
        <f>IFERROR(__xludf.DUMMYFUNCTION("""COMPUTED_VALUE"""),"2019/11/05 10:00:00")</f>
        <v>2019/11/05 10:00:00</v>
      </c>
      <c r="E2" s="49" t="str">
        <f>IFERROR(__xludf.DUMMYFUNCTION("""COMPUTED_VALUE"""),"2019/11/05 10:15:00")</f>
        <v>2019/11/05 10:15:00</v>
      </c>
      <c r="F2" s="49" t="str">
        <f>IFERROR(__xludf.DUMMYFUNCTION("""COMPUTED_VALUE"""),"f67dafe5-f84e-4ff8-bcb4-804dfba7b2a5")</f>
        <v>f67dafe5-f84e-4ff8-bcb4-804dfba7b2a5</v>
      </c>
      <c r="G2" s="54">
        <f>IFERROR(__xludf.DUMMYFUNCTION("ARRAYFORMULA(SPLIT(D2:D568,"" ""))"),43774.0)</f>
        <v>43774</v>
      </c>
      <c r="H2" s="53">
        <f>IFERROR(__xludf.DUMMYFUNCTION("""COMPUTED_VALUE"""),0.4166666666666667)</f>
        <v>0.4166666667</v>
      </c>
      <c r="I2" s="54">
        <f>IFERROR(__xludf.DUMMYFUNCTION("ARRAYFORMULA(SPLIT(E2:E568,"" ""))"),43774.0)</f>
        <v>43774</v>
      </c>
      <c r="J2" s="53">
        <f>IFERROR(__xludf.DUMMYFUNCTION("""COMPUTED_VALUE"""),0.4270833333333333)</f>
        <v>0.4270833333</v>
      </c>
      <c r="K2" s="53">
        <f t="shared" ref="K2:K67" si="1">J2-H2</f>
        <v>0.01041666667</v>
      </c>
      <c r="L2" s="50" t="str">
        <f t="array" ref="L2:L568">TEXT(K2:K568,"hhmmss")</f>
        <v>001500</v>
      </c>
      <c r="M2" s="87" t="s">
        <v>723</v>
      </c>
      <c r="N2" s="62" t="str">
        <f>CONCATENATE(M2,"_",F2,"_","000000_000000.mp4")</f>
        <v>CI_5_1_f67dafe5-f84e-4ff8-bcb4-804dfba7b2a5_000000_000000.mp4</v>
      </c>
      <c r="O2" s="48"/>
      <c r="P2" s="48"/>
      <c r="Q2" s="63"/>
      <c r="R2" s="49"/>
      <c r="S2" s="49"/>
      <c r="T2" s="49"/>
    </row>
    <row r="3">
      <c r="A3" s="49" t="str">
        <f>IFERROR(__xludf.DUMMYFUNCTION("""COMPUTED_VALUE"""),"The code: Business secrets from Silicon Valley")</f>
        <v>The code: Business secrets from Silicon Valley</v>
      </c>
      <c r="B3" s="49" t="str">
        <f>IFERROR(__xludf.DUMMYFUNCTION("""COMPUTED_VALUE"""),"Corporate Innovation Summit")</f>
        <v>Corporate Innovation Summit</v>
      </c>
      <c r="C3" s="94" t="str">
        <f>IFERROR(__xludf.DUMMYFUNCTION("""COMPUTED_VALUE"""),"Margaret O'Mara")</f>
        <v>Margaret O'Mara</v>
      </c>
      <c r="D3" s="49" t="str">
        <f>IFERROR(__xludf.DUMMYFUNCTION("""COMPUTED_VALUE"""),"2019/11/05 10:15:00")</f>
        <v>2019/11/05 10:15:00</v>
      </c>
      <c r="E3" s="49" t="str">
        <f>IFERROR(__xludf.DUMMYFUNCTION("""COMPUTED_VALUE"""),"2019/11/05 10:35:00")</f>
        <v>2019/11/05 10:35:00</v>
      </c>
      <c r="F3" s="49" t="str">
        <f>IFERROR(__xludf.DUMMYFUNCTION("""COMPUTED_VALUE"""),"399de8d4-96aa-442c-a383-c8d98cbc61f6")</f>
        <v>399de8d4-96aa-442c-a383-c8d98cbc61f6</v>
      </c>
      <c r="G3" s="52">
        <f>IFERROR(__xludf.DUMMYFUNCTION("""COMPUTED_VALUE"""),43774.0)</f>
        <v>43774</v>
      </c>
      <c r="H3" s="53">
        <f>IFERROR(__xludf.DUMMYFUNCTION("""COMPUTED_VALUE"""),0.4270833333333333)</f>
        <v>0.4270833333</v>
      </c>
      <c r="I3" s="52">
        <f>IFERROR(__xludf.DUMMYFUNCTION("""COMPUTED_VALUE"""),43774.0)</f>
        <v>43774</v>
      </c>
      <c r="J3" s="53">
        <f>IFERROR(__xludf.DUMMYFUNCTION("""COMPUTED_VALUE"""),0.4409722222222222)</f>
        <v>0.4409722222</v>
      </c>
      <c r="K3" s="53">
        <f t="shared" si="1"/>
        <v>0.01388888889</v>
      </c>
      <c r="L3" s="49" t="s">
        <v>109</v>
      </c>
      <c r="M3" s="87" t="s">
        <v>725</v>
      </c>
      <c r="N3" s="49"/>
      <c r="O3" s="48"/>
      <c r="P3" s="48"/>
      <c r="Q3" s="63"/>
      <c r="R3" s="49"/>
      <c r="S3" s="49"/>
      <c r="T3" s="49"/>
    </row>
    <row r="4">
      <c r="A4" s="49" t="str">
        <f>IFERROR(__xludf.DUMMYFUNCTION("""COMPUTED_VALUE"""),"Governments' role in the fourth Industrial Revolution")</f>
        <v>Governments' role in the fourth Industrial Revolution</v>
      </c>
      <c r="B4" s="49" t="str">
        <f>IFERROR(__xludf.DUMMYFUNCTION("""COMPUTED_VALUE"""),"Corporate Innovation Summit")</f>
        <v>Corporate Innovation Summit</v>
      </c>
      <c r="C4" s="94" t="str">
        <f>IFERROR(__xludf.DUMMYFUNCTION("""COMPUTED_VALUE"""),"Andrej Kiska, Paula Ingabire and Nicholas Vinocur")</f>
        <v>Andrej Kiska, Paula Ingabire and Nicholas Vinocur</v>
      </c>
      <c r="D4" s="49" t="str">
        <f>IFERROR(__xludf.DUMMYFUNCTION("""COMPUTED_VALUE"""),"2019/11/05 10:35:00")</f>
        <v>2019/11/05 10:35:00</v>
      </c>
      <c r="E4" s="49" t="str">
        <f>IFERROR(__xludf.DUMMYFUNCTION("""COMPUTED_VALUE"""),"2019/11/05 10:55:00")</f>
        <v>2019/11/05 10:55:00</v>
      </c>
      <c r="F4" s="49" t="str">
        <f>IFERROR(__xludf.DUMMYFUNCTION("""COMPUTED_VALUE"""),"e0abd19e-f2e5-4ed4-a1e3-3370df139a42")</f>
        <v>e0abd19e-f2e5-4ed4-a1e3-3370df139a42</v>
      </c>
      <c r="G4" s="52">
        <f>IFERROR(__xludf.DUMMYFUNCTION("""COMPUTED_VALUE"""),43774.0)</f>
        <v>43774</v>
      </c>
      <c r="H4" s="53">
        <f>IFERROR(__xludf.DUMMYFUNCTION("""COMPUTED_VALUE"""),0.4409722222222222)</f>
        <v>0.4409722222</v>
      </c>
      <c r="I4" s="52">
        <f>IFERROR(__xludf.DUMMYFUNCTION("""COMPUTED_VALUE"""),43774.0)</f>
        <v>43774</v>
      </c>
      <c r="J4" s="53">
        <f>IFERROR(__xludf.DUMMYFUNCTION("""COMPUTED_VALUE"""),0.4548611111111111)</f>
        <v>0.4548611111</v>
      </c>
      <c r="K4" s="53">
        <f t="shared" si="1"/>
        <v>0.01388888889</v>
      </c>
      <c r="L4" s="49" t="s">
        <v>109</v>
      </c>
      <c r="M4" s="87" t="s">
        <v>727</v>
      </c>
      <c r="N4" s="49"/>
      <c r="O4" s="48"/>
      <c r="P4" s="48"/>
      <c r="Q4" s="63"/>
      <c r="R4" s="49"/>
      <c r="S4" s="49"/>
      <c r="T4" s="49"/>
    </row>
    <row r="5">
      <c r="A5" s="49" t="str">
        <f>IFERROR(__xludf.DUMMYFUNCTION("""COMPUTED_VALUE"""),"The cognitive enterprise")</f>
        <v>The cognitive enterprise</v>
      </c>
      <c r="B5" s="49" t="str">
        <f>IFERROR(__xludf.DUMMYFUNCTION("""COMPUTED_VALUE"""),"Corporate Innovation Summit")</f>
        <v>Corporate Innovation Summit</v>
      </c>
      <c r="C5" s="94" t="str">
        <f>IFERROR(__xludf.DUMMYFUNCTION("""COMPUTED_VALUE"""),"Mark Foster and Paul Michelman")</f>
        <v>Mark Foster and Paul Michelman</v>
      </c>
      <c r="D5" s="49" t="str">
        <f>IFERROR(__xludf.DUMMYFUNCTION("""COMPUTED_VALUE"""),"2019/11/05 10:55:00")</f>
        <v>2019/11/05 10:55:00</v>
      </c>
      <c r="E5" s="49" t="str">
        <f>IFERROR(__xludf.DUMMYFUNCTION("""COMPUTED_VALUE"""),"2019/11/05 11:15:00")</f>
        <v>2019/11/05 11:15:00</v>
      </c>
      <c r="F5" s="49" t="str">
        <f>IFERROR(__xludf.DUMMYFUNCTION("""COMPUTED_VALUE"""),"4deaa9c0-697f-41cf-80d1-ff36597371ff")</f>
        <v>4deaa9c0-697f-41cf-80d1-ff36597371ff</v>
      </c>
      <c r="G5" s="52">
        <f>IFERROR(__xludf.DUMMYFUNCTION("""COMPUTED_VALUE"""),43774.0)</f>
        <v>43774</v>
      </c>
      <c r="H5" s="53">
        <f>IFERROR(__xludf.DUMMYFUNCTION("""COMPUTED_VALUE"""),0.4548611111111111)</f>
        <v>0.4548611111</v>
      </c>
      <c r="I5" s="52">
        <f>IFERROR(__xludf.DUMMYFUNCTION("""COMPUTED_VALUE"""),43774.0)</f>
        <v>43774</v>
      </c>
      <c r="J5" s="53">
        <f>IFERROR(__xludf.DUMMYFUNCTION("""COMPUTED_VALUE"""),0.46875)</f>
        <v>0.46875</v>
      </c>
      <c r="K5" s="53">
        <f t="shared" si="1"/>
        <v>0.01388888889</v>
      </c>
      <c r="L5" s="49" t="s">
        <v>109</v>
      </c>
      <c r="M5" s="87" t="s">
        <v>729</v>
      </c>
      <c r="N5" s="49"/>
      <c r="O5" s="48"/>
      <c r="P5" s="48"/>
      <c r="Q5" s="63"/>
      <c r="R5" s="49"/>
      <c r="S5" s="49"/>
      <c r="T5" s="49"/>
    </row>
    <row r="6">
      <c r="A6" s="49" t="str">
        <f>IFERROR(__xludf.DUMMYFUNCTION("""COMPUTED_VALUE"""),"The good, the bad and the future of big data")</f>
        <v>The good, the bad and the future of big data</v>
      </c>
      <c r="B6" s="49" t="str">
        <f>IFERROR(__xludf.DUMMYFUNCTION("""COMPUTED_VALUE"""),"Corporate Innovation Summit")</f>
        <v>Corporate Innovation Summit</v>
      </c>
      <c r="C6" s="94" t="str">
        <f>IFERROR(__xludf.DUMMYFUNCTION("""COMPUTED_VALUE"""),"François-Xavier Pierrel, Steve Rempel, Lori Fink and Joaquim Bretcha Boix")</f>
        <v>François-Xavier Pierrel, Steve Rempel, Lori Fink and Joaquim Bretcha Boix</v>
      </c>
      <c r="D6" s="49" t="str">
        <f>IFERROR(__xludf.DUMMYFUNCTION("""COMPUTED_VALUE"""),"2019/11/05 11:15:00")</f>
        <v>2019/11/05 11:15:00</v>
      </c>
      <c r="E6" s="49" t="str">
        <f>IFERROR(__xludf.DUMMYFUNCTION("""COMPUTED_VALUE"""),"2019/11/05 11:40:00")</f>
        <v>2019/11/05 11:40:00</v>
      </c>
      <c r="F6" s="49" t="str">
        <f>IFERROR(__xludf.DUMMYFUNCTION("""COMPUTED_VALUE"""),"a73787b3-c882-46bc-a562-93cc0e79cec7")</f>
        <v>a73787b3-c882-46bc-a562-93cc0e79cec7</v>
      </c>
      <c r="G6" s="52">
        <f>IFERROR(__xludf.DUMMYFUNCTION("""COMPUTED_VALUE"""),43774.0)</f>
        <v>43774</v>
      </c>
      <c r="H6" s="53">
        <f>IFERROR(__xludf.DUMMYFUNCTION("""COMPUTED_VALUE"""),0.46875)</f>
        <v>0.46875</v>
      </c>
      <c r="I6" s="52">
        <f>IFERROR(__xludf.DUMMYFUNCTION("""COMPUTED_VALUE"""),43774.0)</f>
        <v>43774</v>
      </c>
      <c r="J6" s="53">
        <f>IFERROR(__xludf.DUMMYFUNCTION("""COMPUTED_VALUE"""),0.4861111111111111)</f>
        <v>0.4861111111</v>
      </c>
      <c r="K6" s="53">
        <f t="shared" si="1"/>
        <v>0.01736111111</v>
      </c>
      <c r="L6" s="49" t="s">
        <v>111</v>
      </c>
      <c r="M6" s="87" t="s">
        <v>732</v>
      </c>
      <c r="N6" s="49"/>
      <c r="O6" s="48"/>
      <c r="P6" s="48"/>
      <c r="Q6" s="63"/>
      <c r="R6" s="49"/>
      <c r="S6" s="49"/>
      <c r="T6" s="49"/>
    </row>
    <row r="7">
      <c r="A7" s="49" t="str">
        <f>IFERROR(__xludf.DUMMYFUNCTION("""COMPUTED_VALUE"""),"Blockchain: The use cases")</f>
        <v>Blockchain: The use cases</v>
      </c>
      <c r="B7" s="49" t="str">
        <f>IFERROR(__xludf.DUMMYFUNCTION("""COMPUTED_VALUE"""),"Corporate Innovation Summit")</f>
        <v>Corporate Innovation Summit</v>
      </c>
      <c r="C7" s="94" t="str">
        <f>IFERROR(__xludf.DUMMYFUNCTION("""COMPUTED_VALUE"""),"David Wachsman, David Chaum, Corentin Denoeud and Noelle Acheson")</f>
        <v>David Wachsman, David Chaum, Corentin Denoeud and Noelle Acheson</v>
      </c>
      <c r="D7" s="49" t="str">
        <f>IFERROR(__xludf.DUMMYFUNCTION("""COMPUTED_VALUE"""),"2019/11/05 11:40:00")</f>
        <v>2019/11/05 11:40:00</v>
      </c>
      <c r="E7" s="49" t="str">
        <f>IFERROR(__xludf.DUMMYFUNCTION("""COMPUTED_VALUE"""),"2019/11/05 12:00:00")</f>
        <v>2019/11/05 12:00:00</v>
      </c>
      <c r="F7" s="49" t="str">
        <f>IFERROR(__xludf.DUMMYFUNCTION("""COMPUTED_VALUE"""),"8b1d95d1-cd19-4937-92ab-d85556bb3c98")</f>
        <v>8b1d95d1-cd19-4937-92ab-d85556bb3c98</v>
      </c>
      <c r="G7" s="52">
        <f>IFERROR(__xludf.DUMMYFUNCTION("""COMPUTED_VALUE"""),43774.0)</f>
        <v>43774</v>
      </c>
      <c r="H7" s="53">
        <f>IFERROR(__xludf.DUMMYFUNCTION("""COMPUTED_VALUE"""),0.4861111111111111)</f>
        <v>0.4861111111</v>
      </c>
      <c r="I7" s="52">
        <f>IFERROR(__xludf.DUMMYFUNCTION("""COMPUTED_VALUE"""),43774.0)</f>
        <v>43774</v>
      </c>
      <c r="J7" s="53">
        <f>IFERROR(__xludf.DUMMYFUNCTION("""COMPUTED_VALUE"""),0.5)</f>
        <v>0.5</v>
      </c>
      <c r="K7" s="53">
        <f t="shared" si="1"/>
        <v>0.01388888889</v>
      </c>
      <c r="L7" s="49" t="s">
        <v>109</v>
      </c>
      <c r="M7" s="87" t="s">
        <v>734</v>
      </c>
      <c r="N7" s="49"/>
      <c r="O7" s="48"/>
      <c r="P7" s="48"/>
      <c r="Q7" s="63"/>
      <c r="R7" s="49"/>
      <c r="S7" s="49"/>
      <c r="T7" s="49"/>
    </row>
    <row r="8">
      <c r="A8" s="49" t="str">
        <f>IFERROR(__xludf.DUMMYFUNCTION("""COMPUTED_VALUE"""),"Stitching fashion back together ")</f>
        <v>Stitching fashion back together </v>
      </c>
      <c r="B8" s="49" t="str">
        <f>IFERROR(__xludf.DUMMYFUNCTION("""COMPUTED_VALUE"""),"Corporate Innovation Summit")</f>
        <v>Corporate Innovation Summit</v>
      </c>
      <c r="C8" s="94" t="str">
        <f>IFERROR(__xludf.DUMMYFUNCTION("""COMPUTED_VALUE"""),"Anne-Christine Polet")</f>
        <v>Anne-Christine Polet</v>
      </c>
      <c r="D8" s="49" t="str">
        <f>IFERROR(__xludf.DUMMYFUNCTION("""COMPUTED_VALUE"""),"2019/11/05 12:00:00")</f>
        <v>2019/11/05 12:00:00</v>
      </c>
      <c r="E8" s="49" t="str">
        <f>IFERROR(__xludf.DUMMYFUNCTION("""COMPUTED_VALUE"""),"2019/11/05 12:20:00")</f>
        <v>2019/11/05 12:20:00</v>
      </c>
      <c r="F8" s="49" t="str">
        <f>IFERROR(__xludf.DUMMYFUNCTION("""COMPUTED_VALUE"""),"a40193d7-a95e-4545-8287-f4fdbe25511a")</f>
        <v>a40193d7-a95e-4545-8287-f4fdbe25511a</v>
      </c>
      <c r="G8" s="52">
        <f>IFERROR(__xludf.DUMMYFUNCTION("""COMPUTED_VALUE"""),43774.0)</f>
        <v>43774</v>
      </c>
      <c r="H8" s="53">
        <f>IFERROR(__xludf.DUMMYFUNCTION("""COMPUTED_VALUE"""),0.5)</f>
        <v>0.5</v>
      </c>
      <c r="I8" s="52">
        <f>IFERROR(__xludf.DUMMYFUNCTION("""COMPUTED_VALUE"""),43774.0)</f>
        <v>43774</v>
      </c>
      <c r="J8" s="53">
        <f>IFERROR(__xludf.DUMMYFUNCTION("""COMPUTED_VALUE"""),0.5138888888888888)</f>
        <v>0.5138888889</v>
      </c>
      <c r="K8" s="53">
        <f t="shared" si="1"/>
        <v>0.01388888889</v>
      </c>
      <c r="L8" s="49" t="s">
        <v>109</v>
      </c>
      <c r="M8" s="87" t="s">
        <v>736</v>
      </c>
      <c r="N8" s="49"/>
      <c r="O8" s="48"/>
      <c r="P8" s="48"/>
      <c r="Q8" s="63"/>
      <c r="R8" s="49"/>
      <c r="S8" s="49"/>
      <c r="T8" s="49"/>
    </row>
    <row r="9">
      <c r="A9" s="49" t="str">
        <f>IFERROR(__xludf.DUMMYFUNCTION("""COMPUTED_VALUE"""),"Lunch break")</f>
        <v>Lunch break</v>
      </c>
      <c r="B9" s="49" t="str">
        <f>IFERROR(__xludf.DUMMYFUNCTION("""COMPUTED_VALUE"""),"Corporate Innovation Summit")</f>
        <v>Corporate Innovation Summit</v>
      </c>
      <c r="C9" s="94" t="str">
        <f>IFERROR(__xludf.DUMMYFUNCTION("""COMPUTED_VALUE"""),"")</f>
        <v/>
      </c>
      <c r="D9" s="49" t="str">
        <f>IFERROR(__xludf.DUMMYFUNCTION("""COMPUTED_VALUE"""),"2019/11/05 12:20:00")</f>
        <v>2019/11/05 12:20:00</v>
      </c>
      <c r="E9" s="49" t="str">
        <f>IFERROR(__xludf.DUMMYFUNCTION("""COMPUTED_VALUE"""),"2019/11/05 13:05:00")</f>
        <v>2019/11/05 13:05:00</v>
      </c>
      <c r="F9" s="49" t="str">
        <f>IFERROR(__xludf.DUMMYFUNCTION("""COMPUTED_VALUE"""),"7d8ded41-38a2-46b6-aa76-5860532c8e53")</f>
        <v>7d8ded41-38a2-46b6-aa76-5860532c8e53</v>
      </c>
      <c r="G9" s="52">
        <f>IFERROR(__xludf.DUMMYFUNCTION("""COMPUTED_VALUE"""),43774.0)</f>
        <v>43774</v>
      </c>
      <c r="H9" s="53">
        <f>IFERROR(__xludf.DUMMYFUNCTION("""COMPUTED_VALUE"""),0.5138888888888888)</f>
        <v>0.5138888889</v>
      </c>
      <c r="I9" s="52">
        <f>IFERROR(__xludf.DUMMYFUNCTION("""COMPUTED_VALUE"""),43774.0)</f>
        <v>43774</v>
      </c>
      <c r="J9" s="53">
        <f>IFERROR(__xludf.DUMMYFUNCTION("""COMPUTED_VALUE"""),0.5451388888888888)</f>
        <v>0.5451388889</v>
      </c>
      <c r="K9" s="53">
        <f t="shared" si="1"/>
        <v>0.03125</v>
      </c>
      <c r="L9" s="49" t="s">
        <v>127</v>
      </c>
      <c r="M9" s="49"/>
      <c r="N9" s="49"/>
      <c r="O9" s="48"/>
      <c r="P9" s="48"/>
      <c r="Q9" s="63"/>
      <c r="R9" s="49"/>
      <c r="S9" s="49"/>
      <c r="T9" s="49"/>
    </row>
    <row r="10">
      <c r="A10" s="49" t="str">
        <f>IFERROR(__xludf.DUMMYFUNCTION("""COMPUTED_VALUE"""),"Opening remarks")</f>
        <v>Opening remarks</v>
      </c>
      <c r="B10" s="49" t="str">
        <f>IFERROR(__xludf.DUMMYFUNCTION("""COMPUTED_VALUE"""),"Corporate Innovation Summit")</f>
        <v>Corporate Innovation Summit</v>
      </c>
      <c r="C10" s="94" t="str">
        <f>IFERROR(__xludf.DUMMYFUNCTION("""COMPUTED_VALUE"""),"Kristin Luck")</f>
        <v>Kristin Luck</v>
      </c>
      <c r="D10" s="49" t="str">
        <f>IFERROR(__xludf.DUMMYFUNCTION("""COMPUTED_VALUE"""),"2019/11/05 13:05:00")</f>
        <v>2019/11/05 13:05:00</v>
      </c>
      <c r="E10" s="49" t="str">
        <f>IFERROR(__xludf.DUMMYFUNCTION("""COMPUTED_VALUE"""),"2019/11/05 13:20:00")</f>
        <v>2019/11/05 13:20:00</v>
      </c>
      <c r="F10" s="49" t="str">
        <f>IFERROR(__xludf.DUMMYFUNCTION("""COMPUTED_VALUE"""),"9118afdf-2b77-483f-a104-93a2716e18af")</f>
        <v>9118afdf-2b77-483f-a104-93a2716e18af</v>
      </c>
      <c r="G10" s="52">
        <f>IFERROR(__xludf.DUMMYFUNCTION("""COMPUTED_VALUE"""),43774.0)</f>
        <v>43774</v>
      </c>
      <c r="H10" s="53">
        <f>IFERROR(__xludf.DUMMYFUNCTION("""COMPUTED_VALUE"""),0.5451388888888888)</f>
        <v>0.5451388889</v>
      </c>
      <c r="I10" s="52">
        <f>IFERROR(__xludf.DUMMYFUNCTION("""COMPUTED_VALUE"""),43774.0)</f>
        <v>43774</v>
      </c>
      <c r="J10" s="53">
        <f>IFERROR(__xludf.DUMMYFUNCTION("""COMPUTED_VALUE"""),0.5555555555555556)</f>
        <v>0.5555555556</v>
      </c>
      <c r="K10" s="53">
        <f t="shared" si="1"/>
        <v>0.01041666667</v>
      </c>
      <c r="L10" s="49" t="s">
        <v>118</v>
      </c>
      <c r="M10" s="87" t="s">
        <v>739</v>
      </c>
      <c r="N10" s="49"/>
      <c r="O10" s="48"/>
      <c r="P10" s="48"/>
      <c r="Q10" s="63"/>
      <c r="R10" s="49"/>
      <c r="S10" s="49"/>
      <c r="T10" s="49"/>
    </row>
    <row r="11">
      <c r="A11" s="49" t="str">
        <f>IFERROR(__xludf.DUMMYFUNCTION("""COMPUTED_VALUE"""),"Innovating against crisis")</f>
        <v>Innovating against crisis</v>
      </c>
      <c r="B11" s="49" t="str">
        <f>IFERROR(__xludf.DUMMYFUNCTION("""COMPUTED_VALUE"""),"Corporate Innovation Summit")</f>
        <v>Corporate Innovation Summit</v>
      </c>
      <c r="C11" s="94" t="str">
        <f>IFERROR(__xludf.DUMMYFUNCTION("""COMPUTED_VALUE"""),"Ricardo Vargas")</f>
        <v>Ricardo Vargas</v>
      </c>
      <c r="D11" s="49" t="str">
        <f>IFERROR(__xludf.DUMMYFUNCTION("""COMPUTED_VALUE"""),"2019/11/05 13:20:00")</f>
        <v>2019/11/05 13:20:00</v>
      </c>
      <c r="E11" s="49" t="str">
        <f>IFERROR(__xludf.DUMMYFUNCTION("""COMPUTED_VALUE"""),"2019/11/05 13:40:00")</f>
        <v>2019/11/05 13:40:00</v>
      </c>
      <c r="F11" s="49" t="str">
        <f>IFERROR(__xludf.DUMMYFUNCTION("""COMPUTED_VALUE"""),"4da5b880-2153-40a4-8868-22b185a3dd98")</f>
        <v>4da5b880-2153-40a4-8868-22b185a3dd98</v>
      </c>
      <c r="G11" s="52">
        <f>IFERROR(__xludf.DUMMYFUNCTION("""COMPUTED_VALUE"""),43774.0)</f>
        <v>43774</v>
      </c>
      <c r="H11" s="53">
        <f>IFERROR(__xludf.DUMMYFUNCTION("""COMPUTED_VALUE"""),0.5555555555555556)</f>
        <v>0.5555555556</v>
      </c>
      <c r="I11" s="52">
        <f>IFERROR(__xludf.DUMMYFUNCTION("""COMPUTED_VALUE"""),43774.0)</f>
        <v>43774</v>
      </c>
      <c r="J11" s="53">
        <f>IFERROR(__xludf.DUMMYFUNCTION("""COMPUTED_VALUE"""),0.5694444444444444)</f>
        <v>0.5694444444</v>
      </c>
      <c r="K11" s="53">
        <f t="shared" si="1"/>
        <v>0.01388888889</v>
      </c>
      <c r="L11" s="49" t="s">
        <v>109</v>
      </c>
      <c r="M11" s="87" t="s">
        <v>741</v>
      </c>
      <c r="N11" s="49"/>
      <c r="O11" s="48"/>
      <c r="P11" s="48"/>
      <c r="Q11" s="63"/>
      <c r="R11" s="49"/>
      <c r="S11" s="49"/>
      <c r="T11" s="49"/>
    </row>
    <row r="12">
      <c r="A12" s="49" t="str">
        <f>IFERROR(__xludf.DUMMYFUNCTION("""COMPUTED_VALUE"""),"Powering disruptive innovation")</f>
        <v>Powering disruptive innovation</v>
      </c>
      <c r="B12" s="49" t="str">
        <f>IFERROR(__xludf.DUMMYFUNCTION("""COMPUTED_VALUE"""),"Corporate Innovation Summit")</f>
        <v>Corporate Innovation Summit</v>
      </c>
      <c r="C12" s="94" t="str">
        <f>IFERROR(__xludf.DUMMYFUNCTION("""COMPUTED_VALUE"""),"Paul Walsh")</f>
        <v>Paul Walsh</v>
      </c>
      <c r="D12" s="49" t="str">
        <f>IFERROR(__xludf.DUMMYFUNCTION("""COMPUTED_VALUE"""),"2019/11/05 13:40:00")</f>
        <v>2019/11/05 13:40:00</v>
      </c>
      <c r="E12" s="49" t="str">
        <f>IFERROR(__xludf.DUMMYFUNCTION("""COMPUTED_VALUE"""),"2019/11/05 14:00:00")</f>
        <v>2019/11/05 14:00:00</v>
      </c>
      <c r="F12" s="49" t="str">
        <f>IFERROR(__xludf.DUMMYFUNCTION("""COMPUTED_VALUE"""),"8cb35e11-4183-4853-9d46-c1dca65a3b36")</f>
        <v>8cb35e11-4183-4853-9d46-c1dca65a3b36</v>
      </c>
      <c r="G12" s="52">
        <f>IFERROR(__xludf.DUMMYFUNCTION("""COMPUTED_VALUE"""),43774.0)</f>
        <v>43774</v>
      </c>
      <c r="H12" s="53">
        <f>IFERROR(__xludf.DUMMYFUNCTION("""COMPUTED_VALUE"""),0.5694444444444444)</f>
        <v>0.5694444444</v>
      </c>
      <c r="I12" s="52">
        <f>IFERROR(__xludf.DUMMYFUNCTION("""COMPUTED_VALUE"""),43774.0)</f>
        <v>43774</v>
      </c>
      <c r="J12" s="53">
        <f>IFERROR(__xludf.DUMMYFUNCTION("""COMPUTED_VALUE"""),0.5833333333333334)</f>
        <v>0.5833333333</v>
      </c>
      <c r="K12" s="53">
        <f t="shared" si="1"/>
        <v>0.01388888889</v>
      </c>
      <c r="L12" s="49" t="s">
        <v>109</v>
      </c>
      <c r="M12" s="87" t="s">
        <v>743</v>
      </c>
      <c r="N12" s="49"/>
      <c r="O12" s="48"/>
      <c r="P12" s="48"/>
      <c r="Q12" s="63"/>
      <c r="R12" s="49"/>
      <c r="S12" s="49"/>
      <c r="T12" s="49"/>
    </row>
    <row r="13">
      <c r="A13" s="49" t="str">
        <f>IFERROR(__xludf.DUMMYFUNCTION("""COMPUTED_VALUE"""),"Mindsets beyond MVPs: Innovating at scale ")</f>
        <v>Mindsets beyond MVPs: Innovating at scale </v>
      </c>
      <c r="B13" s="49" t="str">
        <f>IFERROR(__xludf.DUMMYFUNCTION("""COMPUTED_VALUE"""),"Corporate Innovation Summit")</f>
        <v>Corporate Innovation Summit</v>
      </c>
      <c r="C13" s="94" t="str">
        <f>IFERROR(__xludf.DUMMYFUNCTION("""COMPUTED_VALUE"""),"Narry Singh")</f>
        <v>Narry Singh</v>
      </c>
      <c r="D13" s="49" t="str">
        <f>IFERROR(__xludf.DUMMYFUNCTION("""COMPUTED_VALUE"""),"2019/11/05 14:00:00")</f>
        <v>2019/11/05 14:00:00</v>
      </c>
      <c r="E13" s="49" t="str">
        <f>IFERROR(__xludf.DUMMYFUNCTION("""COMPUTED_VALUE"""),"2019/11/05 14:20:00")</f>
        <v>2019/11/05 14:20:00</v>
      </c>
      <c r="F13" s="49" t="str">
        <f>IFERROR(__xludf.DUMMYFUNCTION("""COMPUTED_VALUE"""),"a81d16fb-cafe-457b-89db-d8e73022ef0c")</f>
        <v>a81d16fb-cafe-457b-89db-d8e73022ef0c</v>
      </c>
      <c r="G13" s="52">
        <f>IFERROR(__xludf.DUMMYFUNCTION("""COMPUTED_VALUE"""),43774.0)</f>
        <v>43774</v>
      </c>
      <c r="H13" s="53">
        <f>IFERROR(__xludf.DUMMYFUNCTION("""COMPUTED_VALUE"""),0.5833333333333334)</f>
        <v>0.5833333333</v>
      </c>
      <c r="I13" s="52">
        <f>IFERROR(__xludf.DUMMYFUNCTION("""COMPUTED_VALUE"""),43774.0)</f>
        <v>43774</v>
      </c>
      <c r="J13" s="53">
        <f>IFERROR(__xludf.DUMMYFUNCTION("""COMPUTED_VALUE"""),0.5972222222222222)</f>
        <v>0.5972222222</v>
      </c>
      <c r="K13" s="53">
        <f t="shared" si="1"/>
        <v>0.01388888889</v>
      </c>
      <c r="L13" s="49" t="s">
        <v>109</v>
      </c>
      <c r="M13" s="87" t="s">
        <v>744</v>
      </c>
      <c r="N13" s="49"/>
      <c r="O13" s="48"/>
      <c r="P13" s="48"/>
      <c r="Q13" s="63"/>
      <c r="R13" s="49"/>
      <c r="S13" s="49"/>
      <c r="T13" s="49"/>
    </row>
    <row r="14">
      <c r="A14" s="49" t="str">
        <f>IFERROR(__xludf.DUMMYFUNCTION("""COMPUTED_VALUE"""),"Driving digital transformation through experience")</f>
        <v>Driving digital transformation through experience</v>
      </c>
      <c r="B14" s="49" t="str">
        <f>IFERROR(__xludf.DUMMYFUNCTION("""COMPUTED_VALUE"""),"Corporate Innovation Summit")</f>
        <v>Corporate Innovation Summit</v>
      </c>
      <c r="C14" s="94" t="str">
        <f>IFERROR(__xludf.DUMMYFUNCTION("""COMPUTED_VALUE"""),"Lidia Fonseca, Michael Treff and Paul Michelman")</f>
        <v>Lidia Fonseca, Michael Treff and Paul Michelman</v>
      </c>
      <c r="D14" s="49" t="str">
        <f>IFERROR(__xludf.DUMMYFUNCTION("""COMPUTED_VALUE"""),"2019/11/05 14:20:00")</f>
        <v>2019/11/05 14:20:00</v>
      </c>
      <c r="E14" s="49" t="str">
        <f>IFERROR(__xludf.DUMMYFUNCTION("""COMPUTED_VALUE"""),"2019/11/05 14:40:00")</f>
        <v>2019/11/05 14:40:00</v>
      </c>
      <c r="F14" s="49" t="str">
        <f>IFERROR(__xludf.DUMMYFUNCTION("""COMPUTED_VALUE"""),"fed1c503-24ef-49af-9d61-26944768d304")</f>
        <v>fed1c503-24ef-49af-9d61-26944768d304</v>
      </c>
      <c r="G14" s="52">
        <f>IFERROR(__xludf.DUMMYFUNCTION("""COMPUTED_VALUE"""),43774.0)</f>
        <v>43774</v>
      </c>
      <c r="H14" s="53">
        <f>IFERROR(__xludf.DUMMYFUNCTION("""COMPUTED_VALUE"""),0.5972222222222222)</f>
        <v>0.5972222222</v>
      </c>
      <c r="I14" s="52">
        <f>IFERROR(__xludf.DUMMYFUNCTION("""COMPUTED_VALUE"""),43774.0)</f>
        <v>43774</v>
      </c>
      <c r="J14" s="53">
        <f>IFERROR(__xludf.DUMMYFUNCTION("""COMPUTED_VALUE"""),0.6111111111111112)</f>
        <v>0.6111111111</v>
      </c>
      <c r="K14" s="53">
        <f t="shared" si="1"/>
        <v>0.01388888889</v>
      </c>
      <c r="L14" s="49" t="s">
        <v>109</v>
      </c>
      <c r="M14" s="87" t="s">
        <v>745</v>
      </c>
      <c r="N14" s="49"/>
      <c r="O14" s="48"/>
      <c r="P14" s="48"/>
      <c r="Q14" s="63"/>
      <c r="R14" s="49"/>
      <c r="S14" s="49"/>
      <c r="T14" s="49"/>
    </row>
    <row r="15">
      <c r="A15" s="49" t="str">
        <f>IFERROR(__xludf.DUMMYFUNCTION("""COMPUTED_VALUE"""),"Building an ecosystem for big growth")</f>
        <v>Building an ecosystem for big growth</v>
      </c>
      <c r="B15" s="49" t="str">
        <f>IFERROR(__xludf.DUMMYFUNCTION("""COMPUTED_VALUE"""),"Corporate Innovation Summit")</f>
        <v>Corporate Innovation Summit</v>
      </c>
      <c r="C15" s="94" t="str">
        <f>IFERROR(__xludf.DUMMYFUNCTION("""COMPUTED_VALUE"""),"George Tee, Kat Borlongan, Paula Ingabire and Margaret O'Mara")</f>
        <v>George Tee, Kat Borlongan, Paula Ingabire and Margaret O'Mara</v>
      </c>
      <c r="D15" s="49" t="str">
        <f>IFERROR(__xludf.DUMMYFUNCTION("""COMPUTED_VALUE"""),"2019/11/05 14:40:00")</f>
        <v>2019/11/05 14:40:00</v>
      </c>
      <c r="E15" s="49" t="str">
        <f>IFERROR(__xludf.DUMMYFUNCTION("""COMPUTED_VALUE"""),"2019/11/05 15:00:00")</f>
        <v>2019/11/05 15:00:00</v>
      </c>
      <c r="F15" s="49" t="str">
        <f>IFERROR(__xludf.DUMMYFUNCTION("""COMPUTED_VALUE"""),"6ecc4201-82fb-4356-aba6-a4d145ee7f6b")</f>
        <v>6ecc4201-82fb-4356-aba6-a4d145ee7f6b</v>
      </c>
      <c r="G15" s="52">
        <f>IFERROR(__xludf.DUMMYFUNCTION("""COMPUTED_VALUE"""),43774.0)</f>
        <v>43774</v>
      </c>
      <c r="H15" s="53">
        <f>IFERROR(__xludf.DUMMYFUNCTION("""COMPUTED_VALUE"""),0.6111111111111112)</f>
        <v>0.6111111111</v>
      </c>
      <c r="I15" s="52">
        <f>IFERROR(__xludf.DUMMYFUNCTION("""COMPUTED_VALUE"""),43774.0)</f>
        <v>43774</v>
      </c>
      <c r="J15" s="53">
        <f>IFERROR(__xludf.DUMMYFUNCTION("""COMPUTED_VALUE"""),0.625)</f>
        <v>0.625</v>
      </c>
      <c r="K15" s="53">
        <f t="shared" si="1"/>
        <v>0.01388888889</v>
      </c>
      <c r="L15" s="49" t="s">
        <v>109</v>
      </c>
      <c r="M15" s="87" t="s">
        <v>747</v>
      </c>
      <c r="N15" s="49"/>
      <c r="O15" s="48"/>
      <c r="P15" s="48"/>
      <c r="Q15" s="63"/>
      <c r="R15" s="49"/>
      <c r="S15" s="49"/>
      <c r="T15" s="49"/>
    </row>
    <row r="16">
      <c r="A16" s="49" t="str">
        <f>IFERROR(__xludf.DUMMYFUNCTION("""COMPUTED_VALUE"""),"On the brink of catastrophe: A digital 21st century without Europe")</f>
        <v>On the brink of catastrophe: A digital 21st century without Europe</v>
      </c>
      <c r="B16" s="49" t="str">
        <f>IFERROR(__xludf.DUMMYFUNCTION("""COMPUTED_VALUE"""),"Corporate Innovation Summit")</f>
        <v>Corporate Innovation Summit</v>
      </c>
      <c r="C16" s="94" t="str">
        <f>IFERROR(__xludf.DUMMYFUNCTION("""COMPUTED_VALUE"""),"François Candelon")</f>
        <v>François Candelon</v>
      </c>
      <c r="D16" s="49" t="str">
        <f>IFERROR(__xludf.DUMMYFUNCTION("""COMPUTED_VALUE"""),"2019/11/05 15:00:00")</f>
        <v>2019/11/05 15:00:00</v>
      </c>
      <c r="E16" s="49" t="str">
        <f>IFERROR(__xludf.DUMMYFUNCTION("""COMPUTED_VALUE"""),"2019/11/05 15:15:00")</f>
        <v>2019/11/05 15:15:00</v>
      </c>
      <c r="F16" s="49" t="str">
        <f>IFERROR(__xludf.DUMMYFUNCTION("""COMPUTED_VALUE"""),"af1ef915-e7b5-42d0-84ab-567adea8be01")</f>
        <v>af1ef915-e7b5-42d0-84ab-567adea8be01</v>
      </c>
      <c r="G16" s="52">
        <f>IFERROR(__xludf.DUMMYFUNCTION("""COMPUTED_VALUE"""),43774.0)</f>
        <v>43774</v>
      </c>
      <c r="H16" s="53">
        <f>IFERROR(__xludf.DUMMYFUNCTION("""COMPUTED_VALUE"""),0.625)</f>
        <v>0.625</v>
      </c>
      <c r="I16" s="52">
        <f>IFERROR(__xludf.DUMMYFUNCTION("""COMPUTED_VALUE"""),43774.0)</f>
        <v>43774</v>
      </c>
      <c r="J16" s="53">
        <f>IFERROR(__xludf.DUMMYFUNCTION("""COMPUTED_VALUE"""),0.6354166666666666)</f>
        <v>0.6354166667</v>
      </c>
      <c r="K16" s="53">
        <f t="shared" si="1"/>
        <v>0.01041666667</v>
      </c>
      <c r="L16" s="49" t="s">
        <v>118</v>
      </c>
      <c r="M16" s="87" t="s">
        <v>749</v>
      </c>
      <c r="N16" s="49"/>
      <c r="O16" s="48"/>
      <c r="P16" s="48"/>
      <c r="Q16" s="63"/>
      <c r="R16" s="49"/>
      <c r="S16" s="49"/>
      <c r="T16" s="49"/>
    </row>
    <row r="17">
      <c r="A17" s="49" t="str">
        <f>IFERROR(__xludf.DUMMYFUNCTION("""COMPUTED_VALUE"""),"Tech secrets of the superbrands")</f>
        <v>Tech secrets of the superbrands</v>
      </c>
      <c r="B17" s="49" t="str">
        <f>IFERROR(__xludf.DUMMYFUNCTION("""COMPUTED_VALUE"""),"Corporate Innovation Summit")</f>
        <v>Corporate Innovation Summit</v>
      </c>
      <c r="C17" s="94" t="str">
        <f>IFERROR(__xludf.DUMMYFUNCTION("""COMPUTED_VALUE"""),"Alan Boehme, Chris Perry, Sairah Ashman and Michelle Castillo")</f>
        <v>Alan Boehme, Chris Perry, Sairah Ashman and Michelle Castillo</v>
      </c>
      <c r="D17" s="49" t="str">
        <f>IFERROR(__xludf.DUMMYFUNCTION("""COMPUTED_VALUE"""),"2019/11/05 15:15:00")</f>
        <v>2019/11/05 15:15:00</v>
      </c>
      <c r="E17" s="49" t="str">
        <f>IFERROR(__xludf.DUMMYFUNCTION("""COMPUTED_VALUE"""),"2019/11/05 15:35:00")</f>
        <v>2019/11/05 15:35:00</v>
      </c>
      <c r="F17" s="49" t="str">
        <f>IFERROR(__xludf.DUMMYFUNCTION("""COMPUTED_VALUE"""),"0909ca5d-0c4e-4781-a377-6c604d53ebae")</f>
        <v>0909ca5d-0c4e-4781-a377-6c604d53ebae</v>
      </c>
      <c r="G17" s="52">
        <f>IFERROR(__xludf.DUMMYFUNCTION("""COMPUTED_VALUE"""),43774.0)</f>
        <v>43774</v>
      </c>
      <c r="H17" s="53">
        <f>IFERROR(__xludf.DUMMYFUNCTION("""COMPUTED_VALUE"""),0.6354166666666666)</f>
        <v>0.6354166667</v>
      </c>
      <c r="I17" s="52">
        <f>IFERROR(__xludf.DUMMYFUNCTION("""COMPUTED_VALUE"""),43774.0)</f>
        <v>43774</v>
      </c>
      <c r="J17" s="53">
        <f>IFERROR(__xludf.DUMMYFUNCTION("""COMPUTED_VALUE"""),0.6493055555555556)</f>
        <v>0.6493055556</v>
      </c>
      <c r="K17" s="53">
        <f t="shared" si="1"/>
        <v>0.01388888889</v>
      </c>
      <c r="L17" s="49" t="s">
        <v>109</v>
      </c>
      <c r="M17" s="87" t="s">
        <v>752</v>
      </c>
      <c r="N17" s="49"/>
      <c r="O17" s="48"/>
      <c r="P17" s="48"/>
      <c r="Q17" s="63"/>
      <c r="R17" s="49"/>
      <c r="S17" s="49"/>
      <c r="T17" s="49"/>
    </row>
    <row r="18">
      <c r="A18" s="49" t="str">
        <f>IFERROR(__xludf.DUMMYFUNCTION("""COMPUTED_VALUE"""),"The Height of Disruption")</f>
        <v>The Height of Disruption</v>
      </c>
      <c r="B18" s="49" t="str">
        <f>IFERROR(__xludf.DUMMYFUNCTION("""COMPUTED_VALUE"""),"Corporate Innovation Summit")</f>
        <v>Corporate Innovation Summit</v>
      </c>
      <c r="C18" s="94" t="str">
        <f>IFERROR(__xludf.DUMMYFUNCTION("""COMPUTED_VALUE"""),"Jean-Marie Dru")</f>
        <v>Jean-Marie Dru</v>
      </c>
      <c r="D18" s="49" t="str">
        <f>IFERROR(__xludf.DUMMYFUNCTION("""COMPUTED_VALUE"""),"2019/11/05 15:35:00")</f>
        <v>2019/11/05 15:35:00</v>
      </c>
      <c r="E18" s="49" t="str">
        <f>IFERROR(__xludf.DUMMYFUNCTION("""COMPUTED_VALUE"""),"2019/11/05 15:55:00")</f>
        <v>2019/11/05 15:55:00</v>
      </c>
      <c r="F18" s="49" t="str">
        <f>IFERROR(__xludf.DUMMYFUNCTION("""COMPUTED_VALUE"""),"0c04eae5-3135-4e48-9e2f-336649101992")</f>
        <v>0c04eae5-3135-4e48-9e2f-336649101992</v>
      </c>
      <c r="G18" s="52">
        <f>IFERROR(__xludf.DUMMYFUNCTION("""COMPUTED_VALUE"""),43774.0)</f>
        <v>43774</v>
      </c>
      <c r="H18" s="53">
        <f>IFERROR(__xludf.DUMMYFUNCTION("""COMPUTED_VALUE"""),0.6493055555555556)</f>
        <v>0.6493055556</v>
      </c>
      <c r="I18" s="52">
        <f>IFERROR(__xludf.DUMMYFUNCTION("""COMPUTED_VALUE"""),43774.0)</f>
        <v>43774</v>
      </c>
      <c r="J18" s="53">
        <f>IFERROR(__xludf.DUMMYFUNCTION("""COMPUTED_VALUE"""),0.6631944444444444)</f>
        <v>0.6631944444</v>
      </c>
      <c r="K18" s="53">
        <f t="shared" si="1"/>
        <v>0.01388888889</v>
      </c>
      <c r="L18" s="49" t="s">
        <v>109</v>
      </c>
      <c r="M18" s="87" t="s">
        <v>754</v>
      </c>
      <c r="N18" s="49"/>
      <c r="O18" s="48"/>
      <c r="P18" s="48"/>
      <c r="Q18" s="63"/>
      <c r="R18" s="49"/>
      <c r="S18" s="49"/>
      <c r="T18" s="49"/>
    </row>
    <row r="19">
      <c r="A19" s="49" t="str">
        <f>IFERROR(__xludf.DUMMYFUNCTION("""COMPUTED_VALUE"""),"Opening remarks")</f>
        <v>Opening remarks</v>
      </c>
      <c r="B19" s="49" t="str">
        <f>IFERROR(__xludf.DUMMYFUNCTION("""COMPUTED_VALUE"""),"Corporate Innovation Summit")</f>
        <v>Corporate Innovation Summit</v>
      </c>
      <c r="C19" s="94" t="str">
        <f>IFERROR(__xludf.DUMMYFUNCTION("""COMPUTED_VALUE"""),"Diogo Sousa")</f>
        <v>Diogo Sousa</v>
      </c>
      <c r="D19" s="49" t="str">
        <f>IFERROR(__xludf.DUMMYFUNCTION("""COMPUTED_VALUE"""),"2019/11/06 10:15:00")</f>
        <v>2019/11/06 10:15:00</v>
      </c>
      <c r="E19" s="49" t="str">
        <f>IFERROR(__xludf.DUMMYFUNCTION("""COMPUTED_VALUE"""),"2019/11/06 10:30:00")</f>
        <v>2019/11/06 10:30:00</v>
      </c>
      <c r="F19" s="49" t="str">
        <f>IFERROR(__xludf.DUMMYFUNCTION("""COMPUTED_VALUE"""),"145259d2-ccb5-41ce-9ab9-b98883051820")</f>
        <v>145259d2-ccb5-41ce-9ab9-b98883051820</v>
      </c>
      <c r="G19" s="52">
        <f>IFERROR(__xludf.DUMMYFUNCTION("""COMPUTED_VALUE"""),43775.0)</f>
        <v>43775</v>
      </c>
      <c r="H19" s="53">
        <f>IFERROR(__xludf.DUMMYFUNCTION("""COMPUTED_VALUE"""),0.4270833333333333)</f>
        <v>0.4270833333</v>
      </c>
      <c r="I19" s="52">
        <f>IFERROR(__xludf.DUMMYFUNCTION("""COMPUTED_VALUE"""),43775.0)</f>
        <v>43775</v>
      </c>
      <c r="J19" s="53">
        <f>IFERROR(__xludf.DUMMYFUNCTION("""COMPUTED_VALUE"""),0.4375)</f>
        <v>0.4375</v>
      </c>
      <c r="K19" s="53">
        <f t="shared" si="1"/>
        <v>0.01041666667</v>
      </c>
      <c r="L19" s="49" t="s">
        <v>118</v>
      </c>
      <c r="M19" s="87" t="s">
        <v>756</v>
      </c>
      <c r="N19" s="49"/>
      <c r="O19" s="48"/>
      <c r="P19" s="48"/>
      <c r="Q19" s="63"/>
      <c r="R19" s="49"/>
      <c r="S19" s="49"/>
      <c r="T19" s="49"/>
    </row>
    <row r="20">
      <c r="A20" s="49" t="str">
        <f>IFERROR(__xludf.DUMMYFUNCTION("""COMPUTED_VALUE"""),"Hello digital, goodbye friction: How an iconic American retailer has “gone tech”")</f>
        <v>Hello digital, goodbye friction: How an iconic American retailer has “gone tech”</v>
      </c>
      <c r="B20" s="49" t="str">
        <f>IFERROR(__xludf.DUMMYFUNCTION("""COMPUTED_VALUE"""),"Corporate Innovation Summit")</f>
        <v>Corporate Innovation Summit</v>
      </c>
      <c r="C20" s="94" t="str">
        <f>IFERROR(__xludf.DUMMYFUNCTION("""COMPUTED_VALUE"""),"Jamie Iannone and Alyssa Newcomb")</f>
        <v>Jamie Iannone and Alyssa Newcomb</v>
      </c>
      <c r="D20" s="49" t="str">
        <f>IFERROR(__xludf.DUMMYFUNCTION("""COMPUTED_VALUE"""),"2019/11/06 10:30:00")</f>
        <v>2019/11/06 10:30:00</v>
      </c>
      <c r="E20" s="49" t="str">
        <f>IFERROR(__xludf.DUMMYFUNCTION("""COMPUTED_VALUE"""),"2019/11/06 10:45:00")</f>
        <v>2019/11/06 10:45:00</v>
      </c>
      <c r="F20" s="49" t="str">
        <f>IFERROR(__xludf.DUMMYFUNCTION("""COMPUTED_VALUE"""),"d2214fc6-73d6-4763-a9b6-9af196749714")</f>
        <v>d2214fc6-73d6-4763-a9b6-9af196749714</v>
      </c>
      <c r="G20" s="52">
        <f>IFERROR(__xludf.DUMMYFUNCTION("""COMPUTED_VALUE"""),43775.0)</f>
        <v>43775</v>
      </c>
      <c r="H20" s="53">
        <f>IFERROR(__xludf.DUMMYFUNCTION("""COMPUTED_VALUE"""),0.4375)</f>
        <v>0.4375</v>
      </c>
      <c r="I20" s="52">
        <f>IFERROR(__xludf.DUMMYFUNCTION("""COMPUTED_VALUE"""),43775.0)</f>
        <v>43775</v>
      </c>
      <c r="J20" s="53">
        <f>IFERROR(__xludf.DUMMYFUNCTION("""COMPUTED_VALUE"""),0.4479166666666667)</f>
        <v>0.4479166667</v>
      </c>
      <c r="K20" s="53">
        <f t="shared" si="1"/>
        <v>0.01041666667</v>
      </c>
      <c r="L20" s="49" t="s">
        <v>118</v>
      </c>
      <c r="M20" s="87" t="s">
        <v>758</v>
      </c>
      <c r="N20" s="49"/>
      <c r="O20" s="48"/>
      <c r="P20" s="48"/>
      <c r="Q20" s="63"/>
      <c r="R20" s="49"/>
      <c r="S20" s="49"/>
      <c r="T20" s="49"/>
    </row>
    <row r="21">
      <c r="A21" s="49" t="str">
        <f>IFERROR(__xludf.DUMMYFUNCTION("""COMPUTED_VALUE"""),"Delivering to the next level")</f>
        <v>Delivering to the next level</v>
      </c>
      <c r="B21" s="49" t="str">
        <f>IFERROR(__xludf.DUMMYFUNCTION("""COMPUTED_VALUE"""),"Corporate Innovation Summit")</f>
        <v>Corporate Innovation Summit</v>
      </c>
      <c r="C21" s="94" t="str">
        <f>IFERROR(__xludf.DUMMYFUNCTION("""COMPUTED_VALUE"""),"Martin Kolbe")</f>
        <v>Martin Kolbe</v>
      </c>
      <c r="D21" s="49" t="str">
        <f>IFERROR(__xludf.DUMMYFUNCTION("""COMPUTED_VALUE"""),"2019/11/06 10:45:00")</f>
        <v>2019/11/06 10:45:00</v>
      </c>
      <c r="E21" s="49" t="str">
        <f>IFERROR(__xludf.DUMMYFUNCTION("""COMPUTED_VALUE"""),"2019/11/06 11:05:00")</f>
        <v>2019/11/06 11:05:00</v>
      </c>
      <c r="F21" s="49" t="str">
        <f>IFERROR(__xludf.DUMMYFUNCTION("""COMPUTED_VALUE"""),"30de7968-f8a8-4392-8a75-a2d96fe1f170")</f>
        <v>30de7968-f8a8-4392-8a75-a2d96fe1f170</v>
      </c>
      <c r="G21" s="52">
        <f>IFERROR(__xludf.DUMMYFUNCTION("""COMPUTED_VALUE"""),43775.0)</f>
        <v>43775</v>
      </c>
      <c r="H21" s="53">
        <f>IFERROR(__xludf.DUMMYFUNCTION("""COMPUTED_VALUE"""),0.4479166666666667)</f>
        <v>0.4479166667</v>
      </c>
      <c r="I21" s="52">
        <f>IFERROR(__xludf.DUMMYFUNCTION("""COMPUTED_VALUE"""),43775.0)</f>
        <v>43775</v>
      </c>
      <c r="J21" s="53">
        <f>IFERROR(__xludf.DUMMYFUNCTION("""COMPUTED_VALUE"""),0.4618055555555556)</f>
        <v>0.4618055556</v>
      </c>
      <c r="K21" s="53">
        <f t="shared" si="1"/>
        <v>0.01388888889</v>
      </c>
      <c r="L21" s="49" t="s">
        <v>109</v>
      </c>
      <c r="M21" s="87" t="s">
        <v>760</v>
      </c>
      <c r="N21" s="49"/>
      <c r="O21" s="48"/>
      <c r="P21" s="48"/>
      <c r="Q21" s="63"/>
      <c r="R21" s="49"/>
      <c r="S21" s="49"/>
      <c r="T21" s="49"/>
    </row>
    <row r="22">
      <c r="A22" s="49" t="str">
        <f>IFERROR(__xludf.DUMMYFUNCTION("""COMPUTED_VALUE"""),"Avon's digital makeover")</f>
        <v>Avon's digital makeover</v>
      </c>
      <c r="B22" s="49" t="str">
        <f>IFERROR(__xludf.DUMMYFUNCTION("""COMPUTED_VALUE"""),"Corporate Innovation Summit")</f>
        <v>Corporate Innovation Summit</v>
      </c>
      <c r="C22" s="94" t="str">
        <f>IFERROR(__xludf.DUMMYFUNCTION("""COMPUTED_VALUE"""),"Benedetto Conversano and Bruno Guicardi")</f>
        <v>Benedetto Conversano and Bruno Guicardi</v>
      </c>
      <c r="D22" s="49" t="str">
        <f>IFERROR(__xludf.DUMMYFUNCTION("""COMPUTED_VALUE"""),"2019/11/06 11:05:00")</f>
        <v>2019/11/06 11:05:00</v>
      </c>
      <c r="E22" s="49" t="str">
        <f>IFERROR(__xludf.DUMMYFUNCTION("""COMPUTED_VALUE"""),"2019/11/06 11:25:00")</f>
        <v>2019/11/06 11:25:00</v>
      </c>
      <c r="F22" s="49" t="str">
        <f>IFERROR(__xludf.DUMMYFUNCTION("""COMPUTED_VALUE"""),"e7eecd57-22eb-44a9-8cf7-a5d270877bde")</f>
        <v>e7eecd57-22eb-44a9-8cf7-a5d270877bde</v>
      </c>
      <c r="G22" s="52">
        <f>IFERROR(__xludf.DUMMYFUNCTION("""COMPUTED_VALUE"""),43775.0)</f>
        <v>43775</v>
      </c>
      <c r="H22" s="53">
        <f>IFERROR(__xludf.DUMMYFUNCTION("""COMPUTED_VALUE"""),0.4618055555555556)</f>
        <v>0.4618055556</v>
      </c>
      <c r="I22" s="52">
        <f>IFERROR(__xludf.DUMMYFUNCTION("""COMPUTED_VALUE"""),43775.0)</f>
        <v>43775</v>
      </c>
      <c r="J22" s="53">
        <f>IFERROR(__xludf.DUMMYFUNCTION("""COMPUTED_VALUE"""),0.4756944444444444)</f>
        <v>0.4756944444</v>
      </c>
      <c r="K22" s="53">
        <f t="shared" si="1"/>
        <v>0.01388888889</v>
      </c>
      <c r="L22" s="49" t="s">
        <v>109</v>
      </c>
      <c r="M22" s="87" t="s">
        <v>761</v>
      </c>
      <c r="N22" s="49"/>
      <c r="O22" s="48"/>
      <c r="P22" s="48"/>
      <c r="Q22" s="63"/>
      <c r="R22" s="49"/>
      <c r="S22" s="49"/>
      <c r="T22" s="49"/>
    </row>
    <row r="23">
      <c r="A23" s="49" t="str">
        <f>IFERROR(__xludf.DUMMYFUNCTION("""COMPUTED_VALUE"""),"The challenges of innovating in a big bank – how to operate like a fintech?")</f>
        <v>The challenges of innovating in a big bank – how to operate like a fintech?</v>
      </c>
      <c r="B23" s="49" t="str">
        <f>IFERROR(__xludf.DUMMYFUNCTION("""COMPUTED_VALUE"""),"Corporate Innovation Summit")</f>
        <v>Corporate Innovation Summit</v>
      </c>
      <c r="C23" s="94" t="str">
        <f>IFERROR(__xludf.DUMMYFUNCTION("""COMPUTED_VALUE"""),"Ricardo Madeira, Jakub Piotrowski and Rosália Amorim")</f>
        <v>Ricardo Madeira, Jakub Piotrowski and Rosália Amorim</v>
      </c>
      <c r="D23" s="49" t="str">
        <f>IFERROR(__xludf.DUMMYFUNCTION("""COMPUTED_VALUE"""),"2019/11/06 11:25:00")</f>
        <v>2019/11/06 11:25:00</v>
      </c>
      <c r="E23" s="49" t="str">
        <f>IFERROR(__xludf.DUMMYFUNCTION("""COMPUTED_VALUE"""),"2019/11/06 11:45:00")</f>
        <v>2019/11/06 11:45:00</v>
      </c>
      <c r="F23" s="49" t="str">
        <f>IFERROR(__xludf.DUMMYFUNCTION("""COMPUTED_VALUE"""),"258b9338-ff99-45af-b822-895469ea3277")</f>
        <v>258b9338-ff99-45af-b822-895469ea3277</v>
      </c>
      <c r="G23" s="52">
        <f>IFERROR(__xludf.DUMMYFUNCTION("""COMPUTED_VALUE"""),43775.0)</f>
        <v>43775</v>
      </c>
      <c r="H23" s="53">
        <f>IFERROR(__xludf.DUMMYFUNCTION("""COMPUTED_VALUE"""),0.4756944444444444)</f>
        <v>0.4756944444</v>
      </c>
      <c r="I23" s="52">
        <f>IFERROR(__xludf.DUMMYFUNCTION("""COMPUTED_VALUE"""),43775.0)</f>
        <v>43775</v>
      </c>
      <c r="J23" s="53">
        <f>IFERROR(__xludf.DUMMYFUNCTION("""COMPUTED_VALUE"""),0.4895833333333333)</f>
        <v>0.4895833333</v>
      </c>
      <c r="K23" s="53">
        <f t="shared" si="1"/>
        <v>0.01388888889</v>
      </c>
      <c r="L23" s="49" t="s">
        <v>109</v>
      </c>
      <c r="M23" s="87" t="s">
        <v>764</v>
      </c>
      <c r="N23" s="49"/>
      <c r="O23" s="48"/>
      <c r="P23" s="48"/>
      <c r="Q23" s="63"/>
      <c r="R23" s="49"/>
      <c r="S23" s="49"/>
      <c r="T23" s="49"/>
    </row>
    <row r="24">
      <c r="A24" s="49" t="str">
        <f>IFERROR(__xludf.DUMMYFUNCTION("""COMPUTED_VALUE"""),"Growth lessons from Japan")</f>
        <v>Growth lessons from Japan</v>
      </c>
      <c r="B24" s="49" t="str">
        <f>IFERROR(__xludf.DUMMYFUNCTION("""COMPUTED_VALUE"""),"Corporate Innovation Summit")</f>
        <v>Corporate Innovation Summit</v>
      </c>
      <c r="C24" s="94" t="str">
        <f>IFERROR(__xludf.DUMMYFUNCTION("""COMPUTED_VALUE"""),"Noriyuki Yamazaki, Aya Nakajo and Leisha Santorelli")</f>
        <v>Noriyuki Yamazaki, Aya Nakajo and Leisha Santorelli</v>
      </c>
      <c r="D24" s="49" t="str">
        <f>IFERROR(__xludf.DUMMYFUNCTION("""COMPUTED_VALUE"""),"2019/11/06 11:45:00")</f>
        <v>2019/11/06 11:45:00</v>
      </c>
      <c r="E24" s="49" t="str">
        <f>IFERROR(__xludf.DUMMYFUNCTION("""COMPUTED_VALUE"""),"2019/11/06 12:05:00")</f>
        <v>2019/11/06 12:05:00</v>
      </c>
      <c r="F24" s="49" t="str">
        <f>IFERROR(__xludf.DUMMYFUNCTION("""COMPUTED_VALUE"""),"afba863a-7765-421b-8672-b51d2a8e79e5")</f>
        <v>afba863a-7765-421b-8672-b51d2a8e79e5</v>
      </c>
      <c r="G24" s="52">
        <f>IFERROR(__xludf.DUMMYFUNCTION("""COMPUTED_VALUE"""),43775.0)</f>
        <v>43775</v>
      </c>
      <c r="H24" s="53">
        <f>IFERROR(__xludf.DUMMYFUNCTION("""COMPUTED_VALUE"""),0.4895833333333333)</f>
        <v>0.4895833333</v>
      </c>
      <c r="I24" s="52">
        <f>IFERROR(__xludf.DUMMYFUNCTION("""COMPUTED_VALUE"""),43775.0)</f>
        <v>43775</v>
      </c>
      <c r="J24" s="53">
        <f>IFERROR(__xludf.DUMMYFUNCTION("""COMPUTED_VALUE"""),0.5034722222222222)</f>
        <v>0.5034722222</v>
      </c>
      <c r="K24" s="53">
        <f t="shared" si="1"/>
        <v>0.01388888889</v>
      </c>
      <c r="L24" s="49" t="s">
        <v>109</v>
      </c>
      <c r="M24" s="87" t="s">
        <v>766</v>
      </c>
      <c r="N24" s="49"/>
      <c r="O24" s="48"/>
      <c r="P24" s="48"/>
      <c r="Q24" s="63"/>
      <c r="R24" s="49"/>
      <c r="S24" s="49"/>
      <c r="T24" s="49"/>
    </row>
    <row r="25">
      <c r="A25" s="49" t="str">
        <f>IFERROR(__xludf.DUMMYFUNCTION("""COMPUTED_VALUE"""),"Reframing inclusive growth")</f>
        <v>Reframing inclusive growth</v>
      </c>
      <c r="B25" s="49" t="str">
        <f>IFERROR(__xludf.DUMMYFUNCTION("""COMPUTED_VALUE"""),"Corporate Innovation Summit")</f>
        <v>Corporate Innovation Summit</v>
      </c>
      <c r="C25" s="94" t="str">
        <f>IFERROR(__xludf.DUMMYFUNCTION("""COMPUTED_VALUE"""),"Ambroise Fayolle, Juliano Seabra and Diogo Sousa")</f>
        <v>Ambroise Fayolle, Juliano Seabra and Diogo Sousa</v>
      </c>
      <c r="D25" s="49" t="str">
        <f>IFERROR(__xludf.DUMMYFUNCTION("""COMPUTED_VALUE"""),"2019/11/06 12:05:00")</f>
        <v>2019/11/06 12:05:00</v>
      </c>
      <c r="E25" s="49" t="str">
        <f>IFERROR(__xludf.DUMMYFUNCTION("""COMPUTED_VALUE"""),"2019/11/06 12:25:00")</f>
        <v>2019/11/06 12:25:00</v>
      </c>
      <c r="F25" s="49" t="str">
        <f>IFERROR(__xludf.DUMMYFUNCTION("""COMPUTED_VALUE"""),"dc90930a-ffb0-4920-9720-dd2ce39a0b4a")</f>
        <v>dc90930a-ffb0-4920-9720-dd2ce39a0b4a</v>
      </c>
      <c r="G25" s="52">
        <f>IFERROR(__xludf.DUMMYFUNCTION("""COMPUTED_VALUE"""),43775.0)</f>
        <v>43775</v>
      </c>
      <c r="H25" s="53">
        <f>IFERROR(__xludf.DUMMYFUNCTION("""COMPUTED_VALUE"""),0.5034722222222222)</f>
        <v>0.5034722222</v>
      </c>
      <c r="I25" s="52">
        <f>IFERROR(__xludf.DUMMYFUNCTION("""COMPUTED_VALUE"""),43775.0)</f>
        <v>43775</v>
      </c>
      <c r="J25" s="53">
        <f>IFERROR(__xludf.DUMMYFUNCTION("""COMPUTED_VALUE"""),0.5173611111111112)</f>
        <v>0.5173611111</v>
      </c>
      <c r="K25" s="53">
        <f t="shared" si="1"/>
        <v>0.01388888889</v>
      </c>
      <c r="L25" s="49" t="s">
        <v>109</v>
      </c>
      <c r="M25" s="87" t="s">
        <v>768</v>
      </c>
      <c r="N25" s="49"/>
      <c r="O25" s="48"/>
      <c r="P25" s="48"/>
      <c r="Q25" s="63"/>
      <c r="R25" s="49"/>
      <c r="S25" s="49"/>
      <c r="T25" s="49"/>
    </row>
    <row r="26">
      <c r="A26" s="49" t="str">
        <f>IFERROR(__xludf.DUMMYFUNCTION("""COMPUTED_VALUE"""),"AI is recession-proof")</f>
        <v>AI is recession-proof</v>
      </c>
      <c r="B26" s="49" t="str">
        <f>IFERROR(__xludf.DUMMYFUNCTION("""COMPUTED_VALUE"""),"Corporate Innovation Summit")</f>
        <v>Corporate Innovation Summit</v>
      </c>
      <c r="C26" s="94" t="str">
        <f>IFERROR(__xludf.DUMMYFUNCTION("""COMPUTED_VALUE"""),"Jeff Wong")</f>
        <v>Jeff Wong</v>
      </c>
      <c r="D26" s="49" t="str">
        <f>IFERROR(__xludf.DUMMYFUNCTION("""COMPUTED_VALUE"""),"2019/11/06 12:25:00")</f>
        <v>2019/11/06 12:25:00</v>
      </c>
      <c r="E26" s="49" t="str">
        <f>IFERROR(__xludf.DUMMYFUNCTION("""COMPUTED_VALUE"""),"2019/11/06 12:40:00")</f>
        <v>2019/11/06 12:40:00</v>
      </c>
      <c r="F26" s="49" t="str">
        <f>IFERROR(__xludf.DUMMYFUNCTION("""COMPUTED_VALUE"""),"0356687d-90c2-43df-8c45-c8baeaf6e765")</f>
        <v>0356687d-90c2-43df-8c45-c8baeaf6e765</v>
      </c>
      <c r="G26" s="52">
        <f>IFERROR(__xludf.DUMMYFUNCTION("""COMPUTED_VALUE"""),43775.0)</f>
        <v>43775</v>
      </c>
      <c r="H26" s="53">
        <f>IFERROR(__xludf.DUMMYFUNCTION("""COMPUTED_VALUE"""),0.5173611111111112)</f>
        <v>0.5173611111</v>
      </c>
      <c r="I26" s="52">
        <f>IFERROR(__xludf.DUMMYFUNCTION("""COMPUTED_VALUE"""),43775.0)</f>
        <v>43775</v>
      </c>
      <c r="J26" s="53">
        <f>IFERROR(__xludf.DUMMYFUNCTION("""COMPUTED_VALUE"""),0.5277777777777778)</f>
        <v>0.5277777778</v>
      </c>
      <c r="K26" s="53">
        <f t="shared" si="1"/>
        <v>0.01041666667</v>
      </c>
      <c r="L26" s="49" t="s">
        <v>118</v>
      </c>
      <c r="M26" s="87" t="s">
        <v>770</v>
      </c>
      <c r="N26" s="49"/>
      <c r="O26" s="48"/>
      <c r="P26" s="48"/>
      <c r="Q26" s="63"/>
      <c r="R26" s="49"/>
      <c r="S26" s="49"/>
      <c r="T26" s="49"/>
    </row>
    <row r="27">
      <c r="A27" s="49" t="str">
        <f>IFERROR(__xludf.DUMMYFUNCTION("""COMPUTED_VALUE"""),"Why 5G will change everything")</f>
        <v>Why 5G will change everything</v>
      </c>
      <c r="B27" s="49" t="str">
        <f>IFERROR(__xludf.DUMMYFUNCTION("""COMPUTED_VALUE"""),"Corporate Innovation Summit")</f>
        <v>Corporate Innovation Summit</v>
      </c>
      <c r="C27" s="94" t="str">
        <f>IFERROR(__xludf.DUMMYFUNCTION("""COMPUTED_VALUE"""),"Marcus Weldon and Jonathan Weber")</f>
        <v>Marcus Weldon and Jonathan Weber</v>
      </c>
      <c r="D27" s="49" t="str">
        <f>IFERROR(__xludf.DUMMYFUNCTION("""COMPUTED_VALUE"""),"2019/11/06 12:40:00")</f>
        <v>2019/11/06 12:40:00</v>
      </c>
      <c r="E27" s="49" t="str">
        <f>IFERROR(__xludf.DUMMYFUNCTION("""COMPUTED_VALUE"""),"2019/11/06 13:00:00")</f>
        <v>2019/11/06 13:00:00</v>
      </c>
      <c r="F27" s="49" t="str">
        <f>IFERROR(__xludf.DUMMYFUNCTION("""COMPUTED_VALUE"""),"e3731954-0333-42a2-881e-44b3ce1c97d4")</f>
        <v>e3731954-0333-42a2-881e-44b3ce1c97d4</v>
      </c>
      <c r="G27" s="52">
        <f>IFERROR(__xludf.DUMMYFUNCTION("""COMPUTED_VALUE"""),43775.0)</f>
        <v>43775</v>
      </c>
      <c r="H27" s="53">
        <f>IFERROR(__xludf.DUMMYFUNCTION("""COMPUTED_VALUE"""),0.5277777777777778)</f>
        <v>0.5277777778</v>
      </c>
      <c r="I27" s="52">
        <f>IFERROR(__xludf.DUMMYFUNCTION("""COMPUTED_VALUE"""),43775.0)</f>
        <v>43775</v>
      </c>
      <c r="J27" s="53">
        <f>IFERROR(__xludf.DUMMYFUNCTION("""COMPUTED_VALUE"""),0.5416666666666666)</f>
        <v>0.5416666667</v>
      </c>
      <c r="K27" s="53">
        <f t="shared" si="1"/>
        <v>0.01388888889</v>
      </c>
      <c r="L27" s="49" t="s">
        <v>109</v>
      </c>
      <c r="M27" s="87" t="s">
        <v>772</v>
      </c>
      <c r="N27" s="49"/>
      <c r="O27" s="48"/>
      <c r="P27" s="48"/>
      <c r="Q27" s="63"/>
      <c r="R27" s="49"/>
      <c r="S27" s="49"/>
      <c r="T27" s="49"/>
    </row>
    <row r="28">
      <c r="A28" s="49" t="str">
        <f>IFERROR(__xludf.DUMMYFUNCTION("""COMPUTED_VALUE"""),"Lunch break")</f>
        <v>Lunch break</v>
      </c>
      <c r="B28" s="49" t="str">
        <f>IFERROR(__xludf.DUMMYFUNCTION("""COMPUTED_VALUE"""),"Corporate Innovation Summit")</f>
        <v>Corporate Innovation Summit</v>
      </c>
      <c r="C28" s="94" t="str">
        <f>IFERROR(__xludf.DUMMYFUNCTION("""COMPUTED_VALUE"""),"")</f>
        <v/>
      </c>
      <c r="D28" s="49" t="str">
        <f>IFERROR(__xludf.DUMMYFUNCTION("""COMPUTED_VALUE"""),"2019/11/06 13:00:00")</f>
        <v>2019/11/06 13:00:00</v>
      </c>
      <c r="E28" s="49" t="str">
        <f>IFERROR(__xludf.DUMMYFUNCTION("""COMPUTED_VALUE"""),"2019/11/06 13:45:00")</f>
        <v>2019/11/06 13:45:00</v>
      </c>
      <c r="F28" s="49" t="str">
        <f>IFERROR(__xludf.DUMMYFUNCTION("""COMPUTED_VALUE"""),"b1eee270-2eba-4cdb-9fce-e15b7bdfe981")</f>
        <v>b1eee270-2eba-4cdb-9fce-e15b7bdfe981</v>
      </c>
      <c r="G28" s="52">
        <f>IFERROR(__xludf.DUMMYFUNCTION("""COMPUTED_VALUE"""),43775.0)</f>
        <v>43775</v>
      </c>
      <c r="H28" s="53">
        <f>IFERROR(__xludf.DUMMYFUNCTION("""COMPUTED_VALUE"""),0.5416666666666666)</f>
        <v>0.5416666667</v>
      </c>
      <c r="I28" s="52">
        <f>IFERROR(__xludf.DUMMYFUNCTION("""COMPUTED_VALUE"""),43775.0)</f>
        <v>43775</v>
      </c>
      <c r="J28" s="53">
        <f>IFERROR(__xludf.DUMMYFUNCTION("""COMPUTED_VALUE"""),0.5729166666666666)</f>
        <v>0.5729166667</v>
      </c>
      <c r="K28" s="53">
        <f t="shared" si="1"/>
        <v>0.03125</v>
      </c>
      <c r="L28" s="49" t="s">
        <v>127</v>
      </c>
      <c r="M28" s="49"/>
      <c r="N28" s="49"/>
      <c r="O28" s="48"/>
      <c r="P28" s="48"/>
      <c r="Q28" s="63"/>
      <c r="R28" s="49"/>
      <c r="S28" s="49"/>
      <c r="T28" s="49"/>
    </row>
    <row r="29">
      <c r="A29" s="49" t="str">
        <f>IFERROR(__xludf.DUMMYFUNCTION("""COMPUTED_VALUE"""),"Opening remarks ")</f>
        <v>Opening remarks </v>
      </c>
      <c r="B29" s="49" t="str">
        <f>IFERROR(__xludf.DUMMYFUNCTION("""COMPUTED_VALUE"""),"Corporate Innovation Summit")</f>
        <v>Corporate Innovation Summit</v>
      </c>
      <c r="C29" s="94" t="str">
        <f>IFERROR(__xludf.DUMMYFUNCTION("""COMPUTED_VALUE"""),"Mmantsetsa Marope")</f>
        <v>Mmantsetsa Marope</v>
      </c>
      <c r="D29" s="49" t="str">
        <f>IFERROR(__xludf.DUMMYFUNCTION("""COMPUTED_VALUE"""),"2019/11/06 13:45:00")</f>
        <v>2019/11/06 13:45:00</v>
      </c>
      <c r="E29" s="49" t="str">
        <f>IFERROR(__xludf.DUMMYFUNCTION("""COMPUTED_VALUE"""),"2019/11/06 14:00:00")</f>
        <v>2019/11/06 14:00:00</v>
      </c>
      <c r="F29" s="49" t="str">
        <f>IFERROR(__xludf.DUMMYFUNCTION("""COMPUTED_VALUE"""),"f0b27e37-4284-471d-815e-3c0ed00e58ce")</f>
        <v>f0b27e37-4284-471d-815e-3c0ed00e58ce</v>
      </c>
      <c r="G29" s="52">
        <f>IFERROR(__xludf.DUMMYFUNCTION("""COMPUTED_VALUE"""),43775.0)</f>
        <v>43775</v>
      </c>
      <c r="H29" s="53">
        <f>IFERROR(__xludf.DUMMYFUNCTION("""COMPUTED_VALUE"""),0.5729166666666666)</f>
        <v>0.5729166667</v>
      </c>
      <c r="I29" s="52">
        <f>IFERROR(__xludf.DUMMYFUNCTION("""COMPUTED_VALUE"""),43775.0)</f>
        <v>43775</v>
      </c>
      <c r="J29" s="53">
        <f>IFERROR(__xludf.DUMMYFUNCTION("""COMPUTED_VALUE"""),0.5833333333333334)</f>
        <v>0.5833333333</v>
      </c>
      <c r="K29" s="53">
        <f t="shared" si="1"/>
        <v>0.01041666667</v>
      </c>
      <c r="L29" s="49" t="s">
        <v>118</v>
      </c>
      <c r="M29" s="87" t="s">
        <v>774</v>
      </c>
      <c r="N29" s="49"/>
      <c r="O29" s="48"/>
      <c r="P29" s="48"/>
      <c r="Q29" s="63"/>
      <c r="R29" s="49"/>
      <c r="S29" s="49"/>
      <c r="T29" s="49"/>
    </row>
    <row r="30">
      <c r="A30" s="49" t="str">
        <f>IFERROR(__xludf.DUMMYFUNCTION("""COMPUTED_VALUE"""),"Solving planetary challenges with enterprise")</f>
        <v>Solving planetary challenges with enterprise</v>
      </c>
      <c r="B30" s="49" t="str">
        <f>IFERROR(__xludf.DUMMYFUNCTION("""COMPUTED_VALUE"""),"Corporate Innovation Summit")</f>
        <v>Corporate Innovation Summit</v>
      </c>
      <c r="C30" s="94" t="str">
        <f>IFERROR(__xludf.DUMMYFUNCTION("""COMPUTED_VALUE"""),"David Wallerstein, Pedro Siza Vieira and Cheng Lei")</f>
        <v>David Wallerstein, Pedro Siza Vieira and Cheng Lei</v>
      </c>
      <c r="D30" s="49" t="str">
        <f>IFERROR(__xludf.DUMMYFUNCTION("""COMPUTED_VALUE"""),"2019/11/06 14:00:00")</f>
        <v>2019/11/06 14:00:00</v>
      </c>
      <c r="E30" s="49" t="str">
        <f>IFERROR(__xludf.DUMMYFUNCTION("""COMPUTED_VALUE"""),"2019/11/06 14:20:00")</f>
        <v>2019/11/06 14:20:00</v>
      </c>
      <c r="F30" s="49" t="str">
        <f>IFERROR(__xludf.DUMMYFUNCTION("""COMPUTED_VALUE"""),"2477e575-9d96-41f4-98bd-1a5ae0474f37")</f>
        <v>2477e575-9d96-41f4-98bd-1a5ae0474f37</v>
      </c>
      <c r="G30" s="52">
        <f>IFERROR(__xludf.DUMMYFUNCTION("""COMPUTED_VALUE"""),43775.0)</f>
        <v>43775</v>
      </c>
      <c r="H30" s="53">
        <f>IFERROR(__xludf.DUMMYFUNCTION("""COMPUTED_VALUE"""),0.5833333333333334)</f>
        <v>0.5833333333</v>
      </c>
      <c r="I30" s="52">
        <f>IFERROR(__xludf.DUMMYFUNCTION("""COMPUTED_VALUE"""),43775.0)</f>
        <v>43775</v>
      </c>
      <c r="J30" s="53">
        <f>IFERROR(__xludf.DUMMYFUNCTION("""COMPUTED_VALUE"""),0.5972222222222222)</f>
        <v>0.5972222222</v>
      </c>
      <c r="K30" s="53">
        <f t="shared" si="1"/>
        <v>0.01388888889</v>
      </c>
      <c r="L30" s="49" t="s">
        <v>109</v>
      </c>
      <c r="M30" s="87" t="s">
        <v>776</v>
      </c>
      <c r="N30" s="49"/>
      <c r="O30" s="48"/>
      <c r="P30" s="48"/>
      <c r="Q30" s="63"/>
      <c r="R30" s="49"/>
      <c r="S30" s="49"/>
      <c r="T30" s="49"/>
    </row>
    <row r="31">
      <c r="A31" s="49" t="str">
        <f>IFERROR(__xludf.DUMMYFUNCTION("""COMPUTED_VALUE"""),"Evolving a Portuguese icon")</f>
        <v>Evolving a Portuguese icon</v>
      </c>
      <c r="B31" s="49" t="str">
        <f>IFERROR(__xludf.DUMMYFUNCTION("""COMPUTED_VALUE"""),"Corporate Innovation Summit")</f>
        <v>Corporate Innovation Summit</v>
      </c>
      <c r="C31" s="94" t="str">
        <f>IFERROR(__xludf.DUMMYFUNCTION("""COMPUTED_VALUE"""),"André Ribeiro de Faria and Rosália Amorim")</f>
        <v>André Ribeiro de Faria and Rosália Amorim</v>
      </c>
      <c r="D31" s="49" t="str">
        <f>IFERROR(__xludf.DUMMYFUNCTION("""COMPUTED_VALUE"""),"2019/11/06 14:20:00")</f>
        <v>2019/11/06 14:20:00</v>
      </c>
      <c r="E31" s="49" t="str">
        <f>IFERROR(__xludf.DUMMYFUNCTION("""COMPUTED_VALUE"""),"2019/11/06 14:40:00")</f>
        <v>2019/11/06 14:40:00</v>
      </c>
      <c r="F31" s="49" t="str">
        <f>IFERROR(__xludf.DUMMYFUNCTION("""COMPUTED_VALUE"""),"600802da-6ff9-4459-9077-57dacb3985e1")</f>
        <v>600802da-6ff9-4459-9077-57dacb3985e1</v>
      </c>
      <c r="G31" s="52">
        <f>IFERROR(__xludf.DUMMYFUNCTION("""COMPUTED_VALUE"""),43775.0)</f>
        <v>43775</v>
      </c>
      <c r="H31" s="53">
        <f>IFERROR(__xludf.DUMMYFUNCTION("""COMPUTED_VALUE"""),0.5972222222222222)</f>
        <v>0.5972222222</v>
      </c>
      <c r="I31" s="52">
        <f>IFERROR(__xludf.DUMMYFUNCTION("""COMPUTED_VALUE"""),43775.0)</f>
        <v>43775</v>
      </c>
      <c r="J31" s="53">
        <f>IFERROR(__xludf.DUMMYFUNCTION("""COMPUTED_VALUE"""),0.6111111111111112)</f>
        <v>0.6111111111</v>
      </c>
      <c r="K31" s="53">
        <f t="shared" si="1"/>
        <v>0.01388888889</v>
      </c>
      <c r="L31" s="49" t="s">
        <v>109</v>
      </c>
      <c r="M31" s="87" t="s">
        <v>778</v>
      </c>
      <c r="N31" s="49"/>
      <c r="O31" s="48"/>
      <c r="P31" s="48"/>
      <c r="Q31" s="63"/>
      <c r="R31" s="49"/>
      <c r="S31" s="49"/>
      <c r="T31" s="49"/>
    </row>
    <row r="32">
      <c r="A32" s="49" t="str">
        <f>IFERROR(__xludf.DUMMYFUNCTION("""COMPUTED_VALUE"""),"Mastercard's leadership in responsible technology")</f>
        <v>Mastercard's leadership in responsible technology</v>
      </c>
      <c r="B32" s="49" t="str">
        <f>IFERROR(__xludf.DUMMYFUNCTION("""COMPUTED_VALUE"""),"Corporate Innovation Summit")</f>
        <v>Corporate Innovation Summit</v>
      </c>
      <c r="C32" s="94" t="str">
        <f>IFERROR(__xludf.DUMMYFUNCTION("""COMPUTED_VALUE"""),"Ajay Bhalla and Jeremy Kahn")</f>
        <v>Ajay Bhalla and Jeremy Kahn</v>
      </c>
      <c r="D32" s="49" t="str">
        <f>IFERROR(__xludf.DUMMYFUNCTION("""COMPUTED_VALUE"""),"2019/11/06 14:40:00")</f>
        <v>2019/11/06 14:40:00</v>
      </c>
      <c r="E32" s="49" t="str">
        <f>IFERROR(__xludf.DUMMYFUNCTION("""COMPUTED_VALUE"""),"2019/11/06 15:00:00")</f>
        <v>2019/11/06 15:00:00</v>
      </c>
      <c r="F32" s="49" t="str">
        <f>IFERROR(__xludf.DUMMYFUNCTION("""COMPUTED_VALUE"""),"3ff9efcf-7f8b-4346-81eb-8d4e9ef580de")</f>
        <v>3ff9efcf-7f8b-4346-81eb-8d4e9ef580de</v>
      </c>
      <c r="G32" s="52">
        <f>IFERROR(__xludf.DUMMYFUNCTION("""COMPUTED_VALUE"""),43775.0)</f>
        <v>43775</v>
      </c>
      <c r="H32" s="53">
        <f>IFERROR(__xludf.DUMMYFUNCTION("""COMPUTED_VALUE"""),0.6111111111111112)</f>
        <v>0.6111111111</v>
      </c>
      <c r="I32" s="52">
        <f>IFERROR(__xludf.DUMMYFUNCTION("""COMPUTED_VALUE"""),43775.0)</f>
        <v>43775</v>
      </c>
      <c r="J32" s="53">
        <f>IFERROR(__xludf.DUMMYFUNCTION("""COMPUTED_VALUE"""),0.625)</f>
        <v>0.625</v>
      </c>
      <c r="K32" s="53">
        <f t="shared" si="1"/>
        <v>0.01388888889</v>
      </c>
      <c r="L32" s="49" t="s">
        <v>109</v>
      </c>
      <c r="M32" s="87" t="s">
        <v>780</v>
      </c>
      <c r="N32" s="49"/>
      <c r="O32" s="48"/>
      <c r="P32" s="48"/>
      <c r="Q32" s="63"/>
      <c r="R32" s="49"/>
      <c r="S32" s="49"/>
      <c r="T32" s="49"/>
    </row>
    <row r="33">
      <c r="A33" s="49" t="str">
        <f>IFERROR(__xludf.DUMMYFUNCTION("""COMPUTED_VALUE"""),"Unlocking the true potential of AI")</f>
        <v>Unlocking the true potential of AI</v>
      </c>
      <c r="B33" s="49" t="str">
        <f>IFERROR(__xludf.DUMMYFUNCTION("""COMPUTED_VALUE"""),"Corporate Innovation Summit")</f>
        <v>Corporate Innovation Summit</v>
      </c>
      <c r="C33" s="94" t="str">
        <f>IFERROR(__xludf.DUMMYFUNCTION("""COMPUTED_VALUE"""),"Ulli Waltinger, Ursula Soritsch-Renier, Ian Massingham and Philippe Bournhonesque")</f>
        <v>Ulli Waltinger, Ursula Soritsch-Renier, Ian Massingham and Philippe Bournhonesque</v>
      </c>
      <c r="D33" s="49" t="str">
        <f>IFERROR(__xludf.DUMMYFUNCTION("""COMPUTED_VALUE"""),"2019/11/06 15:00:00")</f>
        <v>2019/11/06 15:00:00</v>
      </c>
      <c r="E33" s="49" t="str">
        <f>IFERROR(__xludf.DUMMYFUNCTION("""COMPUTED_VALUE"""),"2019/11/06 15:25:00")</f>
        <v>2019/11/06 15:25:00</v>
      </c>
      <c r="F33" s="49" t="str">
        <f>IFERROR(__xludf.DUMMYFUNCTION("""COMPUTED_VALUE"""),"b537042e-852a-4cf8-9eea-a7b970a253ca")</f>
        <v>b537042e-852a-4cf8-9eea-a7b970a253ca</v>
      </c>
      <c r="G33" s="52">
        <f>IFERROR(__xludf.DUMMYFUNCTION("""COMPUTED_VALUE"""),43775.0)</f>
        <v>43775</v>
      </c>
      <c r="H33" s="53">
        <f>IFERROR(__xludf.DUMMYFUNCTION("""COMPUTED_VALUE"""),0.625)</f>
        <v>0.625</v>
      </c>
      <c r="I33" s="52">
        <f>IFERROR(__xludf.DUMMYFUNCTION("""COMPUTED_VALUE"""),43775.0)</f>
        <v>43775</v>
      </c>
      <c r="J33" s="53">
        <f>IFERROR(__xludf.DUMMYFUNCTION("""COMPUTED_VALUE"""),0.6423611111111112)</f>
        <v>0.6423611111</v>
      </c>
      <c r="K33" s="53">
        <f t="shared" si="1"/>
        <v>0.01736111111</v>
      </c>
      <c r="L33" s="49" t="s">
        <v>111</v>
      </c>
      <c r="M33" s="87" t="s">
        <v>782</v>
      </c>
      <c r="N33" s="49"/>
      <c r="O33" s="48"/>
      <c r="P33" s="48"/>
      <c r="Q33" s="63"/>
      <c r="R33" s="49"/>
      <c r="S33" s="49"/>
      <c r="T33" s="49"/>
    </row>
    <row r="34">
      <c r="A34" s="49" t="str">
        <f>IFERROR(__xludf.DUMMYFUNCTION("""COMPUTED_VALUE"""),"Demonstration: AI in practice, with Leo Pharma")</f>
        <v>Demonstration: AI in practice, with Leo Pharma</v>
      </c>
      <c r="B34" s="49" t="str">
        <f>IFERROR(__xludf.DUMMYFUNCTION("""COMPUTED_VALUE"""),"Corporate Innovation Summit")</f>
        <v>Corporate Innovation Summit</v>
      </c>
      <c r="C34" s="94" t="str">
        <f>IFERROR(__xludf.DUMMYFUNCTION("""COMPUTED_VALUE"""),"Kristian Hart-Hansen")</f>
        <v>Kristian Hart-Hansen</v>
      </c>
      <c r="D34" s="49" t="str">
        <f>IFERROR(__xludf.DUMMYFUNCTION("""COMPUTED_VALUE"""),"2019/11/06 15:25:00")</f>
        <v>2019/11/06 15:25:00</v>
      </c>
      <c r="E34" s="49" t="str">
        <f>IFERROR(__xludf.DUMMYFUNCTION("""COMPUTED_VALUE"""),"2019/11/06 15:45:00")</f>
        <v>2019/11/06 15:45:00</v>
      </c>
      <c r="F34" s="49" t="str">
        <f>IFERROR(__xludf.DUMMYFUNCTION("""COMPUTED_VALUE"""),"8ca8ced7-9244-4ff6-98cf-ae0c5fd93555")</f>
        <v>8ca8ced7-9244-4ff6-98cf-ae0c5fd93555</v>
      </c>
      <c r="G34" s="52">
        <f>IFERROR(__xludf.DUMMYFUNCTION("""COMPUTED_VALUE"""),43775.0)</f>
        <v>43775</v>
      </c>
      <c r="H34" s="53">
        <f>IFERROR(__xludf.DUMMYFUNCTION("""COMPUTED_VALUE"""),0.6423611111111112)</f>
        <v>0.6423611111</v>
      </c>
      <c r="I34" s="52">
        <f>IFERROR(__xludf.DUMMYFUNCTION("""COMPUTED_VALUE"""),43775.0)</f>
        <v>43775</v>
      </c>
      <c r="J34" s="53">
        <f>IFERROR(__xludf.DUMMYFUNCTION("""COMPUTED_VALUE"""),0.65625)</f>
        <v>0.65625</v>
      </c>
      <c r="K34" s="53">
        <f t="shared" si="1"/>
        <v>0.01388888889</v>
      </c>
      <c r="L34" s="49" t="s">
        <v>109</v>
      </c>
      <c r="M34" s="87" t="s">
        <v>784</v>
      </c>
      <c r="N34" s="49"/>
      <c r="O34" s="48"/>
      <c r="P34" s="48"/>
      <c r="Q34" s="63"/>
      <c r="R34" s="49"/>
      <c r="S34" s="49"/>
      <c r="T34" s="49"/>
    </row>
    <row r="35">
      <c r="A35" s="49" t="str">
        <f>IFERROR(__xludf.DUMMYFUNCTION("""COMPUTED_VALUE"""),"Retrofitting digital to banking")</f>
        <v>Retrofitting digital to banking</v>
      </c>
      <c r="B35" s="49" t="str">
        <f>IFERROR(__xludf.DUMMYFUNCTION("""COMPUTED_VALUE"""),"Corporate Innovation Summit")</f>
        <v>Corporate Innovation Summit</v>
      </c>
      <c r="C35" s="94" t="str">
        <f>IFERROR(__xludf.DUMMYFUNCTION("""COMPUTED_VALUE"""),"Luis Uguina, Claire Calmejane, Paulo Marques and Peter Zemsky")</f>
        <v>Luis Uguina, Claire Calmejane, Paulo Marques and Peter Zemsky</v>
      </c>
      <c r="D35" s="49" t="str">
        <f>IFERROR(__xludf.DUMMYFUNCTION("""COMPUTED_VALUE"""),"2019/11/06 15:45:00")</f>
        <v>2019/11/06 15:45:00</v>
      </c>
      <c r="E35" s="49" t="str">
        <f>IFERROR(__xludf.DUMMYFUNCTION("""COMPUTED_VALUE"""),"2019/11/06 16:05:00")</f>
        <v>2019/11/06 16:05:00</v>
      </c>
      <c r="F35" s="49" t="str">
        <f>IFERROR(__xludf.DUMMYFUNCTION("""COMPUTED_VALUE"""),"f696cbec-24a3-42b1-b196-2a9ab262bbd7")</f>
        <v>f696cbec-24a3-42b1-b196-2a9ab262bbd7</v>
      </c>
      <c r="G35" s="52">
        <f>IFERROR(__xludf.DUMMYFUNCTION("""COMPUTED_VALUE"""),43775.0)</f>
        <v>43775</v>
      </c>
      <c r="H35" s="53">
        <f>IFERROR(__xludf.DUMMYFUNCTION("""COMPUTED_VALUE"""),0.65625)</f>
        <v>0.65625</v>
      </c>
      <c r="I35" s="52">
        <f>IFERROR(__xludf.DUMMYFUNCTION("""COMPUTED_VALUE"""),43775.0)</f>
        <v>43775</v>
      </c>
      <c r="J35" s="53">
        <f>IFERROR(__xludf.DUMMYFUNCTION("""COMPUTED_VALUE"""),0.6701388888888888)</f>
        <v>0.6701388889</v>
      </c>
      <c r="K35" s="53">
        <f t="shared" si="1"/>
        <v>0.01388888889</v>
      </c>
      <c r="L35" s="49" t="s">
        <v>109</v>
      </c>
      <c r="M35" s="87" t="s">
        <v>786</v>
      </c>
      <c r="N35" s="49"/>
      <c r="O35" s="48"/>
      <c r="P35" s="48"/>
      <c r="Q35" s="63"/>
      <c r="R35" s="49"/>
      <c r="S35" s="49"/>
      <c r="T35" s="49"/>
    </row>
    <row r="36">
      <c r="A36" s="49" t="str">
        <f>IFERROR(__xludf.DUMMYFUNCTION("""COMPUTED_VALUE"""),"A formula for customer experience")</f>
        <v>A formula for customer experience</v>
      </c>
      <c r="B36" s="49" t="str">
        <f>IFERROR(__xludf.DUMMYFUNCTION("""COMPUTED_VALUE"""),"Corporate Innovation Summit")</f>
        <v>Corporate Innovation Summit</v>
      </c>
      <c r="C36" s="94" t="str">
        <f>IFERROR(__xludf.DUMMYFUNCTION("""COMPUTED_VALUE"""),"Alicia Tillman and Xavier Oliver")</f>
        <v>Alicia Tillman and Xavier Oliver</v>
      </c>
      <c r="D36" s="49" t="str">
        <f>IFERROR(__xludf.DUMMYFUNCTION("""COMPUTED_VALUE"""),"2019/11/06 16:05:00")</f>
        <v>2019/11/06 16:05:00</v>
      </c>
      <c r="E36" s="49" t="str">
        <f>IFERROR(__xludf.DUMMYFUNCTION("""COMPUTED_VALUE"""),"2019/11/06 16:25:00")</f>
        <v>2019/11/06 16:25:00</v>
      </c>
      <c r="F36" s="49" t="str">
        <f>IFERROR(__xludf.DUMMYFUNCTION("""COMPUTED_VALUE"""),"3c213a4c-f1a9-4840-bd25-76f333eb7641")</f>
        <v>3c213a4c-f1a9-4840-bd25-76f333eb7641</v>
      </c>
      <c r="G36" s="52">
        <f>IFERROR(__xludf.DUMMYFUNCTION("""COMPUTED_VALUE"""),43775.0)</f>
        <v>43775</v>
      </c>
      <c r="H36" s="53">
        <f>IFERROR(__xludf.DUMMYFUNCTION("""COMPUTED_VALUE"""),0.6701388888888888)</f>
        <v>0.6701388889</v>
      </c>
      <c r="I36" s="52">
        <f>IFERROR(__xludf.DUMMYFUNCTION("""COMPUTED_VALUE"""),43775.0)</f>
        <v>43775</v>
      </c>
      <c r="J36" s="53">
        <f>IFERROR(__xludf.DUMMYFUNCTION("""COMPUTED_VALUE"""),0.6840277777777778)</f>
        <v>0.6840277778</v>
      </c>
      <c r="K36" s="53">
        <f t="shared" si="1"/>
        <v>0.01388888889</v>
      </c>
      <c r="L36" s="49" t="s">
        <v>109</v>
      </c>
      <c r="M36" s="87" t="s">
        <v>788</v>
      </c>
      <c r="N36" s="49"/>
      <c r="O36" s="48"/>
      <c r="P36" s="48"/>
      <c r="Q36" s="63"/>
      <c r="R36" s="49"/>
      <c r="S36" s="49"/>
      <c r="T36" s="49"/>
    </row>
    <row r="37">
      <c r="A37" s="49" t="str">
        <f>IFERROR(__xludf.DUMMYFUNCTION("""COMPUTED_VALUE"""),"Opening remarks")</f>
        <v>Opening remarks</v>
      </c>
      <c r="B37" s="49" t="str">
        <f>IFERROR(__xludf.DUMMYFUNCTION("""COMPUTED_VALUE"""),"Corporate Innovation Summit")</f>
        <v>Corporate Innovation Summit</v>
      </c>
      <c r="C37" s="94" t="str">
        <f>IFERROR(__xludf.DUMMYFUNCTION("""COMPUTED_VALUE"""),"Shivani Sopory")</f>
        <v>Shivani Sopory</v>
      </c>
      <c r="D37" s="49" t="str">
        <f>IFERROR(__xludf.DUMMYFUNCTION("""COMPUTED_VALUE"""),"2019/11/07 10:45:00")</f>
        <v>2019/11/07 10:45:00</v>
      </c>
      <c r="E37" s="49" t="str">
        <f>IFERROR(__xludf.DUMMYFUNCTION("""COMPUTED_VALUE"""),"2019/11/07 11:00:00")</f>
        <v>2019/11/07 11:00:00</v>
      </c>
      <c r="F37" s="49" t="str">
        <f>IFERROR(__xludf.DUMMYFUNCTION("""COMPUTED_VALUE"""),"febf04c1-e73e-46f0-a6b9-173ce6c5fc2d")</f>
        <v>febf04c1-e73e-46f0-a6b9-173ce6c5fc2d</v>
      </c>
      <c r="G37" s="52">
        <f>IFERROR(__xludf.DUMMYFUNCTION("""COMPUTED_VALUE"""),43776.0)</f>
        <v>43776</v>
      </c>
      <c r="H37" s="53">
        <f>IFERROR(__xludf.DUMMYFUNCTION("""COMPUTED_VALUE"""),0.4479166666666667)</f>
        <v>0.4479166667</v>
      </c>
      <c r="I37" s="52">
        <f>IFERROR(__xludf.DUMMYFUNCTION("""COMPUTED_VALUE"""),43776.0)</f>
        <v>43776</v>
      </c>
      <c r="J37" s="53">
        <f>IFERROR(__xludf.DUMMYFUNCTION("""COMPUTED_VALUE"""),0.4583333333333333)</f>
        <v>0.4583333333</v>
      </c>
      <c r="K37" s="53">
        <f t="shared" si="1"/>
        <v>0.01041666667</v>
      </c>
      <c r="L37" s="49" t="s">
        <v>118</v>
      </c>
      <c r="M37" s="87" t="s">
        <v>789</v>
      </c>
      <c r="N37" s="49"/>
      <c r="O37" s="48"/>
      <c r="P37" s="48"/>
      <c r="Q37" s="63"/>
      <c r="R37" s="49"/>
      <c r="S37" s="49"/>
      <c r="T37" s="49"/>
    </row>
    <row r="38">
      <c r="A38" s="49" t="str">
        <f>IFERROR(__xludf.DUMMYFUNCTION("""COMPUTED_VALUE"""),"Purpose as an accelerator for transformation")</f>
        <v>Purpose as an accelerator for transformation</v>
      </c>
      <c r="B38" s="49" t="str">
        <f>IFERROR(__xludf.DUMMYFUNCTION("""COMPUTED_VALUE"""),"Corporate Innovation Summit")</f>
        <v>Corporate Innovation Summit</v>
      </c>
      <c r="C38" s="94" t="str">
        <f>IFERROR(__xludf.DUMMYFUNCTION("""COMPUTED_VALUE"""),"Andre Le Masurier, George Aivazoglou and Marty Swant")</f>
        <v>Andre Le Masurier, George Aivazoglou and Marty Swant</v>
      </c>
      <c r="D38" s="49" t="str">
        <f>IFERROR(__xludf.DUMMYFUNCTION("""COMPUTED_VALUE"""),"2019/11/07 11:00:00")</f>
        <v>2019/11/07 11:00:00</v>
      </c>
      <c r="E38" s="49" t="str">
        <f>IFERROR(__xludf.DUMMYFUNCTION("""COMPUTED_VALUE"""),"2019/11/07 11:20:00")</f>
        <v>2019/11/07 11:20:00</v>
      </c>
      <c r="F38" s="49" t="str">
        <f>IFERROR(__xludf.DUMMYFUNCTION("""COMPUTED_VALUE"""),"a8ae5789-78e4-4970-8dce-451e54bd8ac5")</f>
        <v>a8ae5789-78e4-4970-8dce-451e54bd8ac5</v>
      </c>
      <c r="G38" s="52">
        <f>IFERROR(__xludf.DUMMYFUNCTION("""COMPUTED_VALUE"""),43776.0)</f>
        <v>43776</v>
      </c>
      <c r="H38" s="53">
        <f>IFERROR(__xludf.DUMMYFUNCTION("""COMPUTED_VALUE"""),0.4583333333333333)</f>
        <v>0.4583333333</v>
      </c>
      <c r="I38" s="52">
        <f>IFERROR(__xludf.DUMMYFUNCTION("""COMPUTED_VALUE"""),43776.0)</f>
        <v>43776</v>
      </c>
      <c r="J38" s="53">
        <f>IFERROR(__xludf.DUMMYFUNCTION("""COMPUTED_VALUE"""),0.4722222222222222)</f>
        <v>0.4722222222</v>
      </c>
      <c r="K38" s="53">
        <f t="shared" si="1"/>
        <v>0.01388888889</v>
      </c>
      <c r="L38" s="49" t="s">
        <v>109</v>
      </c>
      <c r="M38" s="87" t="s">
        <v>790</v>
      </c>
      <c r="N38" s="49"/>
      <c r="O38" s="48"/>
      <c r="P38" s="48"/>
      <c r="Q38" s="63"/>
      <c r="R38" s="49"/>
      <c r="S38" s="49"/>
      <c r="T38" s="49"/>
    </row>
    <row r="39">
      <c r="A39" s="49" t="str">
        <f>IFERROR(__xludf.DUMMYFUNCTION("""COMPUTED_VALUE"""),"Embracing the discomfort zone ")</f>
        <v>Embracing the discomfort zone </v>
      </c>
      <c r="B39" s="49" t="str">
        <f>IFERROR(__xludf.DUMMYFUNCTION("""COMPUTED_VALUE"""),"Corporate Innovation Summit")</f>
        <v>Corporate Innovation Summit</v>
      </c>
      <c r="C39" s="94" t="str">
        <f>IFERROR(__xludf.DUMMYFUNCTION("""COMPUTED_VALUE"""),"Veit Dengler and Sara Fischer")</f>
        <v>Veit Dengler and Sara Fischer</v>
      </c>
      <c r="D39" s="49" t="str">
        <f>IFERROR(__xludf.DUMMYFUNCTION("""COMPUTED_VALUE"""),"2019/11/07 11:20:00")</f>
        <v>2019/11/07 11:20:00</v>
      </c>
      <c r="E39" s="49" t="str">
        <f>IFERROR(__xludf.DUMMYFUNCTION("""COMPUTED_VALUE"""),"2019/11/07 11:40:00")</f>
        <v>2019/11/07 11:40:00</v>
      </c>
      <c r="F39" s="49" t="str">
        <f>IFERROR(__xludf.DUMMYFUNCTION("""COMPUTED_VALUE"""),"c12355eb-7a0b-40cc-acaa-05ba0553f310")</f>
        <v>c12355eb-7a0b-40cc-acaa-05ba0553f310</v>
      </c>
      <c r="G39" s="52">
        <f>IFERROR(__xludf.DUMMYFUNCTION("""COMPUTED_VALUE"""),43776.0)</f>
        <v>43776</v>
      </c>
      <c r="H39" s="53">
        <f>IFERROR(__xludf.DUMMYFUNCTION("""COMPUTED_VALUE"""),0.4722222222222222)</f>
        <v>0.4722222222</v>
      </c>
      <c r="I39" s="52">
        <f>IFERROR(__xludf.DUMMYFUNCTION("""COMPUTED_VALUE"""),43776.0)</f>
        <v>43776</v>
      </c>
      <c r="J39" s="53">
        <f>IFERROR(__xludf.DUMMYFUNCTION("""COMPUTED_VALUE"""),0.4861111111111111)</f>
        <v>0.4861111111</v>
      </c>
      <c r="K39" s="53">
        <f t="shared" si="1"/>
        <v>0.01388888889</v>
      </c>
      <c r="L39" s="49" t="s">
        <v>109</v>
      </c>
      <c r="M39" s="87" t="s">
        <v>791</v>
      </c>
      <c r="N39" s="49"/>
      <c r="O39" s="48"/>
      <c r="P39" s="48"/>
      <c r="Q39" s="63"/>
      <c r="R39" s="49"/>
      <c r="S39" s="49"/>
      <c r="T39" s="49"/>
    </row>
    <row r="40">
      <c r="A40" s="49" t="str">
        <f>IFERROR(__xludf.DUMMYFUNCTION("""COMPUTED_VALUE"""),"Data and trust: A way forward")</f>
        <v>Data and trust: A way forward</v>
      </c>
      <c r="B40" s="49" t="str">
        <f>IFERROR(__xludf.DUMMYFUNCTION("""COMPUTED_VALUE"""),"Corporate Innovation Summit")</f>
        <v>Corporate Innovation Summit</v>
      </c>
      <c r="C40" s="94" t="str">
        <f>IFERROR(__xludf.DUMMYFUNCTION("""COMPUTED_VALUE"""),"Eva Kaili, Ayman Hariri and Mark Di Stefano")</f>
        <v>Eva Kaili, Ayman Hariri and Mark Di Stefano</v>
      </c>
      <c r="D40" s="49" t="str">
        <f>IFERROR(__xludf.DUMMYFUNCTION("""COMPUTED_VALUE"""),"2019/11/07 11:40:00")</f>
        <v>2019/11/07 11:40:00</v>
      </c>
      <c r="E40" s="49" t="str">
        <f>IFERROR(__xludf.DUMMYFUNCTION("""COMPUTED_VALUE"""),"2019/11/07 12:00:00")</f>
        <v>2019/11/07 12:00:00</v>
      </c>
      <c r="F40" s="49" t="str">
        <f>IFERROR(__xludf.DUMMYFUNCTION("""COMPUTED_VALUE"""),"7dd7239a-ba88-46b1-ad03-f5c831b9e435")</f>
        <v>7dd7239a-ba88-46b1-ad03-f5c831b9e435</v>
      </c>
      <c r="G40" s="52">
        <f>IFERROR(__xludf.DUMMYFUNCTION("""COMPUTED_VALUE"""),43776.0)</f>
        <v>43776</v>
      </c>
      <c r="H40" s="53">
        <f>IFERROR(__xludf.DUMMYFUNCTION("""COMPUTED_VALUE"""),0.4861111111111111)</f>
        <v>0.4861111111</v>
      </c>
      <c r="I40" s="52">
        <f>IFERROR(__xludf.DUMMYFUNCTION("""COMPUTED_VALUE"""),43776.0)</f>
        <v>43776</v>
      </c>
      <c r="J40" s="53">
        <f>IFERROR(__xludf.DUMMYFUNCTION("""COMPUTED_VALUE"""),0.5)</f>
        <v>0.5</v>
      </c>
      <c r="K40" s="53">
        <f t="shared" si="1"/>
        <v>0.01388888889</v>
      </c>
      <c r="L40" s="49" t="s">
        <v>109</v>
      </c>
      <c r="M40" s="87" t="s">
        <v>792</v>
      </c>
      <c r="N40" s="49"/>
      <c r="O40" s="48"/>
      <c r="P40" s="48"/>
      <c r="Q40" s="63"/>
      <c r="R40" s="49"/>
      <c r="S40" s="49"/>
      <c r="T40" s="49"/>
    </row>
    <row r="41">
      <c r="A41" s="49" t="str">
        <f>IFERROR(__xludf.DUMMYFUNCTION("""COMPUTED_VALUE"""),"Anticipating trends in customer experience ")</f>
        <v>Anticipating trends in customer experience </v>
      </c>
      <c r="B41" s="49" t="str">
        <f>IFERROR(__xludf.DUMMYFUNCTION("""COMPUTED_VALUE"""),"Corporate Innovation Summit")</f>
        <v>Corporate Innovation Summit</v>
      </c>
      <c r="C41" s="94" t="str">
        <f>IFERROR(__xludf.DUMMYFUNCTION("""COMPUTED_VALUE"""),"John Gordon, Nico Gabriel, Olaf Lorenz and Britta Muzyk-Tikovsky")</f>
        <v>John Gordon, Nico Gabriel, Olaf Lorenz and Britta Muzyk-Tikovsky</v>
      </c>
      <c r="D41" s="49" t="str">
        <f>IFERROR(__xludf.DUMMYFUNCTION("""COMPUTED_VALUE"""),"2019/11/07 12:00:00")</f>
        <v>2019/11/07 12:00:00</v>
      </c>
      <c r="E41" s="49" t="str">
        <f>IFERROR(__xludf.DUMMYFUNCTION("""COMPUTED_VALUE"""),"2019/11/07 12:20:00")</f>
        <v>2019/11/07 12:20:00</v>
      </c>
      <c r="F41" s="49" t="str">
        <f>IFERROR(__xludf.DUMMYFUNCTION("""COMPUTED_VALUE"""),"47f41f93-87ac-4ab1-a655-3b32624dff1b")</f>
        <v>47f41f93-87ac-4ab1-a655-3b32624dff1b</v>
      </c>
      <c r="G41" s="52">
        <f>IFERROR(__xludf.DUMMYFUNCTION("""COMPUTED_VALUE"""),43776.0)</f>
        <v>43776</v>
      </c>
      <c r="H41" s="53">
        <f>IFERROR(__xludf.DUMMYFUNCTION("""COMPUTED_VALUE"""),0.5)</f>
        <v>0.5</v>
      </c>
      <c r="I41" s="52">
        <f>IFERROR(__xludf.DUMMYFUNCTION("""COMPUTED_VALUE"""),43776.0)</f>
        <v>43776</v>
      </c>
      <c r="J41" s="53">
        <f>IFERROR(__xludf.DUMMYFUNCTION("""COMPUTED_VALUE"""),0.5138888888888888)</f>
        <v>0.5138888889</v>
      </c>
      <c r="K41" s="53">
        <f t="shared" si="1"/>
        <v>0.01388888889</v>
      </c>
      <c r="L41" s="49" t="s">
        <v>109</v>
      </c>
      <c r="M41" s="87" t="s">
        <v>793</v>
      </c>
      <c r="N41" s="49"/>
      <c r="O41" s="48"/>
      <c r="P41" s="48"/>
      <c r="Q41" s="63"/>
      <c r="R41" s="49"/>
      <c r="S41" s="49"/>
      <c r="T41" s="49"/>
    </row>
    <row r="42">
      <c r="A42" s="49" t="str">
        <f>IFERROR(__xludf.DUMMYFUNCTION("""COMPUTED_VALUE"""),"Time Out: A tasty transformation")</f>
        <v>Time Out: A tasty transformation</v>
      </c>
      <c r="B42" s="49" t="str">
        <f>IFERROR(__xludf.DUMMYFUNCTION("""COMPUTED_VALUE"""),"Corporate Innovation Summit")</f>
        <v>Corporate Innovation Summit</v>
      </c>
      <c r="C42" s="94" t="str">
        <f>IFERROR(__xludf.DUMMYFUNCTION("""COMPUTED_VALUE"""),"Julio Bruno")</f>
        <v>Julio Bruno</v>
      </c>
      <c r="D42" s="49" t="str">
        <f>IFERROR(__xludf.DUMMYFUNCTION("""COMPUTED_VALUE"""),"2019/11/07 12:20:00")</f>
        <v>2019/11/07 12:20:00</v>
      </c>
      <c r="E42" s="49" t="str">
        <f>IFERROR(__xludf.DUMMYFUNCTION("""COMPUTED_VALUE"""),"2019/11/07 12:35:00")</f>
        <v>2019/11/07 12:35:00</v>
      </c>
      <c r="F42" s="49" t="str">
        <f>IFERROR(__xludf.DUMMYFUNCTION("""COMPUTED_VALUE"""),"db64c6fe-ffe5-4c73-9c46-4261eb510ebd")</f>
        <v>db64c6fe-ffe5-4c73-9c46-4261eb510ebd</v>
      </c>
      <c r="G42" s="52">
        <f>IFERROR(__xludf.DUMMYFUNCTION("""COMPUTED_VALUE"""),43776.0)</f>
        <v>43776</v>
      </c>
      <c r="H42" s="53">
        <f>IFERROR(__xludf.DUMMYFUNCTION("""COMPUTED_VALUE"""),0.5138888888888888)</f>
        <v>0.5138888889</v>
      </c>
      <c r="I42" s="52">
        <f>IFERROR(__xludf.DUMMYFUNCTION("""COMPUTED_VALUE"""),43776.0)</f>
        <v>43776</v>
      </c>
      <c r="J42" s="53">
        <f>IFERROR(__xludf.DUMMYFUNCTION("""COMPUTED_VALUE"""),0.5243055555555556)</f>
        <v>0.5243055556</v>
      </c>
      <c r="K42" s="53">
        <f t="shared" si="1"/>
        <v>0.01041666667</v>
      </c>
      <c r="L42" s="49" t="s">
        <v>118</v>
      </c>
      <c r="M42" s="87" t="s">
        <v>794</v>
      </c>
      <c r="N42" s="49"/>
      <c r="O42" s="48"/>
      <c r="P42" s="48"/>
      <c r="Q42" s="63"/>
      <c r="R42" s="49"/>
      <c r="S42" s="49"/>
      <c r="T42" s="49"/>
    </row>
    <row r="43">
      <c r="A43" s="49" t="str">
        <f>IFERROR(__xludf.DUMMYFUNCTION("""COMPUTED_VALUE"""),"Leveraging innovation, at pace")</f>
        <v>Leveraging innovation, at pace</v>
      </c>
      <c r="B43" s="49" t="str">
        <f>IFERROR(__xludf.DUMMYFUNCTION("""COMPUTED_VALUE"""),"Corporate Innovation Summit")</f>
        <v>Corporate Innovation Summit</v>
      </c>
      <c r="C43" s="94" t="str">
        <f>IFERROR(__xludf.DUMMYFUNCTION("""COMPUTED_VALUE"""),"António Vidigal")</f>
        <v>António Vidigal</v>
      </c>
      <c r="D43" s="49" t="str">
        <f>IFERROR(__xludf.DUMMYFUNCTION("""COMPUTED_VALUE"""),"2019/11/07 12:35:00")</f>
        <v>2019/11/07 12:35:00</v>
      </c>
      <c r="E43" s="49" t="str">
        <f>IFERROR(__xludf.DUMMYFUNCTION("""COMPUTED_VALUE"""),"2019/11/07 12:55:00")</f>
        <v>2019/11/07 12:55:00</v>
      </c>
      <c r="F43" s="49" t="str">
        <f>IFERROR(__xludf.DUMMYFUNCTION("""COMPUTED_VALUE"""),"e55e8213-044f-4b1e-8cc4-7b3ae67c2b4a")</f>
        <v>e55e8213-044f-4b1e-8cc4-7b3ae67c2b4a</v>
      </c>
      <c r="G43" s="52">
        <f>IFERROR(__xludf.DUMMYFUNCTION("""COMPUTED_VALUE"""),43776.0)</f>
        <v>43776</v>
      </c>
      <c r="H43" s="53">
        <f>IFERROR(__xludf.DUMMYFUNCTION("""COMPUTED_VALUE"""),0.5243055555555556)</f>
        <v>0.5243055556</v>
      </c>
      <c r="I43" s="52">
        <f>IFERROR(__xludf.DUMMYFUNCTION("""COMPUTED_VALUE"""),43776.0)</f>
        <v>43776</v>
      </c>
      <c r="J43" s="53">
        <f>IFERROR(__xludf.DUMMYFUNCTION("""COMPUTED_VALUE"""),0.5381944444444444)</f>
        <v>0.5381944444</v>
      </c>
      <c r="K43" s="53">
        <f t="shared" si="1"/>
        <v>0.01388888889</v>
      </c>
      <c r="L43" s="49" t="s">
        <v>109</v>
      </c>
      <c r="M43" s="87" t="s">
        <v>795</v>
      </c>
      <c r="N43" s="49"/>
      <c r="O43" s="48"/>
      <c r="P43" s="48"/>
      <c r="Q43" s="63"/>
      <c r="R43" s="49"/>
      <c r="S43" s="49"/>
      <c r="T43" s="49"/>
    </row>
    <row r="44">
      <c r="A44" s="49" t="str">
        <f>IFERROR(__xludf.DUMMYFUNCTION("""COMPUTED_VALUE"""),"Lunch break")</f>
        <v>Lunch break</v>
      </c>
      <c r="B44" s="49" t="str">
        <f>IFERROR(__xludf.DUMMYFUNCTION("""COMPUTED_VALUE"""),"Corporate Innovation Summit")</f>
        <v>Corporate Innovation Summit</v>
      </c>
      <c r="C44" s="94" t="str">
        <f>IFERROR(__xludf.DUMMYFUNCTION("""COMPUTED_VALUE"""),"")</f>
        <v/>
      </c>
      <c r="D44" s="49" t="str">
        <f>IFERROR(__xludf.DUMMYFUNCTION("""COMPUTED_VALUE"""),"2019/11/07 12:55:00")</f>
        <v>2019/11/07 12:55:00</v>
      </c>
      <c r="E44" s="49" t="str">
        <f>IFERROR(__xludf.DUMMYFUNCTION("""COMPUTED_VALUE"""),"2019/11/07 13:30:00")</f>
        <v>2019/11/07 13:30:00</v>
      </c>
      <c r="F44" s="49" t="str">
        <f>IFERROR(__xludf.DUMMYFUNCTION("""COMPUTED_VALUE"""),"d36c7638-471e-453f-9f5e-b95a47877687")</f>
        <v>d36c7638-471e-453f-9f5e-b95a47877687</v>
      </c>
      <c r="G44" s="52">
        <f>IFERROR(__xludf.DUMMYFUNCTION("""COMPUTED_VALUE"""),43776.0)</f>
        <v>43776</v>
      </c>
      <c r="H44" s="53">
        <f>IFERROR(__xludf.DUMMYFUNCTION("""COMPUTED_VALUE"""),0.5381944444444444)</f>
        <v>0.5381944444</v>
      </c>
      <c r="I44" s="52">
        <f>IFERROR(__xludf.DUMMYFUNCTION("""COMPUTED_VALUE"""),43776.0)</f>
        <v>43776</v>
      </c>
      <c r="J44" s="53">
        <f>IFERROR(__xludf.DUMMYFUNCTION("""COMPUTED_VALUE"""),0.5625)</f>
        <v>0.5625</v>
      </c>
      <c r="K44" s="53">
        <f t="shared" si="1"/>
        <v>0.02430555556</v>
      </c>
      <c r="L44" s="49" t="s">
        <v>158</v>
      </c>
      <c r="M44" s="49"/>
      <c r="N44" s="49"/>
      <c r="O44" s="48"/>
      <c r="P44" s="48"/>
      <c r="Q44" s="63"/>
      <c r="R44" s="49"/>
      <c r="S44" s="49"/>
      <c r="T44" s="49"/>
    </row>
    <row r="45">
      <c r="A45" s="49" t="str">
        <f>IFERROR(__xludf.DUMMYFUNCTION("""COMPUTED_VALUE"""),"Opening remarks")</f>
        <v>Opening remarks</v>
      </c>
      <c r="B45" s="49" t="str">
        <f>IFERROR(__xludf.DUMMYFUNCTION("""COMPUTED_VALUE"""),"Corporate Innovation Summit")</f>
        <v>Corporate Innovation Summit</v>
      </c>
      <c r="C45" s="94" t="str">
        <f>IFERROR(__xludf.DUMMYFUNCTION("""COMPUTED_VALUE"""),"Belinda Esterhammer")</f>
        <v>Belinda Esterhammer</v>
      </c>
      <c r="D45" s="49" t="str">
        <f>IFERROR(__xludf.DUMMYFUNCTION("""COMPUTED_VALUE"""),"2019/11/07 13:30:00")</f>
        <v>2019/11/07 13:30:00</v>
      </c>
      <c r="E45" s="49" t="str">
        <f>IFERROR(__xludf.DUMMYFUNCTION("""COMPUTED_VALUE"""),"2019/11/07 13:45:00")</f>
        <v>2019/11/07 13:45:00</v>
      </c>
      <c r="F45" s="49" t="str">
        <f>IFERROR(__xludf.DUMMYFUNCTION("""COMPUTED_VALUE"""),"e3898815-c179-4865-b49c-c5960add5cb3")</f>
        <v>e3898815-c179-4865-b49c-c5960add5cb3</v>
      </c>
      <c r="G45" s="52">
        <f>IFERROR(__xludf.DUMMYFUNCTION("""COMPUTED_VALUE"""),43776.0)</f>
        <v>43776</v>
      </c>
      <c r="H45" s="53">
        <f>IFERROR(__xludf.DUMMYFUNCTION("""COMPUTED_VALUE"""),0.5625)</f>
        <v>0.5625</v>
      </c>
      <c r="I45" s="52">
        <f>IFERROR(__xludf.DUMMYFUNCTION("""COMPUTED_VALUE"""),43776.0)</f>
        <v>43776</v>
      </c>
      <c r="J45" s="53">
        <f>IFERROR(__xludf.DUMMYFUNCTION("""COMPUTED_VALUE"""),0.5729166666666666)</f>
        <v>0.5729166667</v>
      </c>
      <c r="K45" s="53">
        <f t="shared" si="1"/>
        <v>0.01041666667</v>
      </c>
      <c r="L45" s="49" t="s">
        <v>118</v>
      </c>
      <c r="M45" s="87" t="s">
        <v>796</v>
      </c>
      <c r="N45" s="49"/>
      <c r="O45" s="48"/>
      <c r="P45" s="48"/>
      <c r="Q45" s="63"/>
      <c r="R45" s="49"/>
      <c r="S45" s="49"/>
      <c r="T45" s="49"/>
    </row>
    <row r="46">
      <c r="A46" s="49" t="str">
        <f>IFERROR(__xludf.DUMMYFUNCTION("""COMPUTED_VALUE"""),"Responding to a €50m cyberattack")</f>
        <v>Responding to a €50m cyberattack</v>
      </c>
      <c r="B46" s="49" t="str">
        <f>IFERROR(__xludf.DUMMYFUNCTION("""COMPUTED_VALUE"""),"Corporate Innovation Summit")</f>
        <v>Corporate Innovation Summit</v>
      </c>
      <c r="C46" s="94" t="str">
        <f>IFERROR(__xludf.DUMMYFUNCTION("""COMPUTED_VALUE"""),"Jo De Vliegher")</f>
        <v>Jo De Vliegher</v>
      </c>
      <c r="D46" s="49" t="str">
        <f>IFERROR(__xludf.DUMMYFUNCTION("""COMPUTED_VALUE"""),"2019/11/07 13:45:00")</f>
        <v>2019/11/07 13:45:00</v>
      </c>
      <c r="E46" s="49" t="str">
        <f>IFERROR(__xludf.DUMMYFUNCTION("""COMPUTED_VALUE"""),"2019/11/07 14:00:00")</f>
        <v>2019/11/07 14:00:00</v>
      </c>
      <c r="F46" s="49" t="str">
        <f>IFERROR(__xludf.DUMMYFUNCTION("""COMPUTED_VALUE"""),"cdb13e7c-ed2b-46b7-8994-f87e2e697de8")</f>
        <v>cdb13e7c-ed2b-46b7-8994-f87e2e697de8</v>
      </c>
      <c r="G46" s="52">
        <f>IFERROR(__xludf.DUMMYFUNCTION("""COMPUTED_VALUE"""),43776.0)</f>
        <v>43776</v>
      </c>
      <c r="H46" s="53">
        <f>IFERROR(__xludf.DUMMYFUNCTION("""COMPUTED_VALUE"""),0.5729166666666666)</f>
        <v>0.5729166667</v>
      </c>
      <c r="I46" s="52">
        <f>IFERROR(__xludf.DUMMYFUNCTION("""COMPUTED_VALUE"""),43776.0)</f>
        <v>43776</v>
      </c>
      <c r="J46" s="53">
        <f>IFERROR(__xludf.DUMMYFUNCTION("""COMPUTED_VALUE"""),0.5833333333333334)</f>
        <v>0.5833333333</v>
      </c>
      <c r="K46" s="53">
        <f t="shared" si="1"/>
        <v>0.01041666667</v>
      </c>
      <c r="L46" s="49" t="s">
        <v>118</v>
      </c>
      <c r="M46" s="87" t="s">
        <v>797</v>
      </c>
      <c r="N46" s="49"/>
      <c r="O46" s="48"/>
      <c r="P46" s="48"/>
      <c r="Q46" s="63"/>
      <c r="R46" s="49"/>
      <c r="S46" s="49"/>
      <c r="T46" s="49"/>
    </row>
    <row r="47">
      <c r="A47" s="49" t="str">
        <f>IFERROR(__xludf.DUMMYFUNCTION("""COMPUTED_VALUE"""),"How to build an invincible company")</f>
        <v>How to build an invincible company</v>
      </c>
      <c r="B47" s="49" t="str">
        <f>IFERROR(__xludf.DUMMYFUNCTION("""COMPUTED_VALUE"""),"Corporate Innovation Summit")</f>
        <v>Corporate Innovation Summit</v>
      </c>
      <c r="C47" s="94" t="str">
        <f>IFERROR(__xludf.DUMMYFUNCTION("""COMPUTED_VALUE"""),"Alex Osterwalder")</f>
        <v>Alex Osterwalder</v>
      </c>
      <c r="D47" s="49" t="str">
        <f>IFERROR(__xludf.DUMMYFUNCTION("""COMPUTED_VALUE"""),"2019/11/07 14:00:00")</f>
        <v>2019/11/07 14:00:00</v>
      </c>
      <c r="E47" s="49" t="str">
        <f>IFERROR(__xludf.DUMMYFUNCTION("""COMPUTED_VALUE"""),"2019/11/07 14:20:00")</f>
        <v>2019/11/07 14:20:00</v>
      </c>
      <c r="F47" s="49" t="str">
        <f>IFERROR(__xludf.DUMMYFUNCTION("""COMPUTED_VALUE"""),"f72b995c-5b25-443d-b7e6-9c255da1688c")</f>
        <v>f72b995c-5b25-443d-b7e6-9c255da1688c</v>
      </c>
      <c r="G47" s="52">
        <f>IFERROR(__xludf.DUMMYFUNCTION("""COMPUTED_VALUE"""),43776.0)</f>
        <v>43776</v>
      </c>
      <c r="H47" s="53">
        <f>IFERROR(__xludf.DUMMYFUNCTION("""COMPUTED_VALUE"""),0.5833333333333334)</f>
        <v>0.5833333333</v>
      </c>
      <c r="I47" s="52">
        <f>IFERROR(__xludf.DUMMYFUNCTION("""COMPUTED_VALUE"""),43776.0)</f>
        <v>43776</v>
      </c>
      <c r="J47" s="53">
        <f>IFERROR(__xludf.DUMMYFUNCTION("""COMPUTED_VALUE"""),0.5972222222222222)</f>
        <v>0.5972222222</v>
      </c>
      <c r="K47" s="53">
        <f t="shared" si="1"/>
        <v>0.01388888889</v>
      </c>
      <c r="L47" s="49" t="s">
        <v>109</v>
      </c>
      <c r="M47" s="87" t="s">
        <v>798</v>
      </c>
      <c r="N47" s="49"/>
      <c r="O47" s="48"/>
      <c r="P47" s="48"/>
      <c r="Q47" s="63"/>
      <c r="R47" s="49"/>
      <c r="S47" s="49"/>
      <c r="T47" s="49"/>
    </row>
    <row r="48">
      <c r="A48" s="49" t="str">
        <f>IFERROR(__xludf.DUMMYFUNCTION("""COMPUTED_VALUE"""),"Inside the corporate/startup relationship")</f>
        <v>Inside the corporate/startup relationship</v>
      </c>
      <c r="B48" s="49" t="str">
        <f>IFERROR(__xludf.DUMMYFUNCTION("""COMPUTED_VALUE"""),"Corporate Innovation Summit")</f>
        <v>Corporate Innovation Summit</v>
      </c>
      <c r="C48" s="94" t="str">
        <f>IFERROR(__xludf.DUMMYFUNCTION("""COMPUTED_VALUE"""),"Mario Pieper, Emmanuel Lagarrigue, Bedy Yang and Matthias Meyer")</f>
        <v>Mario Pieper, Emmanuel Lagarrigue, Bedy Yang and Matthias Meyer</v>
      </c>
      <c r="D48" s="49" t="str">
        <f>IFERROR(__xludf.DUMMYFUNCTION("""COMPUTED_VALUE"""),"2019/11/07 14:20:00")</f>
        <v>2019/11/07 14:20:00</v>
      </c>
      <c r="E48" s="49" t="str">
        <f>IFERROR(__xludf.DUMMYFUNCTION("""COMPUTED_VALUE"""),"2019/11/07 14:40:00")</f>
        <v>2019/11/07 14:40:00</v>
      </c>
      <c r="F48" s="49" t="str">
        <f>IFERROR(__xludf.DUMMYFUNCTION("""COMPUTED_VALUE"""),"8ab58a18-3d4c-4d2b-8a8b-fe2983ab6113")</f>
        <v>8ab58a18-3d4c-4d2b-8a8b-fe2983ab6113</v>
      </c>
      <c r="G48" s="52">
        <f>IFERROR(__xludf.DUMMYFUNCTION("""COMPUTED_VALUE"""),43776.0)</f>
        <v>43776</v>
      </c>
      <c r="H48" s="53">
        <f>IFERROR(__xludf.DUMMYFUNCTION("""COMPUTED_VALUE"""),0.5972222222222222)</f>
        <v>0.5972222222</v>
      </c>
      <c r="I48" s="52">
        <f>IFERROR(__xludf.DUMMYFUNCTION("""COMPUTED_VALUE"""),43776.0)</f>
        <v>43776</v>
      </c>
      <c r="J48" s="53">
        <f>IFERROR(__xludf.DUMMYFUNCTION("""COMPUTED_VALUE"""),0.6111111111111112)</f>
        <v>0.6111111111</v>
      </c>
      <c r="K48" s="53">
        <f t="shared" si="1"/>
        <v>0.01388888889</v>
      </c>
      <c r="L48" s="49" t="s">
        <v>109</v>
      </c>
      <c r="M48" s="87" t="s">
        <v>799</v>
      </c>
      <c r="N48" s="49"/>
      <c r="O48" s="48"/>
      <c r="P48" s="48"/>
      <c r="Q48" s="63"/>
      <c r="R48" s="49"/>
      <c r="S48" s="49"/>
      <c r="T48" s="49"/>
    </row>
    <row r="49">
      <c r="A49" s="49" t="str">
        <f>IFERROR(__xludf.DUMMYFUNCTION("""COMPUTED_VALUE"""),"Reinvention through reinvestment")</f>
        <v>Reinvention through reinvestment</v>
      </c>
      <c r="B49" s="49" t="str">
        <f>IFERROR(__xludf.DUMMYFUNCTION("""COMPUTED_VALUE"""),"Corporate Innovation Summit")</f>
        <v>Corporate Innovation Summit</v>
      </c>
      <c r="C49" s="94" t="str">
        <f>IFERROR(__xludf.DUMMYFUNCTION("""COMPUTED_VALUE"""),"Rashmi Gopinath, Christina Bechhold Russ, Deborah Magid and James Mawson")</f>
        <v>Rashmi Gopinath, Christina Bechhold Russ, Deborah Magid and James Mawson</v>
      </c>
      <c r="D49" s="49" t="str">
        <f>IFERROR(__xludf.DUMMYFUNCTION("""COMPUTED_VALUE"""),"2019/11/07 14:40:00")</f>
        <v>2019/11/07 14:40:00</v>
      </c>
      <c r="E49" s="49" t="str">
        <f>IFERROR(__xludf.DUMMYFUNCTION("""COMPUTED_VALUE"""),"2019/11/07 15:00:00")</f>
        <v>2019/11/07 15:00:00</v>
      </c>
      <c r="F49" s="49" t="str">
        <f>IFERROR(__xludf.DUMMYFUNCTION("""COMPUTED_VALUE"""),"4c726b46-cb82-4053-907c-02bdbd8ead64")</f>
        <v>4c726b46-cb82-4053-907c-02bdbd8ead64</v>
      </c>
      <c r="G49" s="52">
        <f>IFERROR(__xludf.DUMMYFUNCTION("""COMPUTED_VALUE"""),43776.0)</f>
        <v>43776</v>
      </c>
      <c r="H49" s="53">
        <f>IFERROR(__xludf.DUMMYFUNCTION("""COMPUTED_VALUE"""),0.6111111111111112)</f>
        <v>0.6111111111</v>
      </c>
      <c r="I49" s="52">
        <f>IFERROR(__xludf.DUMMYFUNCTION("""COMPUTED_VALUE"""),43776.0)</f>
        <v>43776</v>
      </c>
      <c r="J49" s="53">
        <f>IFERROR(__xludf.DUMMYFUNCTION("""COMPUTED_VALUE"""),0.625)</f>
        <v>0.625</v>
      </c>
      <c r="K49" s="53">
        <f t="shared" si="1"/>
        <v>0.01388888889</v>
      </c>
      <c r="L49" s="49" t="s">
        <v>109</v>
      </c>
      <c r="M49" s="87" t="s">
        <v>800</v>
      </c>
      <c r="N49" s="49"/>
      <c r="O49" s="48"/>
      <c r="P49" s="48"/>
      <c r="Q49" s="63"/>
      <c r="R49" s="49"/>
      <c r="S49" s="49"/>
      <c r="T49" s="49"/>
    </row>
    <row r="50">
      <c r="A50" s="49" t="str">
        <f>IFERROR(__xludf.DUMMYFUNCTION("""COMPUTED_VALUE"""),"The technology fallacy ")</f>
        <v>The technology fallacy </v>
      </c>
      <c r="B50" s="49" t="str">
        <f>IFERROR(__xludf.DUMMYFUNCTION("""COMPUTED_VALUE"""),"Corporate Innovation Summit")</f>
        <v>Corporate Innovation Summit</v>
      </c>
      <c r="C50" s="94" t="str">
        <f>IFERROR(__xludf.DUMMYFUNCTION("""COMPUTED_VALUE"""),"Jacqui Canney, Gerald Kane and Paul Michelman")</f>
        <v>Jacqui Canney, Gerald Kane and Paul Michelman</v>
      </c>
      <c r="D50" s="49" t="str">
        <f>IFERROR(__xludf.DUMMYFUNCTION("""COMPUTED_VALUE"""),"2019/11/07 15:00:00")</f>
        <v>2019/11/07 15:00:00</v>
      </c>
      <c r="E50" s="49" t="str">
        <f>IFERROR(__xludf.DUMMYFUNCTION("""COMPUTED_VALUE"""),"2019/11/07 15:20:00")</f>
        <v>2019/11/07 15:20:00</v>
      </c>
      <c r="F50" s="49" t="str">
        <f>IFERROR(__xludf.DUMMYFUNCTION("""COMPUTED_VALUE"""),"bdc9a14d-8e63-47fc-acc6-e7a82cf37070")</f>
        <v>bdc9a14d-8e63-47fc-acc6-e7a82cf37070</v>
      </c>
      <c r="G50" s="52">
        <f>IFERROR(__xludf.DUMMYFUNCTION("""COMPUTED_VALUE"""),43776.0)</f>
        <v>43776</v>
      </c>
      <c r="H50" s="53">
        <f>IFERROR(__xludf.DUMMYFUNCTION("""COMPUTED_VALUE"""),0.625)</f>
        <v>0.625</v>
      </c>
      <c r="I50" s="52">
        <f>IFERROR(__xludf.DUMMYFUNCTION("""COMPUTED_VALUE"""),43776.0)</f>
        <v>43776</v>
      </c>
      <c r="J50" s="53">
        <f>IFERROR(__xludf.DUMMYFUNCTION("""COMPUTED_VALUE"""),0.6388888888888888)</f>
        <v>0.6388888889</v>
      </c>
      <c r="K50" s="53">
        <f t="shared" si="1"/>
        <v>0.01388888889</v>
      </c>
      <c r="L50" s="49" t="s">
        <v>109</v>
      </c>
      <c r="M50" s="87" t="s">
        <v>801</v>
      </c>
      <c r="N50" s="49"/>
      <c r="O50" s="48"/>
      <c r="P50" s="48"/>
      <c r="Q50" s="63"/>
      <c r="R50" s="49"/>
      <c r="S50" s="49"/>
      <c r="T50" s="49"/>
    </row>
    <row r="51">
      <c r="A51" s="49" t="str">
        <f>IFERROR(__xludf.DUMMYFUNCTION("""COMPUTED_VALUE"""),"Evolution through courageous choices")</f>
        <v>Evolution through courageous choices</v>
      </c>
      <c r="B51" s="49" t="str">
        <f>IFERROR(__xludf.DUMMYFUNCTION("""COMPUTED_VALUE"""),"Corporate Innovation Summit")</f>
        <v>Corporate Innovation Summit</v>
      </c>
      <c r="C51" s="94" t="str">
        <f>IFERROR(__xludf.DUMMYFUNCTION("""COMPUTED_VALUE"""),"Jeroen Tas")</f>
        <v>Jeroen Tas</v>
      </c>
      <c r="D51" s="49" t="str">
        <f>IFERROR(__xludf.DUMMYFUNCTION("""COMPUTED_VALUE"""),"2019/11/07 15:20:00")</f>
        <v>2019/11/07 15:20:00</v>
      </c>
      <c r="E51" s="49" t="str">
        <f>IFERROR(__xludf.DUMMYFUNCTION("""COMPUTED_VALUE"""),"2019/11/07 15:35:00")</f>
        <v>2019/11/07 15:35:00</v>
      </c>
      <c r="F51" s="49" t="str">
        <f>IFERROR(__xludf.DUMMYFUNCTION("""COMPUTED_VALUE"""),"2d0c7b07-11fc-414f-a6b6-65f15b697eb4")</f>
        <v>2d0c7b07-11fc-414f-a6b6-65f15b697eb4</v>
      </c>
      <c r="G51" s="52">
        <f>IFERROR(__xludf.DUMMYFUNCTION("""COMPUTED_VALUE"""),43776.0)</f>
        <v>43776</v>
      </c>
      <c r="H51" s="53">
        <f>IFERROR(__xludf.DUMMYFUNCTION("""COMPUTED_VALUE"""),0.6388888888888888)</f>
        <v>0.6388888889</v>
      </c>
      <c r="I51" s="52">
        <f>IFERROR(__xludf.DUMMYFUNCTION("""COMPUTED_VALUE"""),43776.0)</f>
        <v>43776</v>
      </c>
      <c r="J51" s="53">
        <f>IFERROR(__xludf.DUMMYFUNCTION("""COMPUTED_VALUE"""),0.6493055555555556)</f>
        <v>0.6493055556</v>
      </c>
      <c r="K51" s="53">
        <f t="shared" si="1"/>
        <v>0.01041666667</v>
      </c>
      <c r="L51" s="49" t="s">
        <v>118</v>
      </c>
      <c r="M51" s="87" t="s">
        <v>802</v>
      </c>
      <c r="N51" s="49"/>
      <c r="O51" s="48"/>
      <c r="P51" s="48"/>
      <c r="Q51" s="63"/>
      <c r="R51" s="49"/>
      <c r="S51" s="49"/>
      <c r="T51" s="49"/>
    </row>
    <row r="52">
      <c r="A52" s="49" t="str">
        <f>IFERROR(__xludf.DUMMYFUNCTION("""COMPUTED_VALUE"""),"Taking care of tomorrow")</f>
        <v>Taking care of tomorrow</v>
      </c>
      <c r="B52" s="49" t="str">
        <f>IFERROR(__xludf.DUMMYFUNCTION("""COMPUTED_VALUE"""),"Corporate Innovation Summit")</f>
        <v>Corporate Innovation Summit</v>
      </c>
      <c r="C52" s="94" t="str">
        <f>IFERROR(__xludf.DUMMYFUNCTION("""COMPUTED_VALUE"""),"Jeroen Tas, Saskia Steinacker and Paul Nuki")</f>
        <v>Jeroen Tas, Saskia Steinacker and Paul Nuki</v>
      </c>
      <c r="D52" s="49" t="str">
        <f>IFERROR(__xludf.DUMMYFUNCTION("""COMPUTED_VALUE"""),"2019/11/07 15:35:00")</f>
        <v>2019/11/07 15:35:00</v>
      </c>
      <c r="E52" s="49" t="str">
        <f>IFERROR(__xludf.DUMMYFUNCTION("""COMPUTED_VALUE"""),"2019/11/07 15:55:00")</f>
        <v>2019/11/07 15:55:00</v>
      </c>
      <c r="F52" s="49" t="str">
        <f>IFERROR(__xludf.DUMMYFUNCTION("""COMPUTED_VALUE"""),"31916c61-e7f5-4a42-9918-07d2fac5dfe2")</f>
        <v>31916c61-e7f5-4a42-9918-07d2fac5dfe2</v>
      </c>
      <c r="G52" s="52">
        <f>IFERROR(__xludf.DUMMYFUNCTION("""COMPUTED_VALUE"""),43776.0)</f>
        <v>43776</v>
      </c>
      <c r="H52" s="53">
        <f>IFERROR(__xludf.DUMMYFUNCTION("""COMPUTED_VALUE"""),0.6493055555555556)</f>
        <v>0.6493055556</v>
      </c>
      <c r="I52" s="52">
        <f>IFERROR(__xludf.DUMMYFUNCTION("""COMPUTED_VALUE"""),43776.0)</f>
        <v>43776</v>
      </c>
      <c r="J52" s="53">
        <f>IFERROR(__xludf.DUMMYFUNCTION("""COMPUTED_VALUE"""),0.6631944444444444)</f>
        <v>0.6631944444</v>
      </c>
      <c r="K52" s="53">
        <f t="shared" si="1"/>
        <v>0.01388888889</v>
      </c>
      <c r="L52" s="49" t="s">
        <v>109</v>
      </c>
      <c r="M52" s="87" t="s">
        <v>803</v>
      </c>
      <c r="N52" s="49"/>
      <c r="O52" s="48"/>
      <c r="P52" s="48"/>
      <c r="Q52" s="63"/>
      <c r="R52" s="49"/>
      <c r="S52" s="49"/>
      <c r="T52" s="49"/>
    </row>
    <row r="53">
      <c r="A53" s="49" t="str">
        <f>IFERROR(__xludf.DUMMYFUNCTION("""COMPUTED_VALUE"""),"Funding growth through innovation")</f>
        <v>Funding growth through innovation</v>
      </c>
      <c r="B53" s="49" t="str">
        <f>IFERROR(__xludf.DUMMYFUNCTION("""COMPUTED_VALUE"""),"Corporate Innovation Summit")</f>
        <v>Corporate Innovation Summit</v>
      </c>
      <c r="C53" s="94" t="str">
        <f>IFERROR(__xludf.DUMMYFUNCTION("""COMPUTED_VALUE"""),"Abdulaziz Bin Nasser Al-Khalifa, Emma Navarro and Nuno Fernandes")</f>
        <v>Abdulaziz Bin Nasser Al-Khalifa, Emma Navarro and Nuno Fernandes</v>
      </c>
      <c r="D53" s="49" t="str">
        <f>IFERROR(__xludf.DUMMYFUNCTION("""COMPUTED_VALUE"""),"2019/11/07 15:55:00")</f>
        <v>2019/11/07 15:55:00</v>
      </c>
      <c r="E53" s="49" t="str">
        <f>IFERROR(__xludf.DUMMYFUNCTION("""COMPUTED_VALUE"""),"2019/11/07 16:15:00")</f>
        <v>2019/11/07 16:15:00</v>
      </c>
      <c r="F53" s="49" t="str">
        <f>IFERROR(__xludf.DUMMYFUNCTION("""COMPUTED_VALUE"""),"e2b57d34-ddf4-4726-8d17-476e4dd618c9")</f>
        <v>e2b57d34-ddf4-4726-8d17-476e4dd618c9</v>
      </c>
      <c r="G53" s="52">
        <f>IFERROR(__xludf.DUMMYFUNCTION("""COMPUTED_VALUE"""),43776.0)</f>
        <v>43776</v>
      </c>
      <c r="H53" s="53">
        <f>IFERROR(__xludf.DUMMYFUNCTION("""COMPUTED_VALUE"""),0.6631944444444444)</f>
        <v>0.6631944444</v>
      </c>
      <c r="I53" s="52">
        <f>IFERROR(__xludf.DUMMYFUNCTION("""COMPUTED_VALUE"""),43776.0)</f>
        <v>43776</v>
      </c>
      <c r="J53" s="53">
        <f>IFERROR(__xludf.DUMMYFUNCTION("""COMPUTED_VALUE"""),0.6770833333333334)</f>
        <v>0.6770833333</v>
      </c>
      <c r="K53" s="53">
        <f t="shared" si="1"/>
        <v>0.01388888889</v>
      </c>
      <c r="L53" s="49" t="s">
        <v>109</v>
      </c>
      <c r="M53" s="87" t="s">
        <v>804</v>
      </c>
      <c r="N53" s="49"/>
      <c r="O53" s="48"/>
      <c r="P53" s="48"/>
      <c r="Q53" s="63"/>
      <c r="R53" s="49"/>
      <c r="S53" s="49"/>
      <c r="T53" s="49"/>
    </row>
    <row r="54">
      <c r="A54" s="49"/>
      <c r="B54" s="49"/>
      <c r="C54" s="94"/>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f t="shared" si="1"/>
        <v>0</v>
      </c>
      <c r="L54" s="49" t="s">
        <v>255</v>
      </c>
      <c r="M54" s="49"/>
      <c r="N54" s="49"/>
      <c r="O54" s="49"/>
      <c r="P54" s="49"/>
      <c r="Q54" s="49"/>
      <c r="R54" s="49"/>
      <c r="S54" s="49"/>
      <c r="T54" s="49"/>
    </row>
    <row r="55">
      <c r="A55" s="49"/>
      <c r="B55" s="49"/>
      <c r="C55" s="94"/>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f t="shared" si="1"/>
        <v>0</v>
      </c>
      <c r="L55" s="49" t="s">
        <v>255</v>
      </c>
      <c r="M55" s="49"/>
      <c r="N55" s="49"/>
      <c r="O55" s="49"/>
      <c r="P55" s="49"/>
      <c r="Q55" s="49"/>
      <c r="R55" s="49"/>
      <c r="S55" s="49"/>
      <c r="T55" s="49"/>
    </row>
    <row r="56">
      <c r="A56" s="49"/>
      <c r="B56" s="49"/>
      <c r="C56" s="94"/>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f t="shared" si="1"/>
        <v>0</v>
      </c>
      <c r="L56" s="49" t="s">
        <v>255</v>
      </c>
      <c r="M56" s="49"/>
      <c r="N56" s="49"/>
      <c r="O56" s="49"/>
      <c r="P56" s="49"/>
      <c r="Q56" s="49"/>
      <c r="R56" s="49"/>
      <c r="S56" s="49"/>
      <c r="T56" s="49"/>
    </row>
    <row r="57">
      <c r="A57" s="49"/>
      <c r="B57" s="49"/>
      <c r="C57" s="94"/>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f t="shared" si="1"/>
        <v>0</v>
      </c>
      <c r="L57" s="49" t="s">
        <v>255</v>
      </c>
      <c r="M57" s="49"/>
      <c r="N57" s="49"/>
      <c r="O57" s="49"/>
      <c r="P57" s="49"/>
      <c r="Q57" s="49"/>
      <c r="R57" s="49"/>
      <c r="S57" s="49"/>
      <c r="T57" s="49"/>
    </row>
    <row r="58">
      <c r="A58" s="49"/>
      <c r="B58" s="49"/>
      <c r="C58" s="94"/>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f t="shared" si="1"/>
        <v>0</v>
      </c>
      <c r="L58" s="49" t="s">
        <v>255</v>
      </c>
      <c r="M58" s="49"/>
      <c r="N58" s="49"/>
      <c r="O58" s="49"/>
      <c r="P58" s="49"/>
      <c r="Q58" s="49"/>
      <c r="R58" s="49"/>
      <c r="S58" s="49"/>
      <c r="T58" s="49"/>
    </row>
    <row r="59">
      <c r="A59" s="49"/>
      <c r="B59" s="49"/>
      <c r="C59" s="94"/>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f t="shared" si="1"/>
        <v>0</v>
      </c>
      <c r="L59" s="49" t="s">
        <v>255</v>
      </c>
      <c r="M59" s="49"/>
      <c r="N59" s="49"/>
      <c r="O59" s="49"/>
      <c r="P59" s="49"/>
      <c r="Q59" s="49"/>
      <c r="R59" s="49"/>
      <c r="S59" s="49"/>
      <c r="T59" s="49"/>
    </row>
    <row r="60">
      <c r="A60" s="49"/>
      <c r="B60" s="49"/>
      <c r="C60" s="94"/>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f t="shared" si="1"/>
        <v>0</v>
      </c>
      <c r="L60" s="49" t="s">
        <v>255</v>
      </c>
      <c r="M60" s="49"/>
      <c r="N60" s="49"/>
      <c r="O60" s="49"/>
      <c r="P60" s="49"/>
      <c r="Q60" s="49"/>
      <c r="R60" s="49"/>
      <c r="S60" s="49"/>
      <c r="T60" s="49"/>
    </row>
    <row r="61">
      <c r="A61" s="49"/>
      <c r="B61" s="49"/>
      <c r="C61" s="94"/>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f t="shared" si="1"/>
        <v>0</v>
      </c>
      <c r="L61" s="49" t="s">
        <v>255</v>
      </c>
      <c r="M61" s="49"/>
      <c r="N61" s="49"/>
      <c r="O61" s="49"/>
      <c r="P61" s="49"/>
      <c r="Q61" s="49"/>
      <c r="R61" s="49"/>
      <c r="S61" s="49"/>
      <c r="T61" s="49"/>
    </row>
    <row r="62">
      <c r="A62" s="49"/>
      <c r="B62" s="49"/>
      <c r="C62" s="94"/>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f t="shared" si="1"/>
        <v>0</v>
      </c>
      <c r="L62" s="49" t="s">
        <v>255</v>
      </c>
      <c r="M62" s="49"/>
      <c r="N62" s="49"/>
      <c r="O62" s="49"/>
      <c r="P62" s="49"/>
      <c r="Q62" s="49"/>
      <c r="R62" s="49"/>
      <c r="S62" s="49"/>
      <c r="T62" s="49"/>
    </row>
    <row r="63">
      <c r="A63" s="49"/>
      <c r="B63" s="49"/>
      <c r="C63" s="94"/>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f t="shared" si="1"/>
        <v>0</v>
      </c>
      <c r="L63" s="49" t="s">
        <v>255</v>
      </c>
      <c r="M63" s="49"/>
      <c r="N63" s="49"/>
      <c r="O63" s="49"/>
      <c r="P63" s="49"/>
      <c r="Q63" s="49"/>
      <c r="R63" s="49"/>
      <c r="S63" s="49"/>
      <c r="T63" s="49"/>
    </row>
    <row r="64">
      <c r="A64" s="49"/>
      <c r="B64" s="49"/>
      <c r="C64" s="94"/>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f t="shared" si="1"/>
        <v>0</v>
      </c>
      <c r="L64" s="49" t="s">
        <v>255</v>
      </c>
      <c r="M64" s="49"/>
      <c r="N64" s="49"/>
      <c r="O64" s="49"/>
      <c r="P64" s="49"/>
      <c r="Q64" s="49"/>
      <c r="R64" s="49"/>
      <c r="S64" s="49"/>
      <c r="T64" s="49"/>
    </row>
    <row r="65">
      <c r="A65" s="49"/>
      <c r="B65" s="49"/>
      <c r="C65" s="94"/>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f t="shared" si="1"/>
        <v>0</v>
      </c>
      <c r="L65" s="49" t="s">
        <v>255</v>
      </c>
      <c r="M65" s="49"/>
      <c r="N65" s="49"/>
      <c r="O65" s="49"/>
      <c r="P65" s="49"/>
      <c r="Q65" s="49"/>
      <c r="R65" s="49"/>
      <c r="S65" s="49"/>
      <c r="T65" s="49"/>
    </row>
    <row r="66">
      <c r="A66" s="49"/>
      <c r="B66" s="49"/>
      <c r="C66" s="94"/>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f t="shared" si="1"/>
        <v>0</v>
      </c>
      <c r="L66" s="49" t="s">
        <v>255</v>
      </c>
      <c r="M66" s="49"/>
      <c r="N66" s="49"/>
      <c r="O66" s="49"/>
      <c r="P66" s="49"/>
      <c r="Q66" s="49"/>
      <c r="R66" s="49"/>
      <c r="S66" s="49"/>
      <c r="T66" s="49"/>
    </row>
    <row r="67">
      <c r="A67" s="49"/>
      <c r="B67" s="49"/>
      <c r="C67" s="94"/>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f t="shared" si="1"/>
        <v>0</v>
      </c>
      <c r="L67" s="49" t="s">
        <v>255</v>
      </c>
      <c r="M67" s="49"/>
      <c r="N67" s="49"/>
      <c r="O67" s="49"/>
      <c r="P67" s="49"/>
      <c r="Q67" s="49"/>
      <c r="R67" s="49"/>
      <c r="S67" s="49"/>
      <c r="T67" s="49"/>
    </row>
    <row r="68">
      <c r="A68" s="49"/>
      <c r="B68" s="49"/>
      <c r="C68" s="94"/>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255</v>
      </c>
      <c r="M68" s="49"/>
      <c r="N68" s="49"/>
      <c r="O68" s="49"/>
      <c r="P68" s="49"/>
      <c r="Q68" s="49"/>
      <c r="R68" s="49"/>
      <c r="S68" s="49"/>
      <c r="T68" s="49"/>
    </row>
    <row r="69">
      <c r="A69" s="49"/>
      <c r="B69" s="49"/>
      <c r="C69" s="94"/>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255</v>
      </c>
      <c r="M69" s="49"/>
      <c r="N69" s="49"/>
      <c r="O69" s="49"/>
      <c r="P69" s="49"/>
      <c r="Q69" s="49"/>
      <c r="R69" s="49"/>
      <c r="S69" s="49"/>
      <c r="T69" s="49"/>
    </row>
    <row r="70">
      <c r="A70" s="49"/>
      <c r="B70" s="49"/>
      <c r="C70" s="94"/>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255</v>
      </c>
      <c r="M70" s="49"/>
      <c r="N70" s="49"/>
      <c r="O70" s="49"/>
      <c r="P70" s="49"/>
      <c r="Q70" s="49"/>
      <c r="R70" s="49"/>
      <c r="S70" s="49"/>
      <c r="T70" s="49"/>
    </row>
    <row r="71">
      <c r="A71" s="49"/>
      <c r="B71" s="49"/>
      <c r="C71" s="94"/>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255</v>
      </c>
      <c r="M71" s="49"/>
      <c r="N71" s="49"/>
      <c r="O71" s="49"/>
      <c r="P71" s="49"/>
      <c r="Q71" s="49"/>
      <c r="R71" s="49"/>
      <c r="S71" s="49"/>
      <c r="T71" s="49"/>
    </row>
    <row r="72">
      <c r="A72" s="49"/>
      <c r="B72" s="49"/>
      <c r="C72" s="94"/>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255</v>
      </c>
      <c r="M72" s="49"/>
      <c r="N72" s="49"/>
      <c r="O72" s="49"/>
      <c r="P72" s="49"/>
      <c r="Q72" s="49"/>
      <c r="R72" s="49"/>
      <c r="S72" s="49"/>
      <c r="T72" s="49"/>
    </row>
    <row r="73">
      <c r="A73" s="49"/>
      <c r="B73" s="49"/>
      <c r="C73" s="94"/>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255</v>
      </c>
      <c r="M73" s="49"/>
      <c r="N73" s="49"/>
      <c r="O73" s="49"/>
      <c r="P73" s="49"/>
      <c r="Q73" s="49"/>
      <c r="R73" s="49"/>
      <c r="S73" s="49"/>
      <c r="T73" s="49"/>
    </row>
    <row r="74">
      <c r="A74" s="49"/>
      <c r="B74" s="49"/>
      <c r="C74" s="94"/>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255</v>
      </c>
      <c r="M74" s="49"/>
      <c r="N74" s="49"/>
      <c r="O74" s="49"/>
      <c r="P74" s="49"/>
      <c r="Q74" s="49"/>
      <c r="R74" s="49"/>
      <c r="S74" s="49"/>
      <c r="T74" s="49"/>
    </row>
    <row r="75">
      <c r="A75" s="49"/>
      <c r="B75" s="49"/>
      <c r="C75" s="94"/>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255</v>
      </c>
      <c r="M75" s="49"/>
      <c r="N75" s="49"/>
      <c r="O75" s="49"/>
      <c r="P75" s="49"/>
      <c r="Q75" s="49"/>
      <c r="R75" s="49"/>
      <c r="S75" s="49"/>
      <c r="T75" s="49"/>
    </row>
    <row r="76">
      <c r="A76" s="49"/>
      <c r="B76" s="49"/>
      <c r="C76" s="94"/>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255</v>
      </c>
      <c r="M76" s="49"/>
      <c r="N76" s="49"/>
      <c r="O76" s="49"/>
      <c r="P76" s="49"/>
      <c r="Q76" s="49"/>
      <c r="R76" s="49"/>
      <c r="S76" s="49"/>
      <c r="T76" s="49"/>
    </row>
    <row r="77">
      <c r="A77" s="49"/>
      <c r="B77" s="49"/>
      <c r="C77" s="94"/>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255</v>
      </c>
      <c r="M77" s="49"/>
      <c r="N77" s="49"/>
      <c r="O77" s="49"/>
      <c r="P77" s="49"/>
      <c r="Q77" s="49"/>
      <c r="R77" s="49"/>
      <c r="S77" s="49"/>
      <c r="T77" s="49"/>
    </row>
    <row r="78">
      <c r="A78" s="49"/>
      <c r="B78" s="49"/>
      <c r="C78" s="94"/>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255</v>
      </c>
      <c r="M78" s="49"/>
      <c r="N78" s="49"/>
      <c r="O78" s="49"/>
      <c r="P78" s="49"/>
      <c r="Q78" s="49"/>
      <c r="R78" s="49"/>
      <c r="S78" s="49"/>
      <c r="T78" s="49"/>
    </row>
    <row r="79">
      <c r="A79" s="49"/>
      <c r="B79" s="49"/>
      <c r="C79" s="94"/>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255</v>
      </c>
      <c r="M79" s="49"/>
      <c r="N79" s="49"/>
      <c r="O79" s="49"/>
      <c r="P79" s="49"/>
      <c r="Q79" s="49"/>
      <c r="R79" s="49"/>
      <c r="S79" s="49"/>
      <c r="T79" s="49"/>
    </row>
    <row r="80">
      <c r="A80" s="49"/>
      <c r="B80" s="49"/>
      <c r="C80" s="94"/>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255</v>
      </c>
      <c r="M80" s="49"/>
      <c r="N80" s="49"/>
      <c r="O80" s="49"/>
      <c r="P80" s="49"/>
      <c r="Q80" s="49"/>
      <c r="R80" s="49"/>
      <c r="S80" s="49"/>
      <c r="T80" s="49"/>
    </row>
    <row r="81">
      <c r="A81" s="49"/>
      <c r="B81" s="49"/>
      <c r="C81" s="94"/>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255</v>
      </c>
      <c r="M81" s="49"/>
      <c r="N81" s="49"/>
      <c r="O81" s="49"/>
      <c r="P81" s="49"/>
      <c r="Q81" s="49"/>
      <c r="R81" s="49"/>
      <c r="S81" s="49"/>
      <c r="T81" s="49"/>
    </row>
    <row r="82">
      <c r="A82" s="49"/>
      <c r="B82" s="49"/>
      <c r="C82" s="94"/>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255</v>
      </c>
      <c r="M82" s="49"/>
      <c r="N82" s="49"/>
      <c r="O82" s="49"/>
      <c r="P82" s="49"/>
      <c r="Q82" s="49"/>
      <c r="R82" s="49"/>
      <c r="S82" s="49"/>
      <c r="T82" s="49"/>
    </row>
    <row r="83">
      <c r="A83" s="49"/>
      <c r="B83" s="49"/>
      <c r="C83" s="94"/>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255</v>
      </c>
      <c r="M83" s="49"/>
      <c r="N83" s="49"/>
      <c r="O83" s="49"/>
      <c r="P83" s="49"/>
      <c r="Q83" s="49"/>
      <c r="R83" s="49"/>
      <c r="S83" s="49"/>
      <c r="T83" s="49"/>
    </row>
    <row r="84">
      <c r="A84" s="49"/>
      <c r="B84" s="49"/>
      <c r="C84" s="94"/>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255</v>
      </c>
      <c r="M84" s="49"/>
      <c r="N84" s="49"/>
      <c r="O84" s="49"/>
      <c r="P84" s="49"/>
      <c r="Q84" s="49"/>
      <c r="R84" s="49"/>
      <c r="S84" s="49"/>
      <c r="T84" s="49"/>
    </row>
    <row r="85">
      <c r="A85" s="49"/>
      <c r="B85" s="49"/>
      <c r="C85" s="94"/>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255</v>
      </c>
      <c r="M85" s="49"/>
      <c r="N85" s="49"/>
      <c r="O85" s="49"/>
      <c r="P85" s="49"/>
      <c r="Q85" s="49"/>
      <c r="R85" s="49"/>
      <c r="S85" s="49"/>
      <c r="T85" s="49"/>
    </row>
    <row r="86">
      <c r="A86" s="49"/>
      <c r="B86" s="49"/>
      <c r="C86" s="94"/>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255</v>
      </c>
      <c r="M86" s="49"/>
      <c r="N86" s="49"/>
      <c r="O86" s="49"/>
      <c r="P86" s="49"/>
      <c r="Q86" s="49"/>
      <c r="R86" s="49"/>
      <c r="S86" s="49"/>
      <c r="T86" s="49"/>
    </row>
    <row r="87">
      <c r="A87" s="49"/>
      <c r="B87" s="49"/>
      <c r="C87" s="94"/>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255</v>
      </c>
      <c r="M87" s="49"/>
      <c r="N87" s="49"/>
      <c r="O87" s="49"/>
      <c r="P87" s="49"/>
      <c r="Q87" s="49"/>
      <c r="R87" s="49"/>
      <c r="S87" s="49"/>
      <c r="T87" s="49"/>
    </row>
    <row r="88">
      <c r="A88" s="49"/>
      <c r="B88" s="49"/>
      <c r="C88" s="94"/>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255</v>
      </c>
      <c r="M88" s="49"/>
      <c r="N88" s="49"/>
      <c r="O88" s="49"/>
      <c r="P88" s="49"/>
      <c r="Q88" s="49"/>
      <c r="R88" s="49"/>
      <c r="S88" s="49"/>
      <c r="T88" s="49"/>
    </row>
    <row r="89">
      <c r="A89" s="49"/>
      <c r="B89" s="49"/>
      <c r="C89" s="94"/>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255</v>
      </c>
      <c r="M89" s="49"/>
      <c r="N89" s="49"/>
      <c r="O89" s="49"/>
      <c r="P89" s="49"/>
      <c r="Q89" s="49"/>
      <c r="R89" s="49"/>
      <c r="S89" s="49"/>
      <c r="T89" s="49"/>
    </row>
    <row r="90">
      <c r="A90" s="49"/>
      <c r="B90" s="49"/>
      <c r="C90" s="94"/>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255</v>
      </c>
      <c r="M90" s="49"/>
      <c r="N90" s="49"/>
      <c r="O90" s="49"/>
      <c r="P90" s="49"/>
      <c r="Q90" s="49"/>
      <c r="R90" s="49"/>
      <c r="S90" s="49"/>
      <c r="T90" s="49"/>
    </row>
    <row r="91">
      <c r="A91" s="49"/>
      <c r="B91" s="49"/>
      <c r="C91" s="94"/>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255</v>
      </c>
      <c r="M91" s="49"/>
      <c r="N91" s="49"/>
      <c r="O91" s="49"/>
      <c r="P91" s="49"/>
      <c r="Q91" s="49"/>
      <c r="R91" s="49"/>
      <c r="S91" s="49"/>
      <c r="T91" s="49"/>
    </row>
    <row r="92">
      <c r="A92" s="49"/>
      <c r="B92" s="49"/>
      <c r="C92" s="94"/>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255</v>
      </c>
      <c r="M92" s="49"/>
      <c r="N92" s="49"/>
      <c r="O92" s="49"/>
      <c r="P92" s="49"/>
      <c r="Q92" s="49"/>
      <c r="R92" s="49"/>
      <c r="S92" s="49"/>
      <c r="T92" s="49"/>
    </row>
    <row r="93">
      <c r="A93" s="49"/>
      <c r="B93" s="49"/>
      <c r="C93" s="94"/>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255</v>
      </c>
      <c r="M93" s="49"/>
      <c r="N93" s="49"/>
      <c r="O93" s="49"/>
      <c r="P93" s="49"/>
      <c r="Q93" s="49"/>
      <c r="R93" s="49"/>
      <c r="S93" s="49"/>
      <c r="T93" s="49"/>
    </row>
    <row r="94">
      <c r="A94" s="49"/>
      <c r="B94" s="49"/>
      <c r="C94" s="94"/>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255</v>
      </c>
      <c r="M94" s="49"/>
      <c r="N94" s="49"/>
      <c r="O94" s="49"/>
      <c r="P94" s="49"/>
      <c r="Q94" s="49"/>
      <c r="R94" s="49"/>
      <c r="S94" s="49"/>
      <c r="T94" s="49"/>
    </row>
    <row r="95">
      <c r="A95" s="49"/>
      <c r="B95" s="49"/>
      <c r="C95" s="94"/>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255</v>
      </c>
      <c r="M95" s="49"/>
      <c r="N95" s="49"/>
      <c r="O95" s="49"/>
      <c r="P95" s="49"/>
      <c r="Q95" s="49"/>
      <c r="R95" s="49"/>
      <c r="S95" s="49"/>
      <c r="T95" s="49"/>
    </row>
    <row r="96">
      <c r="A96" s="49"/>
      <c r="B96" s="49"/>
      <c r="C96" s="94"/>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255</v>
      </c>
      <c r="M96" s="49"/>
      <c r="N96" s="49"/>
      <c r="O96" s="49"/>
      <c r="P96" s="49"/>
      <c r="Q96" s="49"/>
      <c r="R96" s="49"/>
      <c r="S96" s="49"/>
      <c r="T96" s="49"/>
    </row>
    <row r="97">
      <c r="A97" s="49"/>
      <c r="B97" s="49"/>
      <c r="C97" s="94"/>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255</v>
      </c>
      <c r="M97" s="49"/>
      <c r="N97" s="49"/>
      <c r="O97" s="49"/>
      <c r="P97" s="49"/>
      <c r="Q97" s="49"/>
      <c r="R97" s="49"/>
      <c r="S97" s="49"/>
      <c r="T97" s="49"/>
    </row>
    <row r="98">
      <c r="A98" s="49"/>
      <c r="B98" s="49"/>
      <c r="C98" s="94"/>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255</v>
      </c>
      <c r="M98" s="49"/>
      <c r="N98" s="49"/>
      <c r="O98" s="49"/>
      <c r="P98" s="49"/>
      <c r="Q98" s="49"/>
      <c r="R98" s="49"/>
      <c r="S98" s="49"/>
      <c r="T98" s="49"/>
    </row>
    <row r="99">
      <c r="A99" s="49"/>
      <c r="B99" s="49"/>
      <c r="C99" s="94"/>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255</v>
      </c>
      <c r="M99" s="49"/>
      <c r="N99" s="49"/>
      <c r="O99" s="49"/>
      <c r="P99" s="49"/>
      <c r="Q99" s="49"/>
      <c r="R99" s="49"/>
      <c r="S99" s="49"/>
      <c r="T99" s="49"/>
    </row>
    <row r="100">
      <c r="A100" s="49"/>
      <c r="B100" s="49"/>
      <c r="C100" s="94"/>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255</v>
      </c>
      <c r="M100" s="49"/>
      <c r="N100" s="49"/>
      <c r="O100" s="49"/>
      <c r="P100" s="49"/>
      <c r="Q100" s="49"/>
      <c r="R100" s="49"/>
      <c r="S100" s="49"/>
      <c r="T100" s="49"/>
    </row>
    <row r="101">
      <c r="A101" s="49"/>
      <c r="B101" s="49"/>
      <c r="C101" s="94"/>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255</v>
      </c>
      <c r="M101" s="49"/>
      <c r="N101" s="49"/>
      <c r="O101" s="49"/>
      <c r="P101" s="49"/>
      <c r="Q101" s="49"/>
      <c r="R101" s="49"/>
      <c r="S101" s="49"/>
      <c r="T101" s="49"/>
    </row>
    <row r="102">
      <c r="A102" s="49"/>
      <c r="B102" s="49"/>
      <c r="C102" s="94"/>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255</v>
      </c>
      <c r="M102" s="49"/>
      <c r="N102" s="49"/>
      <c r="O102" s="49"/>
      <c r="P102" s="49"/>
      <c r="Q102" s="49"/>
      <c r="R102" s="49"/>
      <c r="S102" s="49"/>
      <c r="T102" s="49"/>
    </row>
    <row r="103">
      <c r="A103" s="49"/>
      <c r="B103" s="49"/>
      <c r="C103" s="94"/>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255</v>
      </c>
      <c r="M103" s="49"/>
      <c r="N103" s="49"/>
      <c r="O103" s="49"/>
      <c r="P103" s="49"/>
      <c r="Q103" s="49"/>
      <c r="R103" s="49"/>
      <c r="S103" s="49"/>
      <c r="T103" s="49"/>
    </row>
    <row r="104">
      <c r="A104" s="49"/>
      <c r="B104" s="49"/>
      <c r="C104" s="94"/>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255</v>
      </c>
      <c r="M104" s="49"/>
      <c r="N104" s="49"/>
      <c r="O104" s="49"/>
      <c r="P104" s="49"/>
      <c r="Q104" s="49"/>
      <c r="R104" s="49"/>
      <c r="S104" s="49"/>
      <c r="T104" s="49"/>
    </row>
    <row r="105">
      <c r="A105" s="49"/>
      <c r="B105" s="49"/>
      <c r="C105" s="94"/>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255</v>
      </c>
      <c r="M105" s="49"/>
      <c r="N105" s="49"/>
      <c r="O105" s="49"/>
      <c r="P105" s="49"/>
      <c r="Q105" s="49"/>
      <c r="R105" s="49"/>
      <c r="S105" s="49"/>
      <c r="T105" s="49"/>
    </row>
    <row r="106">
      <c r="A106" s="49"/>
      <c r="B106" s="49"/>
      <c r="C106" s="94"/>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255</v>
      </c>
      <c r="M106" s="49"/>
      <c r="N106" s="49"/>
      <c r="O106" s="49"/>
      <c r="P106" s="49"/>
      <c r="Q106" s="49"/>
      <c r="R106" s="49"/>
      <c r="S106" s="49"/>
      <c r="T106" s="49"/>
    </row>
    <row r="107">
      <c r="A107" s="49"/>
      <c r="B107" s="49"/>
      <c r="C107" s="94"/>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255</v>
      </c>
      <c r="M107" s="49"/>
      <c r="N107" s="49"/>
      <c r="O107" s="49"/>
      <c r="P107" s="49"/>
      <c r="Q107" s="49"/>
      <c r="R107" s="49"/>
      <c r="S107" s="49"/>
      <c r="T107" s="49"/>
    </row>
    <row r="108">
      <c r="A108" s="49"/>
      <c r="B108" s="49"/>
      <c r="C108" s="94"/>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255</v>
      </c>
      <c r="M108" s="49"/>
      <c r="N108" s="49"/>
      <c r="O108" s="49"/>
      <c r="P108" s="49"/>
      <c r="Q108" s="49"/>
      <c r="R108" s="49"/>
      <c r="S108" s="49"/>
      <c r="T108" s="49"/>
    </row>
    <row r="109">
      <c r="A109" s="49"/>
      <c r="B109" s="49"/>
      <c r="C109" s="94"/>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255</v>
      </c>
      <c r="M109" s="49"/>
      <c r="N109" s="49"/>
      <c r="O109" s="49"/>
      <c r="P109" s="49"/>
      <c r="Q109" s="49"/>
      <c r="R109" s="49"/>
      <c r="S109" s="49"/>
      <c r="T109" s="49"/>
    </row>
    <row r="110">
      <c r="A110" s="49"/>
      <c r="B110" s="49"/>
      <c r="C110" s="94"/>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255</v>
      </c>
      <c r="M110" s="49"/>
      <c r="N110" s="49"/>
      <c r="O110" s="49"/>
      <c r="P110" s="49"/>
      <c r="Q110" s="49"/>
      <c r="R110" s="49"/>
      <c r="S110" s="49"/>
      <c r="T110" s="49"/>
    </row>
    <row r="111">
      <c r="A111" s="49"/>
      <c r="B111" s="49"/>
      <c r="C111" s="94"/>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255</v>
      </c>
      <c r="M111" s="49"/>
      <c r="N111" s="49"/>
      <c r="O111" s="49"/>
      <c r="P111" s="49"/>
      <c r="Q111" s="49"/>
      <c r="R111" s="49"/>
      <c r="S111" s="49"/>
      <c r="T111" s="49"/>
    </row>
    <row r="112">
      <c r="A112" s="49"/>
      <c r="B112" s="49"/>
      <c r="C112" s="94"/>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255</v>
      </c>
      <c r="M112" s="49"/>
      <c r="N112" s="49"/>
      <c r="O112" s="49"/>
      <c r="P112" s="49"/>
      <c r="Q112" s="49"/>
      <c r="R112" s="49"/>
      <c r="S112" s="49"/>
      <c r="T112" s="49"/>
    </row>
    <row r="113">
      <c r="A113" s="49"/>
      <c r="B113" s="49"/>
      <c r="C113" s="94"/>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255</v>
      </c>
      <c r="M113" s="49"/>
      <c r="N113" s="49"/>
      <c r="O113" s="49"/>
      <c r="P113" s="49"/>
      <c r="Q113" s="49"/>
      <c r="R113" s="49"/>
      <c r="S113" s="49"/>
      <c r="T113" s="49"/>
    </row>
    <row r="114">
      <c r="A114" s="49"/>
      <c r="B114" s="49"/>
      <c r="C114" s="94"/>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255</v>
      </c>
      <c r="M114" s="49"/>
      <c r="N114" s="49"/>
      <c r="O114" s="49"/>
      <c r="P114" s="49"/>
      <c r="Q114" s="49"/>
      <c r="R114" s="49"/>
      <c r="S114" s="49"/>
      <c r="T114" s="49"/>
    </row>
    <row r="115">
      <c r="A115" s="49"/>
      <c r="B115" s="49"/>
      <c r="C115" s="94"/>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255</v>
      </c>
      <c r="M115" s="49"/>
      <c r="N115" s="49"/>
      <c r="O115" s="49"/>
      <c r="P115" s="49"/>
      <c r="Q115" s="49"/>
      <c r="R115" s="49"/>
      <c r="S115" s="49"/>
      <c r="T115" s="49"/>
    </row>
    <row r="116">
      <c r="A116" s="49"/>
      <c r="B116" s="49"/>
      <c r="C116" s="94"/>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255</v>
      </c>
      <c r="M116" s="49"/>
      <c r="N116" s="49"/>
      <c r="O116" s="49"/>
      <c r="P116" s="49"/>
      <c r="Q116" s="49"/>
      <c r="R116" s="49"/>
      <c r="S116" s="49"/>
      <c r="T116" s="49"/>
    </row>
    <row r="117">
      <c r="A117" s="49"/>
      <c r="B117" s="49"/>
      <c r="C117" s="94"/>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255</v>
      </c>
      <c r="M117" s="49"/>
      <c r="N117" s="49"/>
      <c r="O117" s="49"/>
      <c r="P117" s="49"/>
      <c r="Q117" s="49"/>
      <c r="R117" s="49"/>
      <c r="S117" s="49"/>
      <c r="T117" s="49"/>
    </row>
    <row r="118">
      <c r="A118" s="49"/>
      <c r="B118" s="49"/>
      <c r="C118" s="94"/>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255</v>
      </c>
      <c r="M118" s="49"/>
      <c r="N118" s="49"/>
      <c r="O118" s="49"/>
      <c r="P118" s="49"/>
      <c r="Q118" s="49"/>
      <c r="R118" s="49"/>
      <c r="S118" s="49"/>
      <c r="T118" s="49"/>
    </row>
    <row r="119">
      <c r="A119" s="49"/>
      <c r="B119" s="49"/>
      <c r="C119" s="94"/>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255</v>
      </c>
      <c r="M119" s="49"/>
      <c r="N119" s="49"/>
      <c r="O119" s="49"/>
      <c r="P119" s="49"/>
      <c r="Q119" s="49"/>
      <c r="R119" s="49"/>
      <c r="S119" s="49"/>
      <c r="T119" s="49"/>
    </row>
    <row r="120">
      <c r="A120" s="49"/>
      <c r="B120" s="49"/>
      <c r="C120" s="94"/>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255</v>
      </c>
      <c r="M120" s="49"/>
      <c r="N120" s="49"/>
      <c r="O120" s="49"/>
      <c r="P120" s="49"/>
      <c r="Q120" s="49"/>
      <c r="R120" s="49"/>
      <c r="S120" s="49"/>
      <c r="T120" s="49"/>
    </row>
    <row r="121">
      <c r="A121" s="49"/>
      <c r="B121" s="49"/>
      <c r="C121" s="94"/>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255</v>
      </c>
      <c r="M121" s="49"/>
      <c r="N121" s="49"/>
      <c r="O121" s="49"/>
      <c r="P121" s="49"/>
      <c r="Q121" s="49"/>
      <c r="R121" s="49"/>
      <c r="S121" s="49"/>
      <c r="T121" s="49"/>
    </row>
    <row r="122">
      <c r="A122" s="49"/>
      <c r="B122" s="49"/>
      <c r="C122" s="94"/>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255</v>
      </c>
      <c r="M122" s="49"/>
      <c r="N122" s="49"/>
      <c r="O122" s="49"/>
      <c r="P122" s="49"/>
      <c r="Q122" s="49"/>
      <c r="R122" s="49"/>
      <c r="S122" s="49"/>
      <c r="T122" s="49"/>
    </row>
    <row r="123">
      <c r="A123" s="49"/>
      <c r="B123" s="49"/>
      <c r="C123" s="94"/>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255</v>
      </c>
      <c r="M123" s="49"/>
      <c r="N123" s="49"/>
      <c r="O123" s="49"/>
      <c r="P123" s="49"/>
      <c r="Q123" s="49"/>
      <c r="R123" s="49"/>
      <c r="S123" s="49"/>
      <c r="T123" s="49"/>
    </row>
    <row r="124">
      <c r="A124" s="49"/>
      <c r="B124" s="49"/>
      <c r="C124" s="94"/>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255</v>
      </c>
      <c r="M124" s="49"/>
      <c r="N124" s="49"/>
      <c r="O124" s="49"/>
      <c r="P124" s="49"/>
      <c r="Q124" s="49"/>
      <c r="R124" s="49"/>
      <c r="S124" s="49"/>
      <c r="T124" s="49"/>
    </row>
    <row r="125">
      <c r="A125" s="49"/>
      <c r="B125" s="49"/>
      <c r="C125" s="94"/>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255</v>
      </c>
      <c r="M125" s="49"/>
      <c r="N125" s="49"/>
      <c r="O125" s="49"/>
      <c r="P125" s="49"/>
      <c r="Q125" s="49"/>
      <c r="R125" s="49"/>
      <c r="S125" s="49"/>
      <c r="T125" s="49"/>
    </row>
    <row r="126">
      <c r="A126" s="49"/>
      <c r="B126" s="49"/>
      <c r="C126" s="94"/>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255</v>
      </c>
      <c r="M126" s="49"/>
      <c r="N126" s="49"/>
      <c r="O126" s="49"/>
      <c r="P126" s="49"/>
      <c r="Q126" s="49"/>
      <c r="R126" s="49"/>
      <c r="S126" s="49"/>
      <c r="T126" s="49"/>
    </row>
    <row r="127">
      <c r="A127" s="49"/>
      <c r="B127" s="49"/>
      <c r="C127" s="94"/>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255</v>
      </c>
      <c r="M127" s="49"/>
      <c r="N127" s="49"/>
      <c r="O127" s="49"/>
      <c r="P127" s="49"/>
      <c r="Q127" s="49"/>
      <c r="R127" s="49"/>
      <c r="S127" s="49"/>
      <c r="T127" s="49"/>
    </row>
    <row r="128">
      <c r="A128" s="49"/>
      <c r="B128" s="49"/>
      <c r="C128" s="94"/>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255</v>
      </c>
      <c r="M128" s="49"/>
      <c r="N128" s="49"/>
      <c r="O128" s="49"/>
      <c r="P128" s="49"/>
      <c r="Q128" s="49"/>
      <c r="R128" s="49"/>
      <c r="S128" s="49"/>
      <c r="T128" s="49"/>
    </row>
    <row r="129">
      <c r="A129" s="49"/>
      <c r="B129" s="49"/>
      <c r="C129" s="94"/>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255</v>
      </c>
      <c r="M129" s="49"/>
      <c r="N129" s="49"/>
      <c r="O129" s="49"/>
      <c r="P129" s="49"/>
      <c r="Q129" s="49"/>
      <c r="R129" s="49"/>
      <c r="S129" s="49"/>
      <c r="T129" s="49"/>
    </row>
    <row r="130">
      <c r="A130" s="49"/>
      <c r="B130" s="49"/>
      <c r="C130" s="94"/>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255</v>
      </c>
      <c r="M130" s="49"/>
      <c r="N130" s="49"/>
      <c r="O130" s="49"/>
      <c r="P130" s="49"/>
      <c r="Q130" s="49"/>
      <c r="R130" s="49"/>
      <c r="S130" s="49"/>
      <c r="T130" s="49"/>
    </row>
    <row r="131">
      <c r="A131" s="49"/>
      <c r="B131" s="49"/>
      <c r="C131" s="94"/>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255</v>
      </c>
      <c r="M131" s="49"/>
      <c r="N131" s="49"/>
      <c r="O131" s="49"/>
      <c r="P131" s="49"/>
      <c r="Q131" s="49"/>
      <c r="R131" s="49"/>
      <c r="S131" s="49"/>
      <c r="T131" s="49"/>
    </row>
    <row r="132">
      <c r="A132" s="49"/>
      <c r="B132" s="49"/>
      <c r="C132" s="94"/>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255</v>
      </c>
      <c r="M132" s="49"/>
      <c r="N132" s="49"/>
      <c r="O132" s="49"/>
      <c r="P132" s="49"/>
      <c r="Q132" s="49"/>
      <c r="R132" s="49"/>
      <c r="S132" s="49"/>
      <c r="T132" s="49"/>
    </row>
    <row r="133">
      <c r="A133" s="49"/>
      <c r="B133" s="49"/>
      <c r="C133" s="94"/>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255</v>
      </c>
      <c r="M133" s="49"/>
      <c r="N133" s="49"/>
      <c r="O133" s="49"/>
      <c r="P133" s="49"/>
      <c r="Q133" s="49"/>
      <c r="R133" s="49"/>
      <c r="S133" s="49"/>
      <c r="T133" s="49"/>
    </row>
    <row r="134">
      <c r="A134" s="49"/>
      <c r="B134" s="49"/>
      <c r="C134" s="94"/>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255</v>
      </c>
      <c r="M134" s="49"/>
      <c r="N134" s="49"/>
      <c r="O134" s="49"/>
      <c r="P134" s="49"/>
      <c r="Q134" s="49"/>
      <c r="R134" s="49"/>
      <c r="S134" s="49"/>
      <c r="T134" s="49"/>
    </row>
    <row r="135">
      <c r="A135" s="49"/>
      <c r="B135" s="49"/>
      <c r="C135" s="94"/>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255</v>
      </c>
      <c r="M135" s="49"/>
      <c r="N135" s="49"/>
      <c r="O135" s="49"/>
      <c r="P135" s="49"/>
      <c r="Q135" s="49"/>
      <c r="R135" s="49"/>
      <c r="S135" s="49"/>
      <c r="T135" s="49"/>
    </row>
    <row r="136">
      <c r="A136" s="49"/>
      <c r="B136" s="49"/>
      <c r="C136" s="94"/>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255</v>
      </c>
      <c r="M136" s="49"/>
      <c r="N136" s="49"/>
      <c r="O136" s="49"/>
      <c r="P136" s="49"/>
      <c r="Q136" s="49"/>
      <c r="R136" s="49"/>
      <c r="S136" s="49"/>
      <c r="T136" s="49"/>
    </row>
    <row r="137">
      <c r="A137" s="49"/>
      <c r="B137" s="49"/>
      <c r="C137" s="94"/>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255</v>
      </c>
      <c r="M137" s="49"/>
      <c r="N137" s="49"/>
      <c r="O137" s="49"/>
      <c r="P137" s="49"/>
      <c r="Q137" s="49"/>
      <c r="R137" s="49"/>
      <c r="S137" s="49"/>
      <c r="T137" s="49"/>
    </row>
    <row r="138">
      <c r="A138" s="49"/>
      <c r="B138" s="49"/>
      <c r="C138" s="94"/>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255</v>
      </c>
      <c r="M138" s="49"/>
      <c r="N138" s="49"/>
      <c r="O138" s="49"/>
      <c r="P138" s="49"/>
      <c r="Q138" s="49"/>
      <c r="R138" s="49"/>
      <c r="S138" s="49"/>
      <c r="T138" s="49"/>
    </row>
    <row r="139">
      <c r="A139" s="49"/>
      <c r="B139" s="49"/>
      <c r="C139" s="94"/>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255</v>
      </c>
      <c r="M139" s="49"/>
      <c r="N139" s="49"/>
      <c r="O139" s="49"/>
      <c r="P139" s="49"/>
      <c r="Q139" s="49"/>
      <c r="R139" s="49"/>
      <c r="S139" s="49"/>
      <c r="T139" s="49"/>
    </row>
    <row r="140">
      <c r="A140" s="49"/>
      <c r="B140" s="49"/>
      <c r="C140" s="94"/>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255</v>
      </c>
      <c r="M140" s="49"/>
      <c r="N140" s="49"/>
      <c r="O140" s="49"/>
      <c r="P140" s="49"/>
      <c r="Q140" s="49"/>
      <c r="R140" s="49"/>
      <c r="S140" s="49"/>
      <c r="T140" s="49"/>
    </row>
    <row r="141">
      <c r="A141" s="49"/>
      <c r="B141" s="49"/>
      <c r="C141" s="94"/>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255</v>
      </c>
      <c r="M141" s="49"/>
      <c r="N141" s="49"/>
      <c r="O141" s="49"/>
      <c r="P141" s="49"/>
      <c r="Q141" s="49"/>
      <c r="R141" s="49"/>
      <c r="S141" s="49"/>
      <c r="T141" s="49"/>
    </row>
    <row r="142">
      <c r="A142" s="49"/>
      <c r="B142" s="49"/>
      <c r="C142" s="94"/>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255</v>
      </c>
      <c r="M142" s="49"/>
      <c r="N142" s="49"/>
      <c r="O142" s="49"/>
      <c r="P142" s="49"/>
      <c r="Q142" s="49"/>
      <c r="R142" s="49"/>
      <c r="S142" s="49"/>
      <c r="T142" s="49"/>
    </row>
    <row r="143">
      <c r="A143" s="49"/>
      <c r="B143" s="49"/>
      <c r="C143" s="94"/>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255</v>
      </c>
      <c r="M143" s="49"/>
      <c r="N143" s="49"/>
      <c r="O143" s="49"/>
      <c r="P143" s="49"/>
      <c r="Q143" s="49"/>
      <c r="R143" s="49"/>
      <c r="S143" s="49"/>
      <c r="T143" s="49"/>
    </row>
    <row r="144">
      <c r="A144" s="49"/>
      <c r="B144" s="49"/>
      <c r="C144" s="94"/>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255</v>
      </c>
      <c r="M144" s="49"/>
      <c r="N144" s="49"/>
      <c r="O144" s="49"/>
      <c r="P144" s="49"/>
      <c r="Q144" s="49"/>
      <c r="R144" s="49"/>
      <c r="S144" s="49"/>
      <c r="T144" s="49"/>
    </row>
    <row r="145">
      <c r="A145" s="49"/>
      <c r="B145" s="49"/>
      <c r="C145" s="94"/>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255</v>
      </c>
      <c r="M145" s="49"/>
      <c r="N145" s="49"/>
      <c r="O145" s="49"/>
      <c r="P145" s="49"/>
      <c r="Q145" s="49"/>
      <c r="R145" s="49"/>
      <c r="S145" s="49"/>
      <c r="T145" s="49"/>
    </row>
    <row r="146">
      <c r="A146" s="49"/>
      <c r="B146" s="49"/>
      <c r="C146" s="94"/>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255</v>
      </c>
      <c r="M146" s="49"/>
      <c r="N146" s="49"/>
      <c r="O146" s="49"/>
      <c r="P146" s="49"/>
      <c r="Q146" s="49"/>
      <c r="R146" s="49"/>
      <c r="S146" s="49"/>
      <c r="T146" s="49"/>
    </row>
    <row r="147">
      <c r="A147" s="49"/>
      <c r="B147" s="49"/>
      <c r="C147" s="94"/>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255</v>
      </c>
      <c r="M147" s="49"/>
      <c r="N147" s="49"/>
      <c r="O147" s="49"/>
      <c r="P147" s="49"/>
      <c r="Q147" s="49"/>
      <c r="R147" s="49"/>
      <c r="S147" s="49"/>
      <c r="T147" s="49"/>
    </row>
    <row r="148">
      <c r="A148" s="49"/>
      <c r="B148" s="49"/>
      <c r="C148" s="94"/>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255</v>
      </c>
      <c r="M148" s="49"/>
      <c r="N148" s="49"/>
      <c r="O148" s="49"/>
      <c r="P148" s="49"/>
      <c r="Q148" s="49"/>
      <c r="R148" s="49"/>
      <c r="S148" s="49"/>
      <c r="T148" s="49"/>
    </row>
    <row r="149">
      <c r="A149" s="49"/>
      <c r="B149" s="49"/>
      <c r="C149" s="94"/>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255</v>
      </c>
      <c r="M149" s="49"/>
      <c r="N149" s="49"/>
      <c r="O149" s="49"/>
      <c r="P149" s="49"/>
      <c r="Q149" s="49"/>
      <c r="R149" s="49"/>
      <c r="S149" s="49"/>
      <c r="T149" s="49"/>
    </row>
    <row r="150">
      <c r="A150" s="49"/>
      <c r="B150" s="49"/>
      <c r="C150" s="94"/>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255</v>
      </c>
      <c r="M150" s="49"/>
      <c r="N150" s="49"/>
      <c r="O150" s="49"/>
      <c r="P150" s="49"/>
      <c r="Q150" s="49"/>
      <c r="R150" s="49"/>
      <c r="S150" s="49"/>
      <c r="T150" s="49"/>
    </row>
    <row r="151">
      <c r="A151" s="49"/>
      <c r="B151" s="49"/>
      <c r="C151" s="94"/>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255</v>
      </c>
      <c r="M151" s="49"/>
      <c r="N151" s="49"/>
      <c r="O151" s="49"/>
      <c r="P151" s="49"/>
      <c r="Q151" s="49"/>
      <c r="R151" s="49"/>
      <c r="S151" s="49"/>
      <c r="T151" s="49"/>
    </row>
    <row r="152">
      <c r="A152" s="49"/>
      <c r="B152" s="49"/>
      <c r="C152" s="94"/>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255</v>
      </c>
      <c r="M152" s="49"/>
      <c r="N152" s="49"/>
      <c r="O152" s="49"/>
      <c r="P152" s="49"/>
      <c r="Q152" s="49"/>
      <c r="R152" s="49"/>
      <c r="S152" s="49"/>
      <c r="T152" s="49"/>
    </row>
    <row r="153">
      <c r="A153" s="49"/>
      <c r="B153" s="49"/>
      <c r="C153" s="94"/>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255</v>
      </c>
      <c r="M153" s="49"/>
      <c r="N153" s="49"/>
      <c r="O153" s="49"/>
      <c r="P153" s="49"/>
      <c r="Q153" s="49"/>
      <c r="R153" s="49"/>
      <c r="S153" s="49"/>
      <c r="T153" s="49"/>
    </row>
    <row r="154">
      <c r="A154" s="49"/>
      <c r="B154" s="49"/>
      <c r="C154" s="94"/>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255</v>
      </c>
      <c r="M154" s="49"/>
      <c r="N154" s="49"/>
      <c r="O154" s="49"/>
      <c r="P154" s="49"/>
      <c r="Q154" s="49"/>
      <c r="R154" s="49"/>
      <c r="S154" s="49"/>
      <c r="T154" s="49"/>
    </row>
    <row r="155">
      <c r="A155" s="49"/>
      <c r="B155" s="49"/>
      <c r="C155" s="94"/>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255</v>
      </c>
      <c r="M155" s="49"/>
      <c r="N155" s="49"/>
      <c r="O155" s="49"/>
      <c r="P155" s="49"/>
      <c r="Q155" s="49"/>
      <c r="R155" s="49"/>
      <c r="S155" s="49"/>
      <c r="T155" s="49"/>
    </row>
    <row r="156">
      <c r="A156" s="49"/>
      <c r="B156" s="49"/>
      <c r="C156" s="94"/>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255</v>
      </c>
      <c r="M156" s="49"/>
      <c r="N156" s="49"/>
      <c r="O156" s="49"/>
      <c r="P156" s="49"/>
      <c r="Q156" s="49"/>
      <c r="R156" s="49"/>
      <c r="S156" s="49"/>
      <c r="T156" s="49"/>
    </row>
    <row r="157">
      <c r="A157" s="49"/>
      <c r="B157" s="49"/>
      <c r="C157" s="94"/>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255</v>
      </c>
      <c r="M157" s="49"/>
      <c r="N157" s="49"/>
      <c r="O157" s="49"/>
      <c r="P157" s="49"/>
      <c r="Q157" s="49"/>
      <c r="R157" s="49"/>
      <c r="S157" s="49"/>
      <c r="T157" s="49"/>
    </row>
    <row r="158">
      <c r="A158" s="49"/>
      <c r="B158" s="49"/>
      <c r="C158" s="94"/>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255</v>
      </c>
      <c r="M158" s="49"/>
      <c r="N158" s="49"/>
      <c r="O158" s="49"/>
      <c r="P158" s="49"/>
      <c r="Q158" s="49"/>
      <c r="R158" s="49"/>
      <c r="S158" s="49"/>
      <c r="T158" s="49"/>
    </row>
    <row r="159">
      <c r="A159" s="49"/>
      <c r="B159" s="49"/>
      <c r="C159" s="94"/>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255</v>
      </c>
      <c r="M159" s="49"/>
      <c r="N159" s="49"/>
      <c r="O159" s="49"/>
      <c r="P159" s="49"/>
      <c r="Q159" s="49"/>
      <c r="R159" s="49"/>
      <c r="S159" s="49"/>
      <c r="T159" s="49"/>
    </row>
    <row r="160">
      <c r="A160" s="49"/>
      <c r="B160" s="49"/>
      <c r="C160" s="94"/>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255</v>
      </c>
      <c r="M160" s="49"/>
      <c r="N160" s="49"/>
      <c r="O160" s="49"/>
      <c r="P160" s="49"/>
      <c r="Q160" s="49"/>
      <c r="R160" s="49"/>
      <c r="S160" s="49"/>
      <c r="T160" s="49"/>
    </row>
    <row r="161">
      <c r="A161" s="49"/>
      <c r="B161" s="49"/>
      <c r="C161" s="94"/>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255</v>
      </c>
      <c r="M161" s="49"/>
      <c r="N161" s="49"/>
      <c r="O161" s="49"/>
      <c r="P161" s="49"/>
      <c r="Q161" s="49"/>
      <c r="R161" s="49"/>
      <c r="S161" s="49"/>
      <c r="T161" s="49"/>
    </row>
    <row r="162">
      <c r="A162" s="49"/>
      <c r="B162" s="49"/>
      <c r="C162" s="94"/>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255</v>
      </c>
      <c r="M162" s="49"/>
      <c r="N162" s="49"/>
      <c r="O162" s="49"/>
      <c r="P162" s="49"/>
      <c r="Q162" s="49"/>
      <c r="R162" s="49"/>
      <c r="S162" s="49"/>
      <c r="T162" s="49"/>
    </row>
    <row r="163">
      <c r="A163" s="49"/>
      <c r="B163" s="49"/>
      <c r="C163" s="94"/>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255</v>
      </c>
      <c r="M163" s="49"/>
      <c r="N163" s="49"/>
      <c r="O163" s="49"/>
      <c r="P163" s="49"/>
      <c r="Q163" s="49"/>
      <c r="R163" s="49"/>
      <c r="S163" s="49"/>
      <c r="T163" s="49"/>
    </row>
    <row r="164">
      <c r="A164" s="49"/>
      <c r="B164" s="49"/>
      <c r="C164" s="94"/>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255</v>
      </c>
      <c r="M164" s="49"/>
      <c r="N164" s="49"/>
      <c r="O164" s="49"/>
      <c r="P164" s="49"/>
      <c r="Q164" s="49"/>
      <c r="R164" s="49"/>
      <c r="S164" s="49"/>
      <c r="T164" s="49"/>
    </row>
    <row r="165">
      <c r="A165" s="49"/>
      <c r="B165" s="49"/>
      <c r="C165" s="94"/>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49"/>
      <c r="N165" s="49"/>
      <c r="O165" s="49"/>
      <c r="P165" s="49"/>
      <c r="Q165" s="49"/>
      <c r="R165" s="49"/>
      <c r="S165" s="49"/>
      <c r="T165" s="49"/>
    </row>
    <row r="166">
      <c r="A166" s="49"/>
      <c r="B166" s="49"/>
      <c r="C166" s="94"/>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49"/>
      <c r="N166" s="49"/>
      <c r="O166" s="49"/>
      <c r="P166" s="49"/>
      <c r="Q166" s="49"/>
      <c r="R166" s="49"/>
      <c r="S166" s="49"/>
      <c r="T166" s="49"/>
    </row>
    <row r="167">
      <c r="A167" s="49"/>
      <c r="B167" s="49"/>
      <c r="C167" s="94"/>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49"/>
      <c r="N167" s="49"/>
      <c r="O167" s="49"/>
      <c r="P167" s="49"/>
      <c r="Q167" s="49"/>
      <c r="R167" s="49"/>
      <c r="S167" s="49"/>
      <c r="T167" s="49"/>
    </row>
    <row r="168">
      <c r="A168" s="49"/>
      <c r="B168" s="49"/>
      <c r="C168" s="94"/>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49"/>
      <c r="N168" s="49"/>
      <c r="O168" s="49"/>
      <c r="P168" s="49"/>
      <c r="Q168" s="49"/>
      <c r="R168" s="49"/>
      <c r="S168" s="49"/>
      <c r="T168" s="49"/>
    </row>
    <row r="169">
      <c r="A169" s="49"/>
      <c r="B169" s="49"/>
      <c r="C169" s="94"/>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49"/>
      <c r="N169" s="49"/>
      <c r="O169" s="49"/>
      <c r="P169" s="49"/>
      <c r="Q169" s="49"/>
      <c r="R169" s="49"/>
      <c r="S169" s="49"/>
      <c r="T169" s="49"/>
    </row>
    <row r="170">
      <c r="A170" s="49"/>
      <c r="B170" s="49"/>
      <c r="C170" s="94"/>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49"/>
      <c r="N170" s="49"/>
      <c r="O170" s="49"/>
      <c r="P170" s="49"/>
      <c r="Q170" s="49"/>
      <c r="R170" s="49"/>
      <c r="S170" s="49"/>
      <c r="T170" s="49"/>
    </row>
    <row r="171">
      <c r="A171" s="49"/>
      <c r="B171" s="49"/>
      <c r="C171" s="94"/>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49"/>
      <c r="N171" s="49"/>
      <c r="O171" s="49"/>
      <c r="P171" s="49"/>
      <c r="Q171" s="49"/>
      <c r="R171" s="49"/>
      <c r="S171" s="49"/>
      <c r="T171" s="49"/>
    </row>
    <row r="172">
      <c r="A172" s="49"/>
      <c r="B172" s="49"/>
      <c r="C172" s="94"/>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49"/>
      <c r="N172" s="49"/>
      <c r="O172" s="49"/>
      <c r="P172" s="49"/>
      <c r="Q172" s="49"/>
      <c r="R172" s="49"/>
      <c r="S172" s="49"/>
      <c r="T172" s="49"/>
    </row>
    <row r="173">
      <c r="A173" s="49"/>
      <c r="B173" s="49"/>
      <c r="C173" s="94"/>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49"/>
      <c r="N173" s="49"/>
      <c r="O173" s="49"/>
      <c r="P173" s="49"/>
      <c r="Q173" s="49"/>
      <c r="R173" s="49"/>
      <c r="S173" s="49"/>
      <c r="T173" s="49"/>
    </row>
    <row r="174">
      <c r="A174" s="49"/>
      <c r="B174" s="49"/>
      <c r="C174" s="94"/>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49"/>
      <c r="N174" s="49"/>
      <c r="O174" s="49"/>
      <c r="P174" s="49"/>
      <c r="Q174" s="49"/>
      <c r="R174" s="49"/>
      <c r="S174" s="49"/>
      <c r="T174" s="49"/>
    </row>
    <row r="175">
      <c r="A175" s="49"/>
      <c r="B175" s="49"/>
      <c r="C175" s="94"/>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49"/>
      <c r="N175" s="49"/>
      <c r="O175" s="49"/>
      <c r="P175" s="49"/>
      <c r="Q175" s="49"/>
      <c r="R175" s="49"/>
      <c r="S175" s="49"/>
      <c r="T175" s="49"/>
    </row>
    <row r="176">
      <c r="A176" s="49"/>
      <c r="B176" s="49"/>
      <c r="C176" s="94"/>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49"/>
      <c r="N176" s="49"/>
      <c r="O176" s="49"/>
      <c r="P176" s="49"/>
      <c r="Q176" s="49"/>
      <c r="R176" s="49"/>
      <c r="S176" s="49"/>
      <c r="T176" s="49"/>
    </row>
    <row r="177">
      <c r="A177" s="49"/>
      <c r="B177" s="49"/>
      <c r="C177" s="94"/>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49"/>
      <c r="N177" s="49"/>
      <c r="O177" s="49"/>
      <c r="P177" s="49"/>
      <c r="Q177" s="49"/>
      <c r="R177" s="49"/>
      <c r="S177" s="49"/>
      <c r="T177" s="49"/>
    </row>
    <row r="178">
      <c r="A178" s="49"/>
      <c r="B178" s="49"/>
      <c r="C178" s="94"/>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49"/>
      <c r="N178" s="49"/>
      <c r="O178" s="49"/>
      <c r="P178" s="49"/>
      <c r="Q178" s="49"/>
      <c r="R178" s="49"/>
      <c r="S178" s="49"/>
      <c r="T178" s="49"/>
    </row>
    <row r="179">
      <c r="A179" s="49"/>
      <c r="B179" s="49"/>
      <c r="C179" s="94"/>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49"/>
      <c r="N179" s="49"/>
      <c r="O179" s="49"/>
      <c r="P179" s="49"/>
      <c r="Q179" s="49"/>
      <c r="R179" s="49"/>
      <c r="S179" s="49"/>
      <c r="T179" s="49"/>
    </row>
    <row r="180">
      <c r="A180" s="49"/>
      <c r="B180" s="49"/>
      <c r="C180" s="94"/>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49"/>
      <c r="N180" s="49"/>
      <c r="O180" s="49"/>
      <c r="P180" s="49"/>
      <c r="Q180" s="49"/>
      <c r="R180" s="49"/>
      <c r="S180" s="49"/>
      <c r="T180" s="49"/>
    </row>
    <row r="181">
      <c r="A181" s="49"/>
      <c r="B181" s="49"/>
      <c r="C181" s="94"/>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49"/>
      <c r="N181" s="49"/>
      <c r="O181" s="49"/>
      <c r="P181" s="49"/>
      <c r="Q181" s="49"/>
      <c r="R181" s="49"/>
      <c r="S181" s="49"/>
      <c r="T181" s="49"/>
    </row>
    <row r="182">
      <c r="A182" s="49"/>
      <c r="B182" s="49"/>
      <c r="C182" s="94"/>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49"/>
      <c r="N182" s="49"/>
      <c r="O182" s="49"/>
      <c r="P182" s="49"/>
      <c r="Q182" s="49"/>
      <c r="R182" s="49"/>
      <c r="S182" s="49"/>
      <c r="T182" s="49"/>
    </row>
    <row r="183">
      <c r="A183" s="49"/>
      <c r="B183" s="49"/>
      <c r="C183" s="94"/>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49"/>
      <c r="N183" s="49"/>
      <c r="O183" s="49"/>
      <c r="P183" s="49"/>
      <c r="Q183" s="49"/>
      <c r="R183" s="49"/>
      <c r="S183" s="49"/>
      <c r="T183" s="49"/>
    </row>
    <row r="184">
      <c r="A184" s="49"/>
      <c r="B184" s="49"/>
      <c r="C184" s="94"/>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49"/>
      <c r="N184" s="49"/>
      <c r="O184" s="49"/>
      <c r="P184" s="49"/>
      <c r="Q184" s="49"/>
      <c r="R184" s="49"/>
      <c r="S184" s="49"/>
      <c r="T184" s="49"/>
    </row>
    <row r="185">
      <c r="A185" s="49"/>
      <c r="B185" s="49"/>
      <c r="C185" s="94"/>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49"/>
      <c r="N185" s="49"/>
      <c r="O185" s="49"/>
      <c r="P185" s="49"/>
      <c r="Q185" s="49"/>
      <c r="R185" s="49"/>
      <c r="S185" s="49"/>
      <c r="T185" s="49"/>
    </row>
    <row r="186">
      <c r="A186" s="49"/>
      <c r="B186" s="49"/>
      <c r="C186" s="94"/>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49"/>
      <c r="N186" s="49"/>
      <c r="O186" s="49"/>
      <c r="P186" s="49"/>
      <c r="Q186" s="49"/>
      <c r="R186" s="49"/>
      <c r="S186" s="49"/>
      <c r="T186" s="49"/>
    </row>
    <row r="187">
      <c r="A187" s="49"/>
      <c r="B187" s="49"/>
      <c r="C187" s="94"/>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49"/>
      <c r="N187" s="49"/>
      <c r="O187" s="49"/>
      <c r="P187" s="49"/>
      <c r="Q187" s="49"/>
      <c r="R187" s="49"/>
      <c r="S187" s="49"/>
      <c r="T187" s="49"/>
    </row>
    <row r="188">
      <c r="A188" s="49"/>
      <c r="B188" s="49"/>
      <c r="C188" s="94"/>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49"/>
      <c r="N188" s="49"/>
      <c r="O188" s="49"/>
      <c r="P188" s="49"/>
      <c r="Q188" s="49"/>
      <c r="R188" s="49"/>
      <c r="S188" s="49"/>
      <c r="T188" s="49"/>
    </row>
    <row r="189">
      <c r="A189" s="49"/>
      <c r="B189" s="49"/>
      <c r="C189" s="94"/>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49"/>
      <c r="N189" s="49"/>
      <c r="O189" s="49"/>
      <c r="P189" s="49"/>
      <c r="Q189" s="49"/>
      <c r="R189" s="49"/>
      <c r="S189" s="49"/>
      <c r="T189" s="49"/>
    </row>
    <row r="190">
      <c r="A190" s="49"/>
      <c r="B190" s="49"/>
      <c r="C190" s="94"/>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49"/>
      <c r="N190" s="49"/>
      <c r="O190" s="49"/>
      <c r="P190" s="49"/>
      <c r="Q190" s="49"/>
      <c r="R190" s="49"/>
      <c r="S190" s="49"/>
      <c r="T190" s="49"/>
    </row>
    <row r="191">
      <c r="A191" s="49"/>
      <c r="B191" s="49"/>
      <c r="C191" s="94"/>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49"/>
      <c r="N191" s="49"/>
      <c r="O191" s="49"/>
      <c r="P191" s="49"/>
      <c r="Q191" s="49"/>
      <c r="R191" s="49"/>
      <c r="S191" s="49"/>
      <c r="T191" s="49"/>
    </row>
    <row r="192">
      <c r="A192" s="49"/>
      <c r="B192" s="49"/>
      <c r="C192" s="94"/>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49"/>
      <c r="N192" s="49"/>
      <c r="O192" s="49"/>
      <c r="P192" s="49"/>
      <c r="Q192" s="49"/>
      <c r="R192" s="49"/>
      <c r="S192" s="49"/>
      <c r="T192" s="49"/>
    </row>
    <row r="193">
      <c r="A193" s="49"/>
      <c r="B193" s="49"/>
      <c r="C193" s="94"/>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49"/>
      <c r="N193" s="49"/>
      <c r="O193" s="49"/>
      <c r="P193" s="49"/>
      <c r="Q193" s="49"/>
      <c r="R193" s="49"/>
      <c r="S193" s="49"/>
      <c r="T193" s="49"/>
    </row>
    <row r="194">
      <c r="A194" s="49"/>
      <c r="B194" s="49"/>
      <c r="C194" s="94"/>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49"/>
      <c r="N194" s="49"/>
      <c r="O194" s="49"/>
      <c r="P194" s="49"/>
      <c r="Q194" s="49"/>
      <c r="R194" s="49"/>
      <c r="S194" s="49"/>
      <c r="T194" s="49"/>
    </row>
    <row r="195">
      <c r="A195" s="49"/>
      <c r="B195" s="49"/>
      <c r="C195" s="94"/>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49"/>
      <c r="N195" s="49"/>
      <c r="O195" s="49"/>
      <c r="P195" s="49"/>
      <c r="Q195" s="49"/>
      <c r="R195" s="49"/>
      <c r="S195" s="49"/>
      <c r="T195" s="49"/>
    </row>
    <row r="196">
      <c r="A196" s="49"/>
      <c r="B196" s="49"/>
      <c r="C196" s="94"/>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49"/>
      <c r="N196" s="49"/>
      <c r="O196" s="49"/>
      <c r="P196" s="49"/>
      <c r="Q196" s="49"/>
      <c r="R196" s="49"/>
      <c r="S196" s="49"/>
      <c r="T196" s="49"/>
    </row>
    <row r="197">
      <c r="A197" s="49"/>
      <c r="B197" s="49"/>
      <c r="C197" s="94"/>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49"/>
      <c r="N197" s="49"/>
      <c r="O197" s="49"/>
      <c r="P197" s="49"/>
      <c r="Q197" s="49"/>
      <c r="R197" s="49"/>
      <c r="S197" s="49"/>
      <c r="T197" s="49"/>
    </row>
    <row r="198">
      <c r="A198" s="49"/>
      <c r="B198" s="49"/>
      <c r="C198" s="94"/>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255</v>
      </c>
      <c r="M198" s="49"/>
      <c r="N198" s="49"/>
      <c r="O198" s="49"/>
      <c r="P198" s="49"/>
      <c r="Q198" s="49"/>
      <c r="R198" s="49"/>
      <c r="S198" s="49"/>
      <c r="T198" s="49"/>
    </row>
    <row r="199">
      <c r="A199" s="49"/>
      <c r="B199" s="49"/>
      <c r="C199" s="94"/>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255</v>
      </c>
      <c r="M199" s="49"/>
      <c r="N199" s="49"/>
      <c r="O199" s="49"/>
      <c r="P199" s="49"/>
      <c r="Q199" s="49"/>
      <c r="R199" s="49"/>
      <c r="S199" s="49"/>
      <c r="T199" s="49"/>
    </row>
    <row r="200">
      <c r="A200" s="49"/>
      <c r="B200" s="49"/>
      <c r="C200" s="94"/>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255</v>
      </c>
      <c r="M200" s="49"/>
      <c r="N200" s="49"/>
      <c r="O200" s="49"/>
      <c r="P200" s="49"/>
      <c r="Q200" s="49"/>
      <c r="R200" s="49"/>
      <c r="S200" s="49"/>
      <c r="T200" s="49"/>
    </row>
    <row r="201">
      <c r="A201" s="49"/>
      <c r="B201" s="49"/>
      <c r="C201" s="94"/>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255</v>
      </c>
      <c r="M201" s="49"/>
      <c r="N201" s="49"/>
      <c r="O201" s="49"/>
      <c r="P201" s="49"/>
      <c r="Q201" s="49"/>
      <c r="R201" s="49"/>
      <c r="S201" s="49"/>
      <c r="T201" s="49"/>
    </row>
    <row r="202">
      <c r="A202" s="49"/>
      <c r="B202" s="49"/>
      <c r="C202" s="94"/>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255</v>
      </c>
      <c r="M202" s="49"/>
      <c r="N202" s="49"/>
      <c r="O202" s="49"/>
      <c r="P202" s="49"/>
      <c r="Q202" s="49"/>
      <c r="R202" s="49"/>
      <c r="S202" s="49"/>
      <c r="T202" s="49"/>
    </row>
    <row r="203">
      <c r="A203" s="49"/>
      <c r="B203" s="49"/>
      <c r="C203" s="94"/>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255</v>
      </c>
      <c r="M203" s="49"/>
      <c r="N203" s="49"/>
      <c r="O203" s="49"/>
      <c r="P203" s="49"/>
      <c r="Q203" s="49"/>
      <c r="R203" s="49"/>
      <c r="S203" s="49"/>
      <c r="T203" s="49"/>
    </row>
    <row r="204">
      <c r="A204" s="49"/>
      <c r="B204" s="49"/>
      <c r="C204" s="94"/>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255</v>
      </c>
      <c r="M204" s="49"/>
      <c r="N204" s="49"/>
      <c r="O204" s="49"/>
      <c r="P204" s="49"/>
      <c r="Q204" s="49"/>
      <c r="R204" s="49"/>
      <c r="S204" s="49"/>
      <c r="T204" s="49"/>
    </row>
    <row r="205">
      <c r="A205" s="49"/>
      <c r="B205" s="49"/>
      <c r="C205" s="94"/>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255</v>
      </c>
      <c r="M205" s="49"/>
      <c r="N205" s="49"/>
      <c r="O205" s="49"/>
      <c r="P205" s="49"/>
      <c r="Q205" s="49"/>
      <c r="R205" s="49"/>
      <c r="S205" s="49"/>
      <c r="T205" s="49"/>
    </row>
    <row r="206">
      <c r="A206" s="49"/>
      <c r="B206" s="49"/>
      <c r="C206" s="94"/>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255</v>
      </c>
      <c r="M206" s="49"/>
      <c r="N206" s="49"/>
      <c r="O206" s="49"/>
      <c r="P206" s="49"/>
      <c r="Q206" s="49"/>
      <c r="R206" s="49"/>
      <c r="S206" s="49"/>
      <c r="T206" s="49"/>
    </row>
    <row r="207">
      <c r="A207" s="49"/>
      <c r="B207" s="49"/>
      <c r="C207" s="94"/>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255</v>
      </c>
      <c r="M207" s="49"/>
      <c r="N207" s="49"/>
      <c r="O207" s="49"/>
      <c r="P207" s="49"/>
      <c r="Q207" s="49"/>
      <c r="R207" s="49"/>
      <c r="S207" s="49"/>
      <c r="T207" s="49"/>
    </row>
    <row r="208">
      <c r="A208" s="49"/>
      <c r="B208" s="49"/>
      <c r="C208" s="94"/>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255</v>
      </c>
      <c r="M208" s="49"/>
      <c r="N208" s="49"/>
      <c r="O208" s="49"/>
      <c r="P208" s="49"/>
      <c r="Q208" s="49"/>
      <c r="R208" s="49"/>
      <c r="S208" s="49"/>
      <c r="T208" s="49"/>
    </row>
    <row r="209">
      <c r="A209" s="49"/>
      <c r="B209" s="49"/>
      <c r="C209" s="94"/>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255</v>
      </c>
      <c r="M209" s="49"/>
      <c r="N209" s="49"/>
      <c r="O209" s="49"/>
      <c r="P209" s="49"/>
      <c r="Q209" s="49"/>
      <c r="R209" s="49"/>
      <c r="S209" s="49"/>
      <c r="T209" s="49"/>
    </row>
    <row r="210">
      <c r="A210" s="49"/>
      <c r="B210" s="49"/>
      <c r="C210" s="94"/>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255</v>
      </c>
      <c r="M210" s="49"/>
      <c r="N210" s="49"/>
      <c r="O210" s="49"/>
      <c r="P210" s="49"/>
      <c r="Q210" s="49"/>
      <c r="R210" s="49"/>
      <c r="S210" s="49"/>
      <c r="T210" s="49"/>
    </row>
    <row r="211">
      <c r="A211" s="49"/>
      <c r="B211" s="49"/>
      <c r="C211" s="94"/>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255</v>
      </c>
      <c r="M211" s="49"/>
      <c r="N211" s="49"/>
      <c r="O211" s="49"/>
      <c r="P211" s="49"/>
      <c r="Q211" s="49"/>
      <c r="R211" s="49"/>
      <c r="S211" s="49"/>
      <c r="T211" s="49"/>
    </row>
    <row r="212">
      <c r="A212" s="49"/>
      <c r="B212" s="49"/>
      <c r="C212" s="94"/>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255</v>
      </c>
      <c r="M212" s="49"/>
      <c r="N212" s="49"/>
      <c r="O212" s="49"/>
      <c r="P212" s="49"/>
      <c r="Q212" s="49"/>
      <c r="R212" s="49"/>
      <c r="S212" s="49"/>
      <c r="T212" s="49"/>
    </row>
    <row r="213">
      <c r="A213" s="49"/>
      <c r="B213" s="49"/>
      <c r="C213" s="94"/>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255</v>
      </c>
      <c r="M213" s="49"/>
      <c r="N213" s="49"/>
      <c r="O213" s="49"/>
      <c r="P213" s="49"/>
      <c r="Q213" s="49"/>
      <c r="R213" s="49"/>
      <c r="S213" s="49"/>
      <c r="T213" s="49"/>
    </row>
    <row r="214">
      <c r="A214" s="49"/>
      <c r="B214" s="49"/>
      <c r="C214" s="94"/>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255</v>
      </c>
      <c r="M214" s="49"/>
      <c r="N214" s="49"/>
      <c r="O214" s="49"/>
      <c r="P214" s="49"/>
      <c r="Q214" s="49"/>
      <c r="R214" s="49"/>
      <c r="S214" s="49"/>
      <c r="T214" s="49"/>
    </row>
    <row r="215">
      <c r="A215" s="49"/>
      <c r="B215" s="49"/>
      <c r="C215" s="94"/>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255</v>
      </c>
      <c r="M215" s="49"/>
      <c r="N215" s="49"/>
      <c r="O215" s="49"/>
      <c r="P215" s="49"/>
      <c r="Q215" s="49"/>
      <c r="R215" s="49"/>
      <c r="S215" s="49"/>
      <c r="T215" s="49"/>
    </row>
    <row r="216">
      <c r="A216" s="49"/>
      <c r="B216" s="49"/>
      <c r="C216" s="94"/>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255</v>
      </c>
      <c r="M216" s="49"/>
      <c r="N216" s="49"/>
      <c r="O216" s="49"/>
      <c r="P216" s="49"/>
      <c r="Q216" s="49"/>
      <c r="R216" s="49"/>
      <c r="S216" s="49"/>
      <c r="T216" s="49"/>
    </row>
    <row r="217">
      <c r="A217" s="49"/>
      <c r="B217" s="49"/>
      <c r="C217" s="94"/>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255</v>
      </c>
      <c r="M217" s="49"/>
      <c r="N217" s="49"/>
      <c r="O217" s="49"/>
      <c r="P217" s="49"/>
      <c r="Q217" s="49"/>
      <c r="R217" s="49"/>
      <c r="S217" s="49"/>
      <c r="T217" s="49"/>
    </row>
    <row r="218">
      <c r="A218" s="49"/>
      <c r="B218" s="49"/>
      <c r="C218" s="94"/>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255</v>
      </c>
      <c r="M218" s="49"/>
      <c r="N218" s="49"/>
      <c r="O218" s="49"/>
      <c r="P218" s="49"/>
      <c r="Q218" s="49"/>
      <c r="R218" s="49"/>
      <c r="S218" s="49"/>
      <c r="T218" s="49"/>
    </row>
    <row r="219">
      <c r="A219" s="49"/>
      <c r="B219" s="49"/>
      <c r="C219" s="94"/>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255</v>
      </c>
      <c r="M219" s="49"/>
      <c r="N219" s="49"/>
      <c r="O219" s="49"/>
      <c r="P219" s="49"/>
      <c r="Q219" s="49"/>
      <c r="R219" s="49"/>
      <c r="S219" s="49"/>
      <c r="T219" s="49"/>
    </row>
    <row r="220">
      <c r="A220" s="49"/>
      <c r="B220" s="49"/>
      <c r="C220" s="94"/>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255</v>
      </c>
      <c r="M220" s="49"/>
      <c r="N220" s="49"/>
      <c r="O220" s="49"/>
      <c r="P220" s="49"/>
      <c r="Q220" s="49"/>
      <c r="R220" s="49"/>
      <c r="S220" s="49"/>
      <c r="T220" s="49"/>
    </row>
    <row r="221">
      <c r="A221" s="49"/>
      <c r="B221" s="49"/>
      <c r="C221" s="94"/>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255</v>
      </c>
      <c r="M221" s="49"/>
      <c r="N221" s="49"/>
      <c r="O221" s="49"/>
      <c r="P221" s="49"/>
      <c r="Q221" s="49"/>
      <c r="R221" s="49"/>
      <c r="S221" s="49"/>
      <c r="T221" s="49"/>
    </row>
    <row r="222">
      <c r="A222" s="49"/>
      <c r="B222" s="49"/>
      <c r="C222" s="94"/>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255</v>
      </c>
      <c r="M222" s="49"/>
      <c r="N222" s="49"/>
      <c r="O222" s="49"/>
      <c r="P222" s="49"/>
      <c r="Q222" s="49"/>
      <c r="R222" s="49"/>
      <c r="S222" s="49"/>
      <c r="T222" s="49"/>
    </row>
    <row r="223">
      <c r="A223" s="49"/>
      <c r="B223" s="49"/>
      <c r="C223" s="94"/>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255</v>
      </c>
      <c r="M223" s="49"/>
      <c r="N223" s="49"/>
      <c r="O223" s="49"/>
      <c r="P223" s="49"/>
      <c r="Q223" s="49"/>
      <c r="R223" s="49"/>
      <c r="S223" s="49"/>
      <c r="T223" s="49"/>
    </row>
    <row r="224">
      <c r="A224" s="49"/>
      <c r="B224" s="49"/>
      <c r="C224" s="94"/>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255</v>
      </c>
      <c r="M224" s="49"/>
      <c r="N224" s="49"/>
      <c r="O224" s="49"/>
      <c r="P224" s="49"/>
      <c r="Q224" s="49"/>
      <c r="R224" s="49"/>
      <c r="S224" s="49"/>
      <c r="T224" s="49"/>
    </row>
    <row r="225">
      <c r="A225" s="49"/>
      <c r="B225" s="49"/>
      <c r="C225" s="94"/>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255</v>
      </c>
      <c r="M225" s="49"/>
      <c r="N225" s="49"/>
      <c r="O225" s="49"/>
      <c r="P225" s="49"/>
      <c r="Q225" s="49"/>
      <c r="R225" s="49"/>
      <c r="S225" s="49"/>
      <c r="T225" s="49"/>
    </row>
    <row r="226">
      <c r="A226" s="49"/>
      <c r="B226" s="49"/>
      <c r="C226" s="94"/>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255</v>
      </c>
      <c r="M226" s="49"/>
      <c r="N226" s="49"/>
      <c r="O226" s="49"/>
      <c r="P226" s="49"/>
      <c r="Q226" s="49"/>
      <c r="R226" s="49"/>
      <c r="S226" s="49"/>
      <c r="T226" s="49"/>
    </row>
    <row r="227">
      <c r="A227" s="49"/>
      <c r="B227" s="49"/>
      <c r="C227" s="94"/>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255</v>
      </c>
      <c r="M227" s="49"/>
      <c r="N227" s="49"/>
      <c r="O227" s="49"/>
      <c r="P227" s="49"/>
      <c r="Q227" s="49"/>
      <c r="R227" s="49"/>
      <c r="S227" s="49"/>
      <c r="T227" s="49"/>
    </row>
    <row r="228">
      <c r="A228" s="49"/>
      <c r="B228" s="49"/>
      <c r="C228" s="94"/>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255</v>
      </c>
      <c r="M228" s="49"/>
      <c r="N228" s="49"/>
      <c r="O228" s="49"/>
      <c r="P228" s="49"/>
      <c r="Q228" s="49"/>
      <c r="R228" s="49"/>
      <c r="S228" s="49"/>
      <c r="T228" s="49"/>
    </row>
    <row r="229">
      <c r="A229" s="49"/>
      <c r="B229" s="49"/>
      <c r="C229" s="94"/>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255</v>
      </c>
      <c r="M229" s="49"/>
      <c r="N229" s="49"/>
      <c r="O229" s="49"/>
      <c r="P229" s="49"/>
      <c r="Q229" s="49"/>
      <c r="R229" s="49"/>
      <c r="S229" s="49"/>
      <c r="T229" s="49"/>
    </row>
    <row r="230">
      <c r="A230" s="49"/>
      <c r="B230" s="49"/>
      <c r="C230" s="94"/>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255</v>
      </c>
      <c r="M230" s="49"/>
      <c r="N230" s="49"/>
      <c r="O230" s="49"/>
      <c r="P230" s="49"/>
      <c r="Q230" s="49"/>
      <c r="R230" s="49"/>
      <c r="S230" s="49"/>
      <c r="T230" s="49"/>
    </row>
    <row r="231">
      <c r="A231" s="49"/>
      <c r="B231" s="49"/>
      <c r="C231" s="94"/>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255</v>
      </c>
      <c r="M231" s="49"/>
      <c r="N231" s="49"/>
      <c r="O231" s="49"/>
      <c r="P231" s="49"/>
      <c r="Q231" s="49"/>
      <c r="R231" s="49"/>
      <c r="S231" s="49"/>
      <c r="T231" s="49"/>
    </row>
    <row r="232">
      <c r="A232" s="49"/>
      <c r="B232" s="49"/>
      <c r="C232" s="94"/>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255</v>
      </c>
      <c r="M232" s="49"/>
      <c r="N232" s="49"/>
      <c r="O232" s="49"/>
      <c r="P232" s="49"/>
      <c r="Q232" s="49"/>
      <c r="R232" s="49"/>
      <c r="S232" s="49"/>
      <c r="T232" s="49"/>
    </row>
    <row r="233">
      <c r="A233" s="49"/>
      <c r="B233" s="49"/>
      <c r="C233" s="94"/>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255</v>
      </c>
      <c r="M233" s="49"/>
      <c r="N233" s="49"/>
      <c r="O233" s="49"/>
      <c r="P233" s="49"/>
      <c r="Q233" s="49"/>
      <c r="R233" s="49"/>
      <c r="S233" s="49"/>
      <c r="T233" s="49"/>
    </row>
    <row r="234">
      <c r="A234" s="49"/>
      <c r="B234" s="49"/>
      <c r="C234" s="94"/>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255</v>
      </c>
      <c r="M234" s="49"/>
      <c r="N234" s="49"/>
      <c r="O234" s="49"/>
      <c r="P234" s="49"/>
      <c r="Q234" s="49"/>
      <c r="R234" s="49"/>
      <c r="S234" s="49"/>
      <c r="T234" s="49"/>
    </row>
    <row r="235">
      <c r="A235" s="49"/>
      <c r="B235" s="49"/>
      <c r="C235" s="94"/>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255</v>
      </c>
      <c r="M235" s="49"/>
      <c r="N235" s="49"/>
      <c r="O235" s="49"/>
      <c r="P235" s="49"/>
      <c r="Q235" s="49"/>
      <c r="R235" s="49"/>
      <c r="S235" s="49"/>
      <c r="T235" s="49"/>
    </row>
    <row r="236">
      <c r="A236" s="49"/>
      <c r="B236" s="49"/>
      <c r="C236" s="94"/>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255</v>
      </c>
      <c r="M236" s="49"/>
      <c r="N236" s="49"/>
      <c r="O236" s="49"/>
      <c r="P236" s="49"/>
      <c r="Q236" s="49"/>
      <c r="R236" s="49"/>
      <c r="S236" s="49"/>
      <c r="T236" s="49"/>
    </row>
    <row r="237">
      <c r="A237" s="49"/>
      <c r="B237" s="49"/>
      <c r="C237" s="94"/>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255</v>
      </c>
      <c r="M237" s="49"/>
      <c r="N237" s="49"/>
      <c r="O237" s="49"/>
      <c r="P237" s="49"/>
      <c r="Q237" s="49"/>
      <c r="R237" s="49"/>
      <c r="S237" s="49"/>
      <c r="T237" s="49"/>
    </row>
    <row r="238">
      <c r="A238" s="49"/>
      <c r="B238" s="49"/>
      <c r="C238" s="94"/>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255</v>
      </c>
      <c r="M238" s="49"/>
      <c r="N238" s="49"/>
      <c r="O238" s="49"/>
      <c r="P238" s="49"/>
      <c r="Q238" s="49"/>
      <c r="R238" s="49"/>
      <c r="S238" s="49"/>
      <c r="T238" s="49"/>
    </row>
    <row r="239">
      <c r="A239" s="49"/>
      <c r="B239" s="49"/>
      <c r="C239" s="94"/>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255</v>
      </c>
      <c r="M239" s="49"/>
      <c r="N239" s="49"/>
      <c r="O239" s="49"/>
      <c r="P239" s="49"/>
      <c r="Q239" s="49"/>
      <c r="R239" s="49"/>
      <c r="S239" s="49"/>
      <c r="T239" s="49"/>
    </row>
    <row r="240">
      <c r="A240" s="49"/>
      <c r="B240" s="49"/>
      <c r="C240" s="94"/>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255</v>
      </c>
      <c r="M240" s="49"/>
      <c r="N240" s="49"/>
      <c r="O240" s="49"/>
      <c r="P240" s="49"/>
      <c r="Q240" s="49"/>
      <c r="R240" s="49"/>
      <c r="S240" s="49"/>
      <c r="T240" s="49"/>
    </row>
    <row r="241">
      <c r="A241" s="49"/>
      <c r="B241" s="49"/>
      <c r="C241" s="94"/>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255</v>
      </c>
      <c r="M241" s="49"/>
      <c r="N241" s="49"/>
      <c r="O241" s="49"/>
      <c r="P241" s="49"/>
      <c r="Q241" s="49"/>
      <c r="R241" s="49"/>
      <c r="S241" s="49"/>
      <c r="T241" s="49"/>
    </row>
    <row r="242">
      <c r="A242" s="49"/>
      <c r="B242" s="49"/>
      <c r="C242" s="94"/>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255</v>
      </c>
      <c r="M242" s="49"/>
      <c r="N242" s="49"/>
      <c r="O242" s="49"/>
      <c r="P242" s="49"/>
      <c r="Q242" s="49"/>
      <c r="R242" s="49"/>
      <c r="S242" s="49"/>
      <c r="T242" s="49"/>
    </row>
    <row r="243">
      <c r="A243" s="49"/>
      <c r="B243" s="49"/>
      <c r="C243" s="94"/>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255</v>
      </c>
      <c r="M243" s="49"/>
      <c r="N243" s="49"/>
      <c r="O243" s="49"/>
      <c r="P243" s="49"/>
      <c r="Q243" s="49"/>
      <c r="R243" s="49"/>
      <c r="S243" s="49"/>
      <c r="T243" s="49"/>
    </row>
    <row r="244">
      <c r="A244" s="49"/>
      <c r="B244" s="49"/>
      <c r="C244" s="94"/>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255</v>
      </c>
      <c r="M244" s="49"/>
      <c r="N244" s="49"/>
      <c r="O244" s="49"/>
      <c r="P244" s="49"/>
      <c r="Q244" s="49"/>
      <c r="R244" s="49"/>
      <c r="S244" s="49"/>
      <c r="T244" s="49"/>
    </row>
    <row r="245">
      <c r="A245" s="49"/>
      <c r="B245" s="49"/>
      <c r="C245" s="94"/>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255</v>
      </c>
      <c r="M245" s="49"/>
      <c r="N245" s="49"/>
      <c r="O245" s="49"/>
      <c r="P245" s="49"/>
      <c r="Q245" s="49"/>
      <c r="R245" s="49"/>
      <c r="S245" s="49"/>
      <c r="T245" s="49"/>
    </row>
    <row r="246">
      <c r="A246" s="49"/>
      <c r="B246" s="49"/>
      <c r="C246" s="94"/>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255</v>
      </c>
      <c r="M246" s="49"/>
      <c r="N246" s="49"/>
      <c r="O246" s="49"/>
      <c r="P246" s="49"/>
      <c r="Q246" s="49"/>
      <c r="R246" s="49"/>
      <c r="S246" s="49"/>
      <c r="T246" s="49"/>
    </row>
    <row r="247">
      <c r="A247" s="49"/>
      <c r="B247" s="49"/>
      <c r="C247" s="94"/>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255</v>
      </c>
      <c r="M247" s="49"/>
      <c r="N247" s="49"/>
      <c r="O247" s="49"/>
      <c r="P247" s="49"/>
      <c r="Q247" s="49"/>
      <c r="R247" s="49"/>
      <c r="S247" s="49"/>
      <c r="T247" s="49"/>
    </row>
    <row r="248">
      <c r="A248" s="49"/>
      <c r="B248" s="49"/>
      <c r="C248" s="94"/>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255</v>
      </c>
      <c r="M248" s="49"/>
      <c r="N248" s="49"/>
      <c r="O248" s="49"/>
      <c r="P248" s="49"/>
      <c r="Q248" s="49"/>
      <c r="R248" s="49"/>
      <c r="S248" s="49"/>
      <c r="T248" s="49"/>
    </row>
    <row r="249">
      <c r="A249" s="49"/>
      <c r="B249" s="49"/>
      <c r="C249" s="94"/>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255</v>
      </c>
      <c r="M249" s="49"/>
      <c r="N249" s="49"/>
      <c r="O249" s="49"/>
      <c r="P249" s="49"/>
      <c r="Q249" s="49"/>
      <c r="R249" s="49"/>
      <c r="S249" s="49"/>
      <c r="T249" s="49"/>
    </row>
    <row r="250">
      <c r="A250" s="49"/>
      <c r="B250" s="49"/>
      <c r="C250" s="94"/>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255</v>
      </c>
      <c r="M250" s="49"/>
      <c r="N250" s="49"/>
      <c r="O250" s="49"/>
      <c r="P250" s="49"/>
      <c r="Q250" s="49"/>
      <c r="R250" s="49"/>
      <c r="S250" s="49"/>
      <c r="T250" s="49"/>
    </row>
    <row r="251">
      <c r="A251" s="49"/>
      <c r="B251" s="49"/>
      <c r="C251" s="94"/>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255</v>
      </c>
      <c r="M251" s="49"/>
      <c r="N251" s="49"/>
      <c r="O251" s="49"/>
      <c r="P251" s="49"/>
      <c r="Q251" s="49"/>
      <c r="R251" s="49"/>
      <c r="S251" s="49"/>
      <c r="T251" s="49"/>
    </row>
    <row r="252">
      <c r="A252" s="49"/>
      <c r="B252" s="49"/>
      <c r="C252" s="94"/>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255</v>
      </c>
      <c r="M252" s="49"/>
      <c r="N252" s="49"/>
      <c r="O252" s="49"/>
      <c r="P252" s="49"/>
      <c r="Q252" s="49"/>
      <c r="R252" s="49"/>
      <c r="S252" s="49"/>
      <c r="T252" s="49"/>
    </row>
    <row r="253">
      <c r="A253" s="49"/>
      <c r="B253" s="49"/>
      <c r="C253" s="94"/>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255</v>
      </c>
      <c r="M253" s="49"/>
      <c r="N253" s="49"/>
      <c r="O253" s="49"/>
      <c r="P253" s="49"/>
      <c r="Q253" s="49"/>
      <c r="R253" s="49"/>
      <c r="S253" s="49"/>
      <c r="T253" s="49"/>
    </row>
    <row r="254">
      <c r="A254" s="49"/>
      <c r="B254" s="49"/>
      <c r="C254" s="94"/>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255</v>
      </c>
      <c r="M254" s="49"/>
      <c r="N254" s="49"/>
      <c r="O254" s="49"/>
      <c r="P254" s="49"/>
      <c r="Q254" s="49"/>
      <c r="R254" s="49"/>
      <c r="S254" s="49"/>
      <c r="T254" s="49"/>
    </row>
    <row r="255">
      <c r="A255" s="49"/>
      <c r="B255" s="49"/>
      <c r="C255" s="94"/>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255</v>
      </c>
      <c r="M255" s="49"/>
      <c r="N255" s="49"/>
      <c r="O255" s="49"/>
      <c r="P255" s="49"/>
      <c r="Q255" s="49"/>
      <c r="R255" s="49"/>
      <c r="S255" s="49"/>
      <c r="T255" s="49"/>
    </row>
    <row r="256">
      <c r="A256" s="49"/>
      <c r="B256" s="49"/>
      <c r="C256" s="94"/>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255</v>
      </c>
      <c r="M256" s="49"/>
      <c r="N256" s="49"/>
      <c r="O256" s="49"/>
      <c r="P256" s="49"/>
      <c r="Q256" s="49"/>
      <c r="R256" s="49"/>
      <c r="S256" s="49"/>
      <c r="T256" s="49"/>
    </row>
    <row r="257">
      <c r="A257" s="49"/>
      <c r="B257" s="49"/>
      <c r="C257" s="94"/>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255</v>
      </c>
      <c r="M257" s="49"/>
      <c r="N257" s="49"/>
      <c r="O257" s="49"/>
      <c r="P257" s="49"/>
      <c r="Q257" s="49"/>
      <c r="R257" s="49"/>
      <c r="S257" s="49"/>
      <c r="T257" s="49"/>
    </row>
    <row r="258">
      <c r="A258" s="49"/>
      <c r="B258" s="49"/>
      <c r="C258" s="94"/>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255</v>
      </c>
      <c r="M258" s="49"/>
      <c r="N258" s="49"/>
      <c r="O258" s="49"/>
      <c r="P258" s="49"/>
      <c r="Q258" s="49"/>
      <c r="R258" s="49"/>
      <c r="S258" s="49"/>
      <c r="T258" s="49"/>
    </row>
    <row r="259">
      <c r="A259" s="49"/>
      <c r="B259" s="49"/>
      <c r="C259" s="94"/>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255</v>
      </c>
      <c r="M259" s="49"/>
      <c r="N259" s="49"/>
      <c r="O259" s="49"/>
      <c r="P259" s="49"/>
      <c r="Q259" s="49"/>
      <c r="R259" s="49"/>
      <c r="S259" s="49"/>
      <c r="T259" s="49"/>
    </row>
    <row r="260">
      <c r="A260" s="49"/>
      <c r="B260" s="49"/>
      <c r="C260" s="94"/>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255</v>
      </c>
      <c r="M260" s="49"/>
      <c r="N260" s="49"/>
      <c r="O260" s="49"/>
      <c r="P260" s="49"/>
      <c r="Q260" s="49"/>
      <c r="R260" s="49"/>
      <c r="S260" s="49"/>
      <c r="T260" s="49"/>
    </row>
    <row r="261">
      <c r="A261" s="49"/>
      <c r="B261" s="49"/>
      <c r="C261" s="94"/>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255</v>
      </c>
      <c r="M261" s="49"/>
      <c r="N261" s="49"/>
      <c r="O261" s="49"/>
      <c r="P261" s="49"/>
      <c r="Q261" s="49"/>
      <c r="R261" s="49"/>
      <c r="S261" s="49"/>
      <c r="T261" s="49"/>
    </row>
    <row r="262">
      <c r="A262" s="49"/>
      <c r="B262" s="49"/>
      <c r="C262" s="94"/>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255</v>
      </c>
      <c r="M262" s="49"/>
      <c r="N262" s="49"/>
      <c r="O262" s="49"/>
      <c r="P262" s="49"/>
      <c r="Q262" s="49"/>
      <c r="R262" s="49"/>
      <c r="S262" s="49"/>
      <c r="T262" s="49"/>
    </row>
    <row r="263">
      <c r="A263" s="49"/>
      <c r="B263" s="49"/>
      <c r="C263" s="94"/>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255</v>
      </c>
      <c r="M263" s="49"/>
      <c r="N263" s="49"/>
      <c r="O263" s="49"/>
      <c r="P263" s="49"/>
      <c r="Q263" s="49"/>
      <c r="R263" s="49"/>
      <c r="S263" s="49"/>
      <c r="T263" s="49"/>
    </row>
    <row r="264">
      <c r="A264" s="49"/>
      <c r="B264" s="49"/>
      <c r="C264" s="94"/>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255</v>
      </c>
      <c r="M264" s="49"/>
      <c r="N264" s="49"/>
      <c r="O264" s="49"/>
      <c r="P264" s="49"/>
      <c r="Q264" s="49"/>
      <c r="R264" s="49"/>
      <c r="S264" s="49"/>
      <c r="T264" s="49"/>
    </row>
    <row r="265">
      <c r="A265" s="49"/>
      <c r="B265" s="49"/>
      <c r="C265" s="94"/>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255</v>
      </c>
      <c r="M265" s="49"/>
      <c r="N265" s="49"/>
      <c r="O265" s="49"/>
      <c r="P265" s="49"/>
      <c r="Q265" s="49"/>
      <c r="R265" s="49"/>
      <c r="S265" s="49"/>
      <c r="T265" s="49"/>
    </row>
    <row r="266">
      <c r="A266" s="49"/>
      <c r="B266" s="49"/>
      <c r="C266" s="94"/>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255</v>
      </c>
      <c r="M266" s="49"/>
      <c r="N266" s="49"/>
      <c r="O266" s="49"/>
      <c r="P266" s="49"/>
      <c r="Q266" s="49"/>
      <c r="R266" s="49"/>
      <c r="S266" s="49"/>
      <c r="T266" s="49"/>
    </row>
    <row r="267">
      <c r="A267" s="49"/>
      <c r="B267" s="49"/>
      <c r="C267" s="94"/>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255</v>
      </c>
      <c r="M267" s="49"/>
      <c r="N267" s="49"/>
      <c r="O267" s="49"/>
      <c r="P267" s="49"/>
      <c r="Q267" s="49"/>
      <c r="R267" s="49"/>
      <c r="S267" s="49"/>
      <c r="T267" s="49"/>
    </row>
    <row r="268">
      <c r="A268" s="49"/>
      <c r="B268" s="49"/>
      <c r="C268" s="94"/>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255</v>
      </c>
      <c r="M268" s="49"/>
      <c r="N268" s="49"/>
      <c r="O268" s="49"/>
      <c r="P268" s="49"/>
      <c r="Q268" s="49"/>
      <c r="R268" s="49"/>
      <c r="S268" s="49"/>
      <c r="T268" s="49"/>
    </row>
    <row r="269">
      <c r="A269" s="49"/>
      <c r="B269" s="49"/>
      <c r="C269" s="94"/>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255</v>
      </c>
      <c r="M269" s="49"/>
      <c r="N269" s="49"/>
      <c r="O269" s="49"/>
      <c r="P269" s="49"/>
      <c r="Q269" s="49"/>
      <c r="R269" s="49"/>
      <c r="S269" s="49"/>
      <c r="T269" s="49"/>
    </row>
    <row r="270">
      <c r="A270" s="49"/>
      <c r="B270" s="49"/>
      <c r="C270" s="94"/>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255</v>
      </c>
      <c r="M270" s="49"/>
      <c r="N270" s="49"/>
      <c r="O270" s="49"/>
      <c r="P270" s="49"/>
      <c r="Q270" s="49"/>
      <c r="R270" s="49"/>
      <c r="S270" s="49"/>
      <c r="T270" s="49"/>
    </row>
    <row r="271">
      <c r="A271" s="49"/>
      <c r="B271" s="49"/>
      <c r="C271" s="94"/>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255</v>
      </c>
      <c r="M271" s="49"/>
      <c r="N271" s="49"/>
      <c r="O271" s="49"/>
      <c r="P271" s="49"/>
      <c r="Q271" s="49"/>
      <c r="R271" s="49"/>
      <c r="S271" s="49"/>
      <c r="T271" s="49"/>
    </row>
    <row r="272">
      <c r="A272" s="49"/>
      <c r="B272" s="49"/>
      <c r="C272" s="94"/>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255</v>
      </c>
      <c r="M272" s="49"/>
      <c r="N272" s="49"/>
      <c r="O272" s="49"/>
      <c r="P272" s="49"/>
      <c r="Q272" s="49"/>
      <c r="R272" s="49"/>
      <c r="S272" s="49"/>
      <c r="T272" s="49"/>
    </row>
    <row r="273">
      <c r="A273" s="49"/>
      <c r="B273" s="49"/>
      <c r="C273" s="94"/>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255</v>
      </c>
      <c r="M273" s="49"/>
      <c r="N273" s="49"/>
      <c r="O273" s="49"/>
      <c r="P273" s="49"/>
      <c r="Q273" s="49"/>
      <c r="R273" s="49"/>
      <c r="S273" s="49"/>
      <c r="T273" s="49"/>
    </row>
    <row r="274">
      <c r="A274" s="49"/>
      <c r="B274" s="49"/>
      <c r="C274" s="94"/>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255</v>
      </c>
      <c r="M274" s="49"/>
      <c r="N274" s="49"/>
      <c r="O274" s="49"/>
      <c r="P274" s="49"/>
      <c r="Q274" s="49"/>
      <c r="R274" s="49"/>
      <c r="S274" s="49"/>
      <c r="T274" s="49"/>
    </row>
    <row r="275">
      <c r="A275" s="49"/>
      <c r="B275" s="49"/>
      <c r="C275" s="94"/>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255</v>
      </c>
      <c r="M275" s="49"/>
      <c r="N275" s="49"/>
      <c r="O275" s="49"/>
      <c r="P275" s="49"/>
      <c r="Q275" s="49"/>
      <c r="R275" s="49"/>
      <c r="S275" s="49"/>
      <c r="T275" s="49"/>
    </row>
    <row r="276">
      <c r="A276" s="49"/>
      <c r="B276" s="49"/>
      <c r="C276" s="94"/>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255</v>
      </c>
      <c r="M276" s="49"/>
      <c r="N276" s="49"/>
      <c r="O276" s="49"/>
      <c r="P276" s="49"/>
      <c r="Q276" s="49"/>
      <c r="R276" s="49"/>
      <c r="S276" s="49"/>
      <c r="T276" s="49"/>
    </row>
    <row r="277">
      <c r="A277" s="49"/>
      <c r="B277" s="49"/>
      <c r="C277" s="94"/>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255</v>
      </c>
      <c r="M277" s="49"/>
      <c r="N277" s="49"/>
      <c r="O277" s="49"/>
      <c r="P277" s="49"/>
      <c r="Q277" s="49"/>
      <c r="R277" s="49"/>
      <c r="S277" s="49"/>
      <c r="T277" s="49"/>
    </row>
    <row r="278">
      <c r="A278" s="49"/>
      <c r="B278" s="49"/>
      <c r="C278" s="94"/>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255</v>
      </c>
      <c r="M278" s="49"/>
      <c r="N278" s="49"/>
      <c r="O278" s="49"/>
      <c r="P278" s="49"/>
      <c r="Q278" s="49"/>
      <c r="R278" s="49"/>
      <c r="S278" s="49"/>
      <c r="T278" s="49"/>
    </row>
    <row r="279">
      <c r="A279" s="49"/>
      <c r="B279" s="49"/>
      <c r="C279" s="94"/>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255</v>
      </c>
      <c r="M279" s="49"/>
      <c r="N279" s="49"/>
      <c r="O279" s="49"/>
      <c r="P279" s="49"/>
      <c r="Q279" s="49"/>
      <c r="R279" s="49"/>
      <c r="S279" s="49"/>
      <c r="T279" s="49"/>
    </row>
    <row r="280">
      <c r="A280" s="49"/>
      <c r="B280" s="49"/>
      <c r="C280" s="94"/>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255</v>
      </c>
      <c r="M280" s="49"/>
      <c r="N280" s="49"/>
      <c r="O280" s="49"/>
      <c r="P280" s="49"/>
      <c r="Q280" s="49"/>
      <c r="R280" s="49"/>
      <c r="S280" s="49"/>
      <c r="T280" s="49"/>
    </row>
    <row r="281">
      <c r="A281" s="49"/>
      <c r="B281" s="49"/>
      <c r="C281" s="94"/>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255</v>
      </c>
      <c r="M281" s="49"/>
      <c r="N281" s="49"/>
      <c r="O281" s="49"/>
      <c r="P281" s="49"/>
      <c r="Q281" s="49"/>
      <c r="R281" s="49"/>
      <c r="S281" s="49"/>
      <c r="T281" s="49"/>
    </row>
    <row r="282">
      <c r="A282" s="49"/>
      <c r="B282" s="49"/>
      <c r="C282" s="94"/>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255</v>
      </c>
      <c r="M282" s="49"/>
      <c r="N282" s="49"/>
      <c r="O282" s="49"/>
      <c r="P282" s="49"/>
      <c r="Q282" s="49"/>
      <c r="R282" s="49"/>
      <c r="S282" s="49"/>
      <c r="T282" s="49"/>
    </row>
    <row r="283">
      <c r="A283" s="49"/>
      <c r="B283" s="49"/>
      <c r="C283" s="94"/>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255</v>
      </c>
      <c r="M283" s="49"/>
      <c r="N283" s="49"/>
      <c r="O283" s="49"/>
      <c r="P283" s="49"/>
      <c r="Q283" s="49"/>
      <c r="R283" s="49"/>
      <c r="S283" s="49"/>
      <c r="T283" s="49"/>
    </row>
    <row r="284">
      <c r="A284" s="49"/>
      <c r="B284" s="49"/>
      <c r="C284" s="94"/>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255</v>
      </c>
      <c r="M284" s="49"/>
      <c r="N284" s="49"/>
      <c r="O284" s="49"/>
      <c r="P284" s="49"/>
      <c r="Q284" s="49"/>
      <c r="R284" s="49"/>
      <c r="S284" s="49"/>
      <c r="T284" s="49"/>
    </row>
    <row r="285">
      <c r="A285" s="49"/>
      <c r="B285" s="49"/>
      <c r="C285" s="94"/>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255</v>
      </c>
      <c r="M285" s="49"/>
      <c r="N285" s="49"/>
      <c r="O285" s="49"/>
      <c r="P285" s="49"/>
      <c r="Q285" s="49"/>
      <c r="R285" s="49"/>
      <c r="S285" s="49"/>
      <c r="T285" s="49"/>
    </row>
    <row r="286">
      <c r="A286" s="49"/>
      <c r="B286" s="49"/>
      <c r="C286" s="94"/>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255</v>
      </c>
      <c r="M286" s="49"/>
      <c r="N286" s="49"/>
      <c r="O286" s="49"/>
      <c r="P286" s="49"/>
      <c r="Q286" s="49"/>
      <c r="R286" s="49"/>
      <c r="S286" s="49"/>
      <c r="T286" s="49"/>
    </row>
    <row r="287">
      <c r="A287" s="49"/>
      <c r="B287" s="49"/>
      <c r="C287" s="94"/>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255</v>
      </c>
      <c r="M287" s="49"/>
      <c r="N287" s="49"/>
      <c r="O287" s="49"/>
      <c r="P287" s="49"/>
      <c r="Q287" s="49"/>
      <c r="R287" s="49"/>
      <c r="S287" s="49"/>
      <c r="T287" s="49"/>
    </row>
    <row r="288">
      <c r="A288" s="49"/>
      <c r="B288" s="49"/>
      <c r="C288" s="94"/>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255</v>
      </c>
      <c r="M288" s="49"/>
      <c r="N288" s="49"/>
      <c r="O288" s="49"/>
      <c r="P288" s="49"/>
      <c r="Q288" s="49"/>
      <c r="R288" s="49"/>
      <c r="S288" s="49"/>
      <c r="T288" s="49"/>
    </row>
    <row r="289">
      <c r="A289" s="49"/>
      <c r="B289" s="49"/>
      <c r="C289" s="94"/>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255</v>
      </c>
      <c r="M289" s="49"/>
      <c r="N289" s="49"/>
      <c r="O289" s="49"/>
      <c r="P289" s="49"/>
      <c r="Q289" s="49"/>
      <c r="R289" s="49"/>
      <c r="S289" s="49"/>
      <c r="T289" s="49"/>
    </row>
    <row r="290">
      <c r="A290" s="49"/>
      <c r="B290" s="49"/>
      <c r="C290" s="94"/>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255</v>
      </c>
      <c r="M290" s="49"/>
      <c r="N290" s="49"/>
      <c r="O290" s="49"/>
      <c r="P290" s="49"/>
      <c r="Q290" s="49"/>
      <c r="R290" s="49"/>
      <c r="S290" s="49"/>
      <c r="T290" s="49"/>
    </row>
    <row r="291">
      <c r="A291" s="49"/>
      <c r="B291" s="49"/>
      <c r="C291" s="94"/>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255</v>
      </c>
      <c r="M291" s="49"/>
      <c r="N291" s="49"/>
      <c r="O291" s="49"/>
      <c r="P291" s="49"/>
      <c r="Q291" s="49"/>
      <c r="R291" s="49"/>
      <c r="S291" s="49"/>
      <c r="T291" s="49"/>
    </row>
    <row r="292">
      <c r="A292" s="49"/>
      <c r="B292" s="49"/>
      <c r="C292" s="94"/>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255</v>
      </c>
      <c r="M292" s="49"/>
      <c r="N292" s="49"/>
      <c r="O292" s="49"/>
      <c r="P292" s="49"/>
      <c r="Q292" s="49"/>
      <c r="R292" s="49"/>
      <c r="S292" s="49"/>
      <c r="T292" s="49"/>
    </row>
    <row r="293">
      <c r="A293" s="49"/>
      <c r="B293" s="49"/>
      <c r="C293" s="94"/>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255</v>
      </c>
      <c r="M293" s="49"/>
      <c r="N293" s="49"/>
      <c r="O293" s="49"/>
      <c r="P293" s="49"/>
      <c r="Q293" s="49"/>
      <c r="R293" s="49"/>
      <c r="S293" s="49"/>
      <c r="T293" s="49"/>
    </row>
    <row r="294">
      <c r="A294" s="49"/>
      <c r="B294" s="49"/>
      <c r="C294" s="94"/>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255</v>
      </c>
      <c r="M294" s="49"/>
      <c r="N294" s="49"/>
      <c r="O294" s="49"/>
      <c r="P294" s="49"/>
      <c r="Q294" s="49"/>
      <c r="R294" s="49"/>
      <c r="S294" s="49"/>
      <c r="T294" s="49"/>
    </row>
    <row r="295">
      <c r="A295" s="49"/>
      <c r="B295" s="49"/>
      <c r="C295" s="94"/>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255</v>
      </c>
      <c r="M295" s="49"/>
      <c r="N295" s="49"/>
      <c r="O295" s="49"/>
      <c r="P295" s="49"/>
      <c r="Q295" s="49"/>
      <c r="R295" s="49"/>
      <c r="S295" s="49"/>
      <c r="T295" s="49"/>
    </row>
    <row r="296">
      <c r="A296" s="49"/>
      <c r="B296" s="49"/>
      <c r="C296" s="94"/>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255</v>
      </c>
      <c r="M296" s="49"/>
      <c r="N296" s="49"/>
      <c r="O296" s="49"/>
      <c r="P296" s="49"/>
      <c r="Q296" s="49"/>
      <c r="R296" s="49"/>
      <c r="S296" s="49"/>
      <c r="T296" s="49"/>
    </row>
    <row r="297">
      <c r="A297" s="49"/>
      <c r="B297" s="49"/>
      <c r="C297" s="94"/>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255</v>
      </c>
      <c r="M297" s="49"/>
      <c r="N297" s="49"/>
      <c r="O297" s="49"/>
      <c r="P297" s="49"/>
      <c r="Q297" s="49"/>
      <c r="R297" s="49"/>
      <c r="S297" s="49"/>
      <c r="T297" s="49"/>
    </row>
    <row r="298">
      <c r="A298" s="49"/>
      <c r="B298" s="49"/>
      <c r="C298" s="94"/>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255</v>
      </c>
      <c r="M298" s="49"/>
      <c r="N298" s="49"/>
      <c r="O298" s="49"/>
      <c r="P298" s="49"/>
      <c r="Q298" s="49"/>
      <c r="R298" s="49"/>
      <c r="S298" s="49"/>
      <c r="T298" s="49"/>
    </row>
    <row r="299">
      <c r="A299" s="49"/>
      <c r="B299" s="49"/>
      <c r="C299" s="94"/>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255</v>
      </c>
      <c r="M299" s="49"/>
      <c r="N299" s="49"/>
      <c r="O299" s="49"/>
      <c r="P299" s="49"/>
      <c r="Q299" s="49"/>
      <c r="R299" s="49"/>
      <c r="S299" s="49"/>
      <c r="T299" s="49"/>
    </row>
    <row r="300">
      <c r="A300" s="49"/>
      <c r="B300" s="49"/>
      <c r="C300" s="94"/>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255</v>
      </c>
      <c r="M300" s="49"/>
      <c r="N300" s="49"/>
      <c r="O300" s="49"/>
      <c r="P300" s="49"/>
      <c r="Q300" s="49"/>
      <c r="R300" s="49"/>
      <c r="S300" s="49"/>
      <c r="T300" s="49"/>
    </row>
    <row r="301">
      <c r="A301" s="49"/>
      <c r="B301" s="49"/>
      <c r="C301" s="94"/>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255</v>
      </c>
      <c r="M301" s="49"/>
      <c r="N301" s="49"/>
      <c r="O301" s="49"/>
      <c r="P301" s="49"/>
      <c r="Q301" s="49"/>
      <c r="R301" s="49"/>
      <c r="S301" s="49"/>
      <c r="T301" s="49"/>
    </row>
    <row r="302">
      <c r="A302" s="49"/>
      <c r="B302" s="49"/>
      <c r="C302" s="94"/>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255</v>
      </c>
      <c r="M302" s="49"/>
      <c r="N302" s="49"/>
      <c r="O302" s="49"/>
      <c r="P302" s="49"/>
      <c r="Q302" s="49"/>
      <c r="R302" s="49"/>
      <c r="S302" s="49"/>
      <c r="T302" s="49"/>
    </row>
    <row r="303">
      <c r="A303" s="49"/>
      <c r="B303" s="49"/>
      <c r="C303" s="94"/>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255</v>
      </c>
      <c r="M303" s="49"/>
      <c r="N303" s="49"/>
      <c r="O303" s="49"/>
      <c r="P303" s="49"/>
      <c r="Q303" s="49"/>
      <c r="R303" s="49"/>
      <c r="S303" s="49"/>
      <c r="T303" s="49"/>
    </row>
    <row r="304">
      <c r="A304" s="49"/>
      <c r="B304" s="49"/>
      <c r="C304" s="94"/>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255</v>
      </c>
      <c r="M304" s="49"/>
      <c r="N304" s="49"/>
      <c r="O304" s="49"/>
      <c r="P304" s="49"/>
      <c r="Q304" s="49"/>
      <c r="R304" s="49"/>
      <c r="S304" s="49"/>
      <c r="T304" s="49"/>
    </row>
    <row r="305">
      <c r="A305" s="49"/>
      <c r="B305" s="49"/>
      <c r="C305" s="94"/>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255</v>
      </c>
      <c r="M305" s="49"/>
      <c r="N305" s="49"/>
      <c r="O305" s="49"/>
      <c r="P305" s="49"/>
      <c r="Q305" s="49"/>
      <c r="R305" s="49"/>
      <c r="S305" s="49"/>
      <c r="T305" s="49"/>
    </row>
    <row r="306">
      <c r="A306" s="49"/>
      <c r="B306" s="49"/>
      <c r="C306" s="94"/>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255</v>
      </c>
      <c r="M306" s="49"/>
      <c r="N306" s="49"/>
      <c r="O306" s="49"/>
      <c r="P306" s="49"/>
      <c r="Q306" s="49"/>
      <c r="R306" s="49"/>
      <c r="S306" s="49"/>
      <c r="T306" s="49"/>
    </row>
    <row r="307">
      <c r="A307" s="49"/>
      <c r="B307" s="49"/>
      <c r="C307" s="94"/>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255</v>
      </c>
      <c r="M307" s="49"/>
      <c r="N307" s="49"/>
      <c r="O307" s="49"/>
      <c r="P307" s="49"/>
      <c r="Q307" s="49"/>
      <c r="R307" s="49"/>
      <c r="S307" s="49"/>
      <c r="T307" s="49"/>
    </row>
    <row r="308">
      <c r="A308" s="49"/>
      <c r="B308" s="49"/>
      <c r="C308" s="94"/>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255</v>
      </c>
      <c r="M308" s="49"/>
      <c r="N308" s="49"/>
      <c r="O308" s="49"/>
      <c r="P308" s="49"/>
      <c r="Q308" s="49"/>
      <c r="R308" s="49"/>
      <c r="S308" s="49"/>
      <c r="T308" s="49"/>
    </row>
    <row r="309">
      <c r="A309" s="49"/>
      <c r="B309" s="49"/>
      <c r="C309" s="94"/>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255</v>
      </c>
      <c r="M309" s="49"/>
      <c r="N309" s="49"/>
      <c r="O309" s="49"/>
      <c r="P309" s="49"/>
      <c r="Q309" s="49"/>
      <c r="R309" s="49"/>
      <c r="S309" s="49"/>
      <c r="T309" s="49"/>
    </row>
    <row r="310">
      <c r="A310" s="49"/>
      <c r="B310" s="49"/>
      <c r="C310" s="94"/>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255</v>
      </c>
      <c r="M310" s="49"/>
      <c r="N310" s="49"/>
      <c r="O310" s="49"/>
      <c r="P310" s="49"/>
      <c r="Q310" s="49"/>
      <c r="R310" s="49"/>
      <c r="S310" s="49"/>
      <c r="T310" s="49"/>
    </row>
    <row r="311">
      <c r="A311" s="49"/>
      <c r="B311" s="49"/>
      <c r="C311" s="94"/>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255</v>
      </c>
      <c r="M311" s="49"/>
      <c r="N311" s="49"/>
      <c r="O311" s="49"/>
      <c r="P311" s="49"/>
      <c r="Q311" s="49"/>
      <c r="R311" s="49"/>
      <c r="S311" s="49"/>
      <c r="T311" s="49"/>
    </row>
    <row r="312">
      <c r="A312" s="49"/>
      <c r="B312" s="49"/>
      <c r="C312" s="94"/>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255</v>
      </c>
      <c r="M312" s="49"/>
      <c r="N312" s="49"/>
      <c r="O312" s="49"/>
      <c r="P312" s="49"/>
      <c r="Q312" s="49"/>
      <c r="R312" s="49"/>
      <c r="S312" s="49"/>
      <c r="T312" s="49"/>
    </row>
    <row r="313">
      <c r="A313" s="49"/>
      <c r="B313" s="49"/>
      <c r="C313" s="94"/>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255</v>
      </c>
      <c r="M313" s="49"/>
      <c r="N313" s="49"/>
      <c r="O313" s="49"/>
      <c r="P313" s="49"/>
      <c r="Q313" s="49"/>
      <c r="R313" s="49"/>
      <c r="S313" s="49"/>
      <c r="T313" s="49"/>
    </row>
    <row r="314">
      <c r="A314" s="49"/>
      <c r="B314" s="49"/>
      <c r="C314" s="94"/>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255</v>
      </c>
      <c r="M314" s="49"/>
      <c r="N314" s="49"/>
      <c r="O314" s="49"/>
      <c r="P314" s="49"/>
      <c r="Q314" s="49"/>
      <c r="R314" s="49"/>
      <c r="S314" s="49"/>
      <c r="T314" s="49"/>
    </row>
    <row r="315">
      <c r="A315" s="49"/>
      <c r="B315" s="49"/>
      <c r="C315" s="94"/>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255</v>
      </c>
      <c r="M315" s="49"/>
      <c r="N315" s="49"/>
      <c r="O315" s="49"/>
      <c r="P315" s="49"/>
      <c r="Q315" s="49"/>
      <c r="R315" s="49"/>
      <c r="S315" s="49"/>
      <c r="T315" s="49"/>
    </row>
    <row r="316">
      <c r="A316" s="49"/>
      <c r="B316" s="49"/>
      <c r="C316" s="94"/>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255</v>
      </c>
      <c r="M316" s="49"/>
      <c r="N316" s="49"/>
      <c r="O316" s="49"/>
      <c r="P316" s="49"/>
      <c r="Q316" s="49"/>
      <c r="R316" s="49"/>
      <c r="S316" s="49"/>
      <c r="T316" s="49"/>
    </row>
    <row r="317">
      <c r="A317" s="49"/>
      <c r="B317" s="49"/>
      <c r="C317" s="94"/>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255</v>
      </c>
      <c r="M317" s="49"/>
      <c r="N317" s="49"/>
      <c r="O317" s="49"/>
      <c r="P317" s="49"/>
      <c r="Q317" s="49"/>
      <c r="R317" s="49"/>
      <c r="S317" s="49"/>
      <c r="T317" s="49"/>
    </row>
    <row r="318">
      <c r="A318" s="49"/>
      <c r="B318" s="49"/>
      <c r="C318" s="94"/>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255</v>
      </c>
      <c r="M318" s="49"/>
      <c r="N318" s="49"/>
      <c r="O318" s="49"/>
      <c r="P318" s="49"/>
      <c r="Q318" s="49"/>
      <c r="R318" s="49"/>
      <c r="S318" s="49"/>
      <c r="T318" s="49"/>
    </row>
    <row r="319">
      <c r="A319" s="49"/>
      <c r="B319" s="49"/>
      <c r="C319" s="94"/>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255</v>
      </c>
      <c r="M319" s="49"/>
      <c r="N319" s="49"/>
      <c r="O319" s="49"/>
      <c r="P319" s="49"/>
      <c r="Q319" s="49"/>
      <c r="R319" s="49"/>
      <c r="S319" s="49"/>
      <c r="T319" s="49"/>
    </row>
    <row r="320">
      <c r="A320" s="49"/>
      <c r="B320" s="49"/>
      <c r="C320" s="94"/>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255</v>
      </c>
      <c r="M320" s="49"/>
      <c r="N320" s="49"/>
      <c r="O320" s="49"/>
      <c r="P320" s="49"/>
      <c r="Q320" s="49"/>
      <c r="R320" s="49"/>
      <c r="S320" s="49"/>
      <c r="T320" s="49"/>
    </row>
    <row r="321">
      <c r="A321" s="49"/>
      <c r="B321" s="49"/>
      <c r="C321" s="94"/>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255</v>
      </c>
      <c r="M321" s="49"/>
      <c r="N321" s="49"/>
      <c r="O321" s="49"/>
      <c r="P321" s="49"/>
      <c r="Q321" s="49"/>
      <c r="R321" s="49"/>
      <c r="S321" s="49"/>
      <c r="T321" s="49"/>
    </row>
    <row r="322">
      <c r="A322" s="49"/>
      <c r="B322" s="49"/>
      <c r="C322" s="94"/>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255</v>
      </c>
      <c r="M322" s="49"/>
      <c r="N322" s="49"/>
      <c r="O322" s="49"/>
      <c r="P322" s="49"/>
      <c r="Q322" s="49"/>
      <c r="R322" s="49"/>
      <c r="S322" s="49"/>
      <c r="T322" s="49"/>
    </row>
    <row r="323">
      <c r="A323" s="49"/>
      <c r="B323" s="49"/>
      <c r="C323" s="94"/>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255</v>
      </c>
      <c r="M323" s="49"/>
      <c r="N323" s="49"/>
      <c r="O323" s="49"/>
      <c r="P323" s="49"/>
      <c r="Q323" s="49"/>
      <c r="R323" s="49"/>
      <c r="S323" s="49"/>
      <c r="T323" s="49"/>
    </row>
    <row r="324">
      <c r="A324" s="49"/>
      <c r="B324" s="49"/>
      <c r="C324" s="94"/>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255</v>
      </c>
      <c r="M324" s="49"/>
      <c r="N324" s="49"/>
      <c r="O324" s="49"/>
      <c r="P324" s="49"/>
      <c r="Q324" s="49"/>
      <c r="R324" s="49"/>
      <c r="S324" s="49"/>
      <c r="T324" s="49"/>
    </row>
    <row r="325">
      <c r="A325" s="49"/>
      <c r="B325" s="49"/>
      <c r="C325" s="94"/>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255</v>
      </c>
      <c r="M325" s="49"/>
      <c r="N325" s="49"/>
      <c r="O325" s="49"/>
      <c r="P325" s="49"/>
      <c r="Q325" s="49"/>
      <c r="R325" s="49"/>
      <c r="S325" s="49"/>
      <c r="T325" s="49"/>
    </row>
    <row r="326">
      <c r="A326" s="49"/>
      <c r="B326" s="49"/>
      <c r="C326" s="94"/>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255</v>
      </c>
      <c r="M326" s="49"/>
      <c r="N326" s="49"/>
      <c r="O326" s="49"/>
      <c r="P326" s="49"/>
      <c r="Q326" s="49"/>
      <c r="R326" s="49"/>
      <c r="S326" s="49"/>
      <c r="T326" s="49"/>
    </row>
    <row r="327">
      <c r="A327" s="49"/>
      <c r="B327" s="49"/>
      <c r="C327" s="94"/>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255</v>
      </c>
      <c r="M327" s="49"/>
      <c r="N327" s="49"/>
      <c r="O327" s="49"/>
      <c r="P327" s="49"/>
      <c r="Q327" s="49"/>
      <c r="R327" s="49"/>
      <c r="S327" s="49"/>
      <c r="T327" s="49"/>
    </row>
    <row r="328">
      <c r="A328" s="49"/>
      <c r="B328" s="49"/>
      <c r="C328" s="94"/>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255</v>
      </c>
      <c r="M328" s="49"/>
      <c r="N328" s="49"/>
      <c r="O328" s="49"/>
      <c r="P328" s="49"/>
      <c r="Q328" s="49"/>
      <c r="R328" s="49"/>
      <c r="S328" s="49"/>
      <c r="T328" s="49"/>
    </row>
    <row r="329">
      <c r="A329" s="49"/>
      <c r="B329" s="49"/>
      <c r="C329" s="94"/>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255</v>
      </c>
      <c r="M329" s="49"/>
      <c r="N329" s="49"/>
      <c r="O329" s="49"/>
      <c r="P329" s="49"/>
      <c r="Q329" s="49"/>
      <c r="R329" s="49"/>
      <c r="S329" s="49"/>
      <c r="T329" s="49"/>
    </row>
    <row r="330">
      <c r="A330" s="49"/>
      <c r="B330" s="49"/>
      <c r="C330" s="94"/>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255</v>
      </c>
      <c r="M330" s="49"/>
      <c r="N330" s="49"/>
      <c r="O330" s="49"/>
      <c r="P330" s="49"/>
      <c r="Q330" s="49"/>
      <c r="R330" s="49"/>
      <c r="S330" s="49"/>
      <c r="T330" s="49"/>
    </row>
    <row r="331">
      <c r="A331" s="49"/>
      <c r="B331" s="49"/>
      <c r="C331" s="94"/>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255</v>
      </c>
      <c r="M331" s="49"/>
      <c r="N331" s="49"/>
      <c r="O331" s="49"/>
      <c r="P331" s="49"/>
      <c r="Q331" s="49"/>
      <c r="R331" s="49"/>
      <c r="S331" s="49"/>
      <c r="T331" s="49"/>
    </row>
    <row r="332">
      <c r="A332" s="49"/>
      <c r="B332" s="49"/>
      <c r="C332" s="94"/>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255</v>
      </c>
      <c r="M332" s="49"/>
      <c r="N332" s="49"/>
      <c r="O332" s="49"/>
      <c r="P332" s="49"/>
      <c r="Q332" s="49"/>
      <c r="R332" s="49"/>
      <c r="S332" s="49"/>
      <c r="T332" s="49"/>
    </row>
    <row r="333">
      <c r="A333" s="49"/>
      <c r="B333" s="49"/>
      <c r="C333" s="94"/>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255</v>
      </c>
      <c r="M333" s="49"/>
      <c r="N333" s="49"/>
      <c r="O333" s="49"/>
      <c r="P333" s="49"/>
      <c r="Q333" s="49"/>
      <c r="R333" s="49"/>
      <c r="S333" s="49"/>
      <c r="T333" s="49"/>
    </row>
    <row r="334">
      <c r="A334" s="49"/>
      <c r="B334" s="49"/>
      <c r="C334" s="94"/>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255</v>
      </c>
      <c r="M334" s="49"/>
      <c r="N334" s="49"/>
      <c r="O334" s="49"/>
      <c r="P334" s="49"/>
      <c r="Q334" s="49"/>
      <c r="R334" s="49"/>
      <c r="S334" s="49"/>
      <c r="T334" s="49"/>
    </row>
    <row r="335">
      <c r="A335" s="49"/>
      <c r="B335" s="49"/>
      <c r="C335" s="94"/>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255</v>
      </c>
      <c r="M335" s="49"/>
      <c r="N335" s="49"/>
      <c r="O335" s="49"/>
      <c r="P335" s="49"/>
      <c r="Q335" s="49"/>
      <c r="R335" s="49"/>
      <c r="S335" s="49"/>
      <c r="T335" s="49"/>
    </row>
    <row r="336">
      <c r="A336" s="49"/>
      <c r="B336" s="49"/>
      <c r="C336" s="94"/>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255</v>
      </c>
      <c r="M336" s="49"/>
      <c r="N336" s="49"/>
      <c r="O336" s="49"/>
      <c r="P336" s="49"/>
      <c r="Q336" s="49"/>
      <c r="R336" s="49"/>
      <c r="S336" s="49"/>
      <c r="T336" s="49"/>
    </row>
    <row r="337">
      <c r="A337" s="49"/>
      <c r="B337" s="49"/>
      <c r="C337" s="94"/>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255</v>
      </c>
      <c r="M337" s="49"/>
      <c r="N337" s="49"/>
      <c r="O337" s="49"/>
      <c r="P337" s="49"/>
      <c r="Q337" s="49"/>
      <c r="R337" s="49"/>
      <c r="S337" s="49"/>
      <c r="T337" s="49"/>
    </row>
    <row r="338">
      <c r="A338" s="49"/>
      <c r="B338" s="49"/>
      <c r="C338" s="94"/>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255</v>
      </c>
      <c r="M338" s="49"/>
      <c r="N338" s="49"/>
      <c r="O338" s="49"/>
      <c r="P338" s="49"/>
      <c r="Q338" s="49"/>
      <c r="R338" s="49"/>
      <c r="S338" s="49"/>
      <c r="T338" s="49"/>
    </row>
    <row r="339">
      <c r="A339" s="49"/>
      <c r="B339" s="49"/>
      <c r="C339" s="94"/>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255</v>
      </c>
      <c r="M339" s="49"/>
      <c r="N339" s="49"/>
      <c r="O339" s="49"/>
      <c r="P339" s="49"/>
      <c r="Q339" s="49"/>
      <c r="R339" s="49"/>
      <c r="S339" s="49"/>
      <c r="T339" s="49"/>
    </row>
    <row r="340">
      <c r="A340" s="49"/>
      <c r="B340" s="49"/>
      <c r="C340" s="94"/>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255</v>
      </c>
      <c r="M340" s="49"/>
      <c r="N340" s="49"/>
      <c r="O340" s="49"/>
      <c r="P340" s="49"/>
      <c r="Q340" s="49"/>
      <c r="R340" s="49"/>
      <c r="S340" s="49"/>
      <c r="T340" s="49"/>
    </row>
    <row r="341">
      <c r="A341" s="49"/>
      <c r="B341" s="49"/>
      <c r="C341" s="94"/>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255</v>
      </c>
      <c r="M341" s="49"/>
      <c r="N341" s="49"/>
      <c r="O341" s="49"/>
      <c r="P341" s="49"/>
      <c r="Q341" s="49"/>
      <c r="R341" s="49"/>
      <c r="S341" s="49"/>
      <c r="T341" s="49"/>
    </row>
    <row r="342">
      <c r="A342" s="49"/>
      <c r="B342" s="49"/>
      <c r="C342" s="94"/>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255</v>
      </c>
      <c r="M342" s="49"/>
      <c r="N342" s="49"/>
      <c r="O342" s="49"/>
      <c r="P342" s="49"/>
      <c r="Q342" s="49"/>
      <c r="R342" s="49"/>
      <c r="S342" s="49"/>
      <c r="T342" s="49"/>
    </row>
    <row r="343">
      <c r="A343" s="49"/>
      <c r="B343" s="49"/>
      <c r="C343" s="94"/>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255</v>
      </c>
      <c r="M343" s="49"/>
      <c r="N343" s="49"/>
      <c r="O343" s="49"/>
      <c r="P343" s="49"/>
      <c r="Q343" s="49"/>
      <c r="R343" s="49"/>
      <c r="S343" s="49"/>
      <c r="T343" s="49"/>
    </row>
    <row r="344">
      <c r="A344" s="49"/>
      <c r="B344" s="49"/>
      <c r="C344" s="94"/>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255</v>
      </c>
      <c r="M344" s="49"/>
      <c r="N344" s="49"/>
      <c r="O344" s="49"/>
      <c r="P344" s="49"/>
      <c r="Q344" s="49"/>
      <c r="R344" s="49"/>
      <c r="S344" s="49"/>
      <c r="T344" s="49"/>
    </row>
    <row r="345">
      <c r="A345" s="49"/>
      <c r="B345" s="49"/>
      <c r="C345" s="94"/>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255</v>
      </c>
      <c r="M345" s="49"/>
      <c r="N345" s="49"/>
      <c r="O345" s="49"/>
      <c r="P345" s="49"/>
      <c r="Q345" s="49"/>
      <c r="R345" s="49"/>
      <c r="S345" s="49"/>
      <c r="T345" s="49"/>
    </row>
    <row r="346">
      <c r="A346" s="49"/>
      <c r="B346" s="49"/>
      <c r="C346" s="94"/>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255</v>
      </c>
      <c r="M346" s="49"/>
      <c r="N346" s="49"/>
      <c r="O346" s="49"/>
      <c r="P346" s="49"/>
      <c r="Q346" s="49"/>
      <c r="R346" s="49"/>
      <c r="S346" s="49"/>
      <c r="T346" s="49"/>
    </row>
    <row r="347">
      <c r="A347" s="49"/>
      <c r="B347" s="49"/>
      <c r="C347" s="94"/>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255</v>
      </c>
      <c r="M347" s="49"/>
      <c r="N347" s="49"/>
      <c r="O347" s="49"/>
      <c r="P347" s="49"/>
      <c r="Q347" s="49"/>
      <c r="R347" s="49"/>
      <c r="S347" s="49"/>
      <c r="T347" s="49"/>
    </row>
    <row r="348">
      <c r="A348" s="49"/>
      <c r="B348" s="49"/>
      <c r="C348" s="94"/>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255</v>
      </c>
      <c r="M348" s="49"/>
      <c r="N348" s="49"/>
      <c r="O348" s="49"/>
      <c r="P348" s="49"/>
      <c r="Q348" s="49"/>
      <c r="R348" s="49"/>
      <c r="S348" s="49"/>
      <c r="T348" s="49"/>
    </row>
    <row r="349">
      <c r="A349" s="49"/>
      <c r="B349" s="49"/>
      <c r="C349" s="94"/>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255</v>
      </c>
      <c r="M349" s="49"/>
      <c r="N349" s="49"/>
      <c r="O349" s="49"/>
      <c r="P349" s="49"/>
      <c r="Q349" s="49"/>
      <c r="R349" s="49"/>
      <c r="S349" s="49"/>
      <c r="T349" s="49"/>
    </row>
    <row r="350">
      <c r="A350" s="49"/>
      <c r="B350" s="49"/>
      <c r="C350" s="94"/>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255</v>
      </c>
      <c r="M350" s="49"/>
      <c r="N350" s="49"/>
      <c r="O350" s="49"/>
      <c r="P350" s="49"/>
      <c r="Q350" s="49"/>
      <c r="R350" s="49"/>
      <c r="S350" s="49"/>
      <c r="T350" s="49"/>
    </row>
    <row r="351">
      <c r="A351" s="49"/>
      <c r="B351" s="49"/>
      <c r="C351" s="94"/>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255</v>
      </c>
      <c r="M351" s="49"/>
      <c r="N351" s="49"/>
      <c r="O351" s="49"/>
      <c r="P351" s="49"/>
      <c r="Q351" s="49"/>
      <c r="R351" s="49"/>
      <c r="S351" s="49"/>
      <c r="T351" s="49"/>
    </row>
    <row r="352">
      <c r="A352" s="49"/>
      <c r="B352" s="49"/>
      <c r="C352" s="94"/>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255</v>
      </c>
      <c r="M352" s="49"/>
      <c r="N352" s="49"/>
      <c r="O352" s="49"/>
      <c r="P352" s="49"/>
      <c r="Q352" s="49"/>
      <c r="R352" s="49"/>
      <c r="S352" s="49"/>
      <c r="T352" s="49"/>
    </row>
    <row r="353">
      <c r="A353" s="49"/>
      <c r="B353" s="49"/>
      <c r="C353" s="94"/>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255</v>
      </c>
      <c r="M353" s="49"/>
      <c r="N353" s="49"/>
      <c r="O353" s="49"/>
      <c r="P353" s="49"/>
      <c r="Q353" s="49"/>
      <c r="R353" s="49"/>
      <c r="S353" s="49"/>
      <c r="T353" s="49"/>
    </row>
    <row r="354">
      <c r="A354" s="49"/>
      <c r="B354" s="49"/>
      <c r="C354" s="94"/>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255</v>
      </c>
      <c r="M354" s="49"/>
      <c r="N354" s="49"/>
      <c r="O354" s="49"/>
      <c r="P354" s="49"/>
      <c r="Q354" s="49"/>
      <c r="R354" s="49"/>
      <c r="S354" s="49"/>
      <c r="T354" s="49"/>
    </row>
    <row r="355">
      <c r="A355" s="49"/>
      <c r="B355" s="49"/>
      <c r="C355" s="94"/>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255</v>
      </c>
      <c r="M355" s="49"/>
      <c r="N355" s="49"/>
      <c r="O355" s="49"/>
      <c r="P355" s="49"/>
      <c r="Q355" s="49"/>
      <c r="R355" s="49"/>
      <c r="S355" s="49"/>
      <c r="T355" s="49"/>
    </row>
    <row r="356">
      <c r="A356" s="49"/>
      <c r="B356" s="49"/>
      <c r="C356" s="94"/>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255</v>
      </c>
      <c r="M356" s="49"/>
      <c r="N356" s="49"/>
      <c r="O356" s="49"/>
      <c r="P356" s="49"/>
      <c r="Q356" s="49"/>
      <c r="R356" s="49"/>
      <c r="S356" s="49"/>
      <c r="T356" s="49"/>
    </row>
    <row r="357">
      <c r="A357" s="49"/>
      <c r="B357" s="49"/>
      <c r="C357" s="94"/>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255</v>
      </c>
      <c r="M357" s="49"/>
      <c r="N357" s="49"/>
      <c r="O357" s="49"/>
      <c r="P357" s="49"/>
      <c r="Q357" s="49"/>
      <c r="R357" s="49"/>
      <c r="S357" s="49"/>
      <c r="T357" s="49"/>
    </row>
    <row r="358">
      <c r="A358" s="49"/>
      <c r="B358" s="49"/>
      <c r="C358" s="94"/>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255</v>
      </c>
      <c r="M358" s="49"/>
      <c r="N358" s="49"/>
      <c r="O358" s="49"/>
      <c r="P358" s="49"/>
      <c r="Q358" s="49"/>
      <c r="R358" s="49"/>
      <c r="S358" s="49"/>
      <c r="T358" s="49"/>
    </row>
    <row r="359">
      <c r="A359" s="49"/>
      <c r="B359" s="49"/>
      <c r="C359" s="94"/>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255</v>
      </c>
      <c r="M359" s="49"/>
      <c r="N359" s="49"/>
      <c r="O359" s="49"/>
      <c r="P359" s="49"/>
      <c r="Q359" s="49"/>
      <c r="R359" s="49"/>
      <c r="S359" s="49"/>
      <c r="T359" s="49"/>
    </row>
    <row r="360">
      <c r="A360" s="49"/>
      <c r="B360" s="49"/>
      <c r="C360" s="94"/>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255</v>
      </c>
      <c r="M360" s="49"/>
      <c r="N360" s="49"/>
      <c r="O360" s="49"/>
      <c r="P360" s="49"/>
      <c r="Q360" s="49"/>
      <c r="R360" s="49"/>
      <c r="S360" s="49"/>
      <c r="T360" s="49"/>
    </row>
    <row r="361">
      <c r="A361" s="49"/>
      <c r="B361" s="49"/>
      <c r="C361" s="94"/>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255</v>
      </c>
      <c r="M361" s="49"/>
      <c r="N361" s="49"/>
      <c r="O361" s="49"/>
      <c r="P361" s="49"/>
      <c r="Q361" s="49"/>
      <c r="R361" s="49"/>
      <c r="S361" s="49"/>
      <c r="T361" s="49"/>
    </row>
    <row r="362">
      <c r="A362" s="49"/>
      <c r="B362" s="49"/>
      <c r="C362" s="94"/>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255</v>
      </c>
      <c r="M362" s="49"/>
      <c r="N362" s="49"/>
      <c r="O362" s="49"/>
      <c r="P362" s="49"/>
      <c r="Q362" s="49"/>
      <c r="R362" s="49"/>
      <c r="S362" s="49"/>
      <c r="T362" s="49"/>
    </row>
    <row r="363">
      <c r="A363" s="49"/>
      <c r="B363" s="49"/>
      <c r="C363" s="94"/>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255</v>
      </c>
      <c r="M363" s="49"/>
      <c r="N363" s="49"/>
      <c r="O363" s="49"/>
      <c r="P363" s="49"/>
      <c r="Q363" s="49"/>
      <c r="R363" s="49"/>
      <c r="S363" s="49"/>
      <c r="T363" s="49"/>
    </row>
    <row r="364">
      <c r="A364" s="49"/>
      <c r="B364" s="49"/>
      <c r="C364" s="94"/>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255</v>
      </c>
      <c r="M364" s="49"/>
      <c r="N364" s="49"/>
      <c r="O364" s="49"/>
      <c r="P364" s="49"/>
      <c r="Q364" s="49"/>
      <c r="R364" s="49"/>
      <c r="S364" s="49"/>
      <c r="T364" s="49"/>
    </row>
    <row r="365">
      <c r="A365" s="49"/>
      <c r="B365" s="49"/>
      <c r="C365" s="94"/>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255</v>
      </c>
      <c r="M365" s="49"/>
      <c r="N365" s="49"/>
      <c r="O365" s="49"/>
      <c r="P365" s="49"/>
      <c r="Q365" s="49"/>
      <c r="R365" s="49"/>
      <c r="S365" s="49"/>
      <c r="T365" s="49"/>
    </row>
    <row r="366">
      <c r="A366" s="49"/>
      <c r="B366" s="49"/>
      <c r="C366" s="94"/>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255</v>
      </c>
      <c r="M366" s="49"/>
      <c r="N366" s="49"/>
      <c r="O366" s="49"/>
      <c r="P366" s="49"/>
      <c r="Q366" s="49"/>
      <c r="R366" s="49"/>
      <c r="S366" s="49"/>
      <c r="T366" s="49"/>
    </row>
    <row r="367">
      <c r="A367" s="49"/>
      <c r="B367" s="49"/>
      <c r="C367" s="94"/>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255</v>
      </c>
      <c r="M367" s="49"/>
      <c r="N367" s="49"/>
      <c r="O367" s="49"/>
      <c r="P367" s="49"/>
      <c r="Q367" s="49"/>
      <c r="R367" s="49"/>
      <c r="S367" s="49"/>
      <c r="T367" s="49"/>
    </row>
    <row r="368">
      <c r="A368" s="49"/>
      <c r="B368" s="49"/>
      <c r="C368" s="94"/>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255</v>
      </c>
      <c r="M368" s="49"/>
      <c r="N368" s="49"/>
      <c r="O368" s="49"/>
      <c r="P368" s="49"/>
      <c r="Q368" s="49"/>
      <c r="R368" s="49"/>
      <c r="S368" s="49"/>
      <c r="T368" s="49"/>
    </row>
    <row r="369">
      <c r="A369" s="49"/>
      <c r="B369" s="49"/>
      <c r="C369" s="94"/>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255</v>
      </c>
      <c r="M369" s="49"/>
      <c r="N369" s="49"/>
      <c r="O369" s="49"/>
      <c r="P369" s="49"/>
      <c r="Q369" s="49"/>
      <c r="R369" s="49"/>
      <c r="S369" s="49"/>
      <c r="T369" s="49"/>
    </row>
    <row r="370">
      <c r="A370" s="49"/>
      <c r="B370" s="49"/>
      <c r="C370" s="94"/>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255</v>
      </c>
      <c r="M370" s="49"/>
      <c r="N370" s="49"/>
      <c r="O370" s="49"/>
      <c r="P370" s="49"/>
      <c r="Q370" s="49"/>
      <c r="R370" s="49"/>
      <c r="S370" s="49"/>
      <c r="T370" s="49"/>
    </row>
    <row r="371">
      <c r="A371" s="49"/>
      <c r="B371" s="49"/>
      <c r="C371" s="94"/>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255</v>
      </c>
      <c r="M371" s="49"/>
      <c r="N371" s="49"/>
      <c r="O371" s="49"/>
      <c r="P371" s="49"/>
      <c r="Q371" s="49"/>
      <c r="R371" s="49"/>
      <c r="S371" s="49"/>
      <c r="T371" s="49"/>
    </row>
    <row r="372">
      <c r="A372" s="49"/>
      <c r="B372" s="49"/>
      <c r="C372" s="94"/>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255</v>
      </c>
      <c r="M372" s="49"/>
      <c r="N372" s="49"/>
      <c r="O372" s="49"/>
      <c r="P372" s="49"/>
      <c r="Q372" s="49"/>
      <c r="R372" s="49"/>
      <c r="S372" s="49"/>
      <c r="T372" s="49"/>
    </row>
    <row r="373">
      <c r="A373" s="49"/>
      <c r="B373" s="49"/>
      <c r="C373" s="94"/>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255</v>
      </c>
      <c r="M373" s="49"/>
      <c r="N373" s="49"/>
      <c r="O373" s="49"/>
      <c r="P373" s="49"/>
      <c r="Q373" s="49"/>
      <c r="R373" s="49"/>
      <c r="S373" s="49"/>
      <c r="T373" s="49"/>
    </row>
    <row r="374">
      <c r="A374" s="49"/>
      <c r="B374" s="49"/>
      <c r="C374" s="94"/>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255</v>
      </c>
      <c r="M374" s="49"/>
      <c r="N374" s="49"/>
      <c r="O374" s="49"/>
      <c r="P374" s="49"/>
      <c r="Q374" s="49"/>
      <c r="R374" s="49"/>
      <c r="S374" s="49"/>
      <c r="T374" s="49"/>
    </row>
    <row r="375">
      <c r="A375" s="49"/>
      <c r="B375" s="49"/>
      <c r="C375" s="94"/>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255</v>
      </c>
      <c r="M375" s="49"/>
      <c r="N375" s="49"/>
      <c r="O375" s="49"/>
      <c r="P375" s="49"/>
      <c r="Q375" s="49"/>
      <c r="R375" s="49"/>
      <c r="S375" s="49"/>
      <c r="T375" s="49"/>
    </row>
    <row r="376">
      <c r="A376" s="49"/>
      <c r="B376" s="49"/>
      <c r="C376" s="94"/>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255</v>
      </c>
      <c r="M376" s="49"/>
      <c r="N376" s="49"/>
      <c r="O376" s="49"/>
      <c r="P376" s="49"/>
      <c r="Q376" s="49"/>
      <c r="R376" s="49"/>
      <c r="S376" s="49"/>
      <c r="T376" s="49"/>
    </row>
    <row r="377">
      <c r="A377" s="49"/>
      <c r="B377" s="49"/>
      <c r="C377" s="94"/>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255</v>
      </c>
      <c r="M377" s="49"/>
      <c r="N377" s="49"/>
      <c r="O377" s="49"/>
      <c r="P377" s="49"/>
      <c r="Q377" s="49"/>
      <c r="R377" s="49"/>
      <c r="S377" s="49"/>
      <c r="T377" s="49"/>
    </row>
    <row r="378">
      <c r="A378" s="49"/>
      <c r="B378" s="49"/>
      <c r="C378" s="94"/>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255</v>
      </c>
      <c r="M378" s="49"/>
      <c r="N378" s="49"/>
      <c r="O378" s="49"/>
      <c r="P378" s="49"/>
      <c r="Q378" s="49"/>
      <c r="R378" s="49"/>
      <c r="S378" s="49"/>
      <c r="T378" s="49"/>
    </row>
    <row r="379">
      <c r="A379" s="49"/>
      <c r="B379" s="49"/>
      <c r="C379" s="94"/>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255</v>
      </c>
      <c r="M379" s="49"/>
      <c r="N379" s="49"/>
      <c r="O379" s="49"/>
      <c r="P379" s="49"/>
      <c r="Q379" s="49"/>
      <c r="R379" s="49"/>
      <c r="S379" s="49"/>
      <c r="T379" s="49"/>
    </row>
    <row r="380">
      <c r="A380" s="49"/>
      <c r="B380" s="49"/>
      <c r="C380" s="94"/>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255</v>
      </c>
      <c r="M380" s="49"/>
      <c r="N380" s="49"/>
      <c r="O380" s="49"/>
      <c r="P380" s="49"/>
      <c r="Q380" s="49"/>
      <c r="R380" s="49"/>
      <c r="S380" s="49"/>
      <c r="T380" s="49"/>
    </row>
    <row r="381">
      <c r="A381" s="49"/>
      <c r="B381" s="49"/>
      <c r="C381" s="94"/>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255</v>
      </c>
      <c r="M381" s="49"/>
      <c r="N381" s="49"/>
      <c r="O381" s="49"/>
      <c r="P381" s="49"/>
      <c r="Q381" s="49"/>
      <c r="R381" s="49"/>
      <c r="S381" s="49"/>
      <c r="T381" s="49"/>
    </row>
    <row r="382">
      <c r="A382" s="49"/>
      <c r="B382" s="49"/>
      <c r="C382" s="94"/>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255</v>
      </c>
      <c r="M382" s="49"/>
      <c r="N382" s="49"/>
      <c r="O382" s="49"/>
      <c r="P382" s="49"/>
      <c r="Q382" s="49"/>
      <c r="R382" s="49"/>
      <c r="S382" s="49"/>
      <c r="T382" s="49"/>
    </row>
    <row r="383">
      <c r="A383" s="49"/>
      <c r="B383" s="49"/>
      <c r="C383" s="94"/>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255</v>
      </c>
      <c r="M383" s="49"/>
      <c r="N383" s="49"/>
      <c r="O383" s="49"/>
      <c r="P383" s="49"/>
      <c r="Q383" s="49"/>
      <c r="R383" s="49"/>
      <c r="S383" s="49"/>
      <c r="T383" s="49"/>
    </row>
    <row r="384">
      <c r="A384" s="49"/>
      <c r="B384" s="49"/>
      <c r="C384" s="94"/>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255</v>
      </c>
      <c r="M384" s="49"/>
      <c r="N384" s="49"/>
      <c r="O384" s="49"/>
      <c r="P384" s="49"/>
      <c r="Q384" s="49"/>
      <c r="R384" s="49"/>
      <c r="S384" s="49"/>
      <c r="T384" s="49"/>
    </row>
    <row r="385">
      <c r="A385" s="49"/>
      <c r="B385" s="49"/>
      <c r="C385" s="94"/>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255</v>
      </c>
      <c r="M385" s="49"/>
      <c r="N385" s="49"/>
      <c r="O385" s="49"/>
      <c r="P385" s="49"/>
      <c r="Q385" s="49"/>
      <c r="R385" s="49"/>
      <c r="S385" s="49"/>
      <c r="T385" s="49"/>
    </row>
    <row r="386">
      <c r="A386" s="49"/>
      <c r="B386" s="49"/>
      <c r="C386" s="94"/>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255</v>
      </c>
      <c r="M386" s="49"/>
      <c r="N386" s="49"/>
      <c r="O386" s="49"/>
      <c r="P386" s="49"/>
      <c r="Q386" s="49"/>
      <c r="R386" s="49"/>
      <c r="S386" s="49"/>
      <c r="T386" s="49"/>
    </row>
    <row r="387">
      <c r="A387" s="49"/>
      <c r="B387" s="49"/>
      <c r="C387" s="94"/>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255</v>
      </c>
      <c r="M387" s="49"/>
      <c r="N387" s="49"/>
      <c r="O387" s="49"/>
      <c r="P387" s="49"/>
      <c r="Q387" s="49"/>
      <c r="R387" s="49"/>
      <c r="S387" s="49"/>
      <c r="T387" s="49"/>
    </row>
    <row r="388">
      <c r="A388" s="49"/>
      <c r="B388" s="49"/>
      <c r="C388" s="94"/>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255</v>
      </c>
      <c r="M388" s="49"/>
      <c r="N388" s="49"/>
      <c r="O388" s="49"/>
      <c r="P388" s="49"/>
      <c r="Q388" s="49"/>
      <c r="R388" s="49"/>
      <c r="S388" s="49"/>
      <c r="T388" s="49"/>
    </row>
    <row r="389">
      <c r="A389" s="49"/>
      <c r="B389" s="49"/>
      <c r="C389" s="94"/>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255</v>
      </c>
      <c r="M389" s="49"/>
      <c r="N389" s="49"/>
      <c r="O389" s="49"/>
      <c r="P389" s="49"/>
      <c r="Q389" s="49"/>
      <c r="R389" s="49"/>
      <c r="S389" s="49"/>
      <c r="T389" s="49"/>
    </row>
    <row r="390">
      <c r="A390" s="49"/>
      <c r="B390" s="49"/>
      <c r="C390" s="94"/>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255</v>
      </c>
      <c r="M390" s="49"/>
      <c r="N390" s="49"/>
      <c r="O390" s="49"/>
      <c r="P390" s="49"/>
      <c r="Q390" s="49"/>
      <c r="R390" s="49"/>
      <c r="S390" s="49"/>
      <c r="T390" s="49"/>
    </row>
    <row r="391">
      <c r="A391" s="49"/>
      <c r="B391" s="49"/>
      <c r="C391" s="94"/>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255</v>
      </c>
      <c r="M391" s="49"/>
      <c r="N391" s="49"/>
      <c r="O391" s="49"/>
      <c r="P391" s="49"/>
      <c r="Q391" s="49"/>
      <c r="R391" s="49"/>
      <c r="S391" s="49"/>
      <c r="T391" s="49"/>
    </row>
    <row r="392">
      <c r="A392" s="49"/>
      <c r="B392" s="49"/>
      <c r="C392" s="94"/>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255</v>
      </c>
      <c r="M392" s="49"/>
      <c r="N392" s="49"/>
      <c r="O392" s="49"/>
      <c r="P392" s="49"/>
      <c r="Q392" s="49"/>
      <c r="R392" s="49"/>
      <c r="S392" s="49"/>
      <c r="T392" s="49"/>
    </row>
    <row r="393">
      <c r="A393" s="49"/>
      <c r="B393" s="49"/>
      <c r="C393" s="94"/>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255</v>
      </c>
      <c r="M393" s="49"/>
      <c r="N393" s="49"/>
      <c r="O393" s="49"/>
      <c r="P393" s="49"/>
      <c r="Q393" s="49"/>
      <c r="R393" s="49"/>
      <c r="S393" s="49"/>
      <c r="T393" s="49"/>
    </row>
    <row r="394">
      <c r="A394" s="49"/>
      <c r="B394" s="49"/>
      <c r="C394" s="94"/>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255</v>
      </c>
      <c r="M394" s="49"/>
      <c r="N394" s="49"/>
      <c r="O394" s="49"/>
      <c r="P394" s="49"/>
      <c r="Q394" s="49"/>
      <c r="R394" s="49"/>
      <c r="S394" s="49"/>
      <c r="T394" s="49"/>
    </row>
    <row r="395">
      <c r="A395" s="49"/>
      <c r="B395" s="49"/>
      <c r="C395" s="94"/>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255</v>
      </c>
      <c r="M395" s="49"/>
      <c r="N395" s="49"/>
      <c r="O395" s="49"/>
      <c r="P395" s="49"/>
      <c r="Q395" s="49"/>
      <c r="R395" s="49"/>
      <c r="S395" s="49"/>
      <c r="T395" s="49"/>
    </row>
    <row r="396">
      <c r="A396" s="49"/>
      <c r="B396" s="49"/>
      <c r="C396" s="94"/>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255</v>
      </c>
      <c r="M396" s="49"/>
      <c r="N396" s="49"/>
      <c r="O396" s="49"/>
      <c r="P396" s="49"/>
      <c r="Q396" s="49"/>
      <c r="R396" s="49"/>
      <c r="S396" s="49"/>
      <c r="T396" s="49"/>
    </row>
    <row r="397">
      <c r="A397" s="49"/>
      <c r="B397" s="49"/>
      <c r="C397" s="94"/>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255</v>
      </c>
      <c r="M397" s="49"/>
      <c r="N397" s="49"/>
      <c r="O397" s="49"/>
      <c r="P397" s="49"/>
      <c r="Q397" s="49"/>
      <c r="R397" s="49"/>
      <c r="S397" s="49"/>
      <c r="T397" s="49"/>
    </row>
    <row r="398">
      <c r="A398" s="49"/>
      <c r="B398" s="49"/>
      <c r="C398" s="94"/>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255</v>
      </c>
      <c r="M398" s="49"/>
      <c r="N398" s="49"/>
      <c r="O398" s="49"/>
      <c r="P398" s="49"/>
      <c r="Q398" s="49"/>
      <c r="R398" s="49"/>
      <c r="S398" s="49"/>
      <c r="T398" s="49"/>
    </row>
    <row r="399">
      <c r="A399" s="49"/>
      <c r="B399" s="49"/>
      <c r="C399" s="94"/>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255</v>
      </c>
      <c r="M399" s="49"/>
      <c r="N399" s="49"/>
      <c r="O399" s="49"/>
      <c r="P399" s="49"/>
      <c r="Q399" s="49"/>
      <c r="R399" s="49"/>
      <c r="S399" s="49"/>
      <c r="T399" s="49"/>
    </row>
    <row r="400">
      <c r="A400" s="49"/>
      <c r="B400" s="49"/>
      <c r="C400" s="94"/>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255</v>
      </c>
      <c r="M400" s="49"/>
      <c r="N400" s="49"/>
      <c r="O400" s="49"/>
      <c r="P400" s="49"/>
      <c r="Q400" s="49"/>
      <c r="R400" s="49"/>
      <c r="S400" s="49"/>
      <c r="T400" s="49"/>
    </row>
    <row r="401">
      <c r="A401" s="49"/>
      <c r="B401" s="49"/>
      <c r="C401" s="94"/>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255</v>
      </c>
      <c r="M401" s="49"/>
      <c r="N401" s="49"/>
      <c r="O401" s="49"/>
      <c r="P401" s="49"/>
      <c r="Q401" s="49"/>
      <c r="R401" s="49"/>
      <c r="S401" s="49"/>
      <c r="T401" s="49"/>
    </row>
    <row r="402">
      <c r="A402" s="49"/>
      <c r="B402" s="49"/>
      <c r="C402" s="94"/>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255</v>
      </c>
      <c r="M402" s="49"/>
      <c r="N402" s="49"/>
      <c r="O402" s="49"/>
      <c r="P402" s="49"/>
      <c r="Q402" s="49"/>
      <c r="R402" s="49"/>
      <c r="S402" s="49"/>
      <c r="T402" s="49"/>
    </row>
    <row r="403">
      <c r="A403" s="49"/>
      <c r="B403" s="49"/>
      <c r="C403" s="94"/>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255</v>
      </c>
      <c r="M403" s="49"/>
      <c r="N403" s="49"/>
      <c r="O403" s="49"/>
      <c r="P403" s="49"/>
      <c r="Q403" s="49"/>
      <c r="R403" s="49"/>
      <c r="S403" s="49"/>
      <c r="T403" s="49"/>
    </row>
    <row r="404">
      <c r="A404" s="49"/>
      <c r="B404" s="49"/>
      <c r="C404" s="94"/>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255</v>
      </c>
      <c r="M404" s="49"/>
      <c r="N404" s="49"/>
      <c r="O404" s="49"/>
      <c r="P404" s="49"/>
      <c r="Q404" s="49"/>
      <c r="R404" s="49"/>
      <c r="S404" s="49"/>
      <c r="T404" s="49"/>
    </row>
    <row r="405">
      <c r="A405" s="49"/>
      <c r="B405" s="49"/>
      <c r="C405" s="94"/>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255</v>
      </c>
      <c r="M405" s="49"/>
      <c r="N405" s="49"/>
      <c r="O405" s="49"/>
      <c r="P405" s="49"/>
      <c r="Q405" s="49"/>
      <c r="R405" s="49"/>
      <c r="S405" s="49"/>
      <c r="T405" s="49"/>
    </row>
    <row r="406">
      <c r="A406" s="49"/>
      <c r="B406" s="49"/>
      <c r="C406" s="94"/>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255</v>
      </c>
      <c r="M406" s="49"/>
      <c r="N406" s="49"/>
      <c r="O406" s="49"/>
      <c r="P406" s="49"/>
      <c r="Q406" s="49"/>
      <c r="R406" s="49"/>
      <c r="S406" s="49"/>
      <c r="T406" s="49"/>
    </row>
    <row r="407">
      <c r="A407" s="49"/>
      <c r="B407" s="49"/>
      <c r="C407" s="94"/>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255</v>
      </c>
      <c r="M407" s="49"/>
      <c r="N407" s="49"/>
      <c r="O407" s="49"/>
      <c r="P407" s="49"/>
      <c r="Q407" s="49"/>
      <c r="R407" s="49"/>
      <c r="S407" s="49"/>
      <c r="T407" s="49"/>
    </row>
    <row r="408">
      <c r="A408" s="49"/>
      <c r="B408" s="49"/>
      <c r="C408" s="94"/>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255</v>
      </c>
      <c r="M408" s="49"/>
      <c r="N408" s="49"/>
      <c r="O408" s="49"/>
      <c r="P408" s="49"/>
      <c r="Q408" s="49"/>
      <c r="R408" s="49"/>
      <c r="S408" s="49"/>
      <c r="T408" s="49"/>
    </row>
    <row r="409">
      <c r="A409" s="49"/>
      <c r="B409" s="49"/>
      <c r="C409" s="94"/>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255</v>
      </c>
      <c r="M409" s="49"/>
      <c r="N409" s="49"/>
      <c r="O409" s="49"/>
      <c r="P409" s="49"/>
      <c r="Q409" s="49"/>
      <c r="R409" s="49"/>
      <c r="S409" s="49"/>
      <c r="T409" s="49"/>
    </row>
    <row r="410">
      <c r="A410" s="49"/>
      <c r="B410" s="49"/>
      <c r="C410" s="94"/>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255</v>
      </c>
      <c r="M410" s="49"/>
      <c r="N410" s="49"/>
      <c r="O410" s="49"/>
      <c r="P410" s="49"/>
      <c r="Q410" s="49"/>
      <c r="R410" s="49"/>
      <c r="S410" s="49"/>
      <c r="T410" s="49"/>
    </row>
    <row r="411">
      <c r="A411" s="49"/>
      <c r="B411" s="49"/>
      <c r="C411" s="94"/>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255</v>
      </c>
      <c r="M411" s="49"/>
      <c r="N411" s="49"/>
      <c r="O411" s="49"/>
      <c r="P411" s="49"/>
      <c r="Q411" s="49"/>
      <c r="R411" s="49"/>
      <c r="S411" s="49"/>
      <c r="T411" s="49"/>
    </row>
    <row r="412">
      <c r="A412" s="49"/>
      <c r="B412" s="49"/>
      <c r="C412" s="94"/>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255</v>
      </c>
      <c r="M412" s="49"/>
      <c r="N412" s="49"/>
      <c r="O412" s="49"/>
      <c r="P412" s="49"/>
      <c r="Q412" s="49"/>
      <c r="R412" s="49"/>
      <c r="S412" s="49"/>
      <c r="T412" s="49"/>
    </row>
    <row r="413">
      <c r="A413" s="49"/>
      <c r="B413" s="49"/>
      <c r="C413" s="94"/>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255</v>
      </c>
      <c r="M413" s="49"/>
      <c r="N413" s="49"/>
      <c r="O413" s="49"/>
      <c r="P413" s="49"/>
      <c r="Q413" s="49"/>
      <c r="R413" s="49"/>
      <c r="S413" s="49"/>
      <c r="T413" s="49"/>
    </row>
    <row r="414">
      <c r="A414" s="49"/>
      <c r="B414" s="49"/>
      <c r="C414" s="94"/>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255</v>
      </c>
      <c r="M414" s="49"/>
      <c r="N414" s="49"/>
      <c r="O414" s="49"/>
      <c r="P414" s="49"/>
      <c r="Q414" s="49"/>
      <c r="R414" s="49"/>
      <c r="S414" s="49"/>
      <c r="T414" s="49"/>
    </row>
    <row r="415">
      <c r="A415" s="49"/>
      <c r="B415" s="49"/>
      <c r="C415" s="94"/>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255</v>
      </c>
      <c r="M415" s="49"/>
      <c r="N415" s="49"/>
      <c r="O415" s="49"/>
      <c r="P415" s="49"/>
      <c r="Q415" s="49"/>
      <c r="R415" s="49"/>
      <c r="S415" s="49"/>
      <c r="T415" s="49"/>
    </row>
    <row r="416">
      <c r="A416" s="49"/>
      <c r="B416" s="49"/>
      <c r="C416" s="94"/>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255</v>
      </c>
      <c r="M416" s="49"/>
      <c r="N416" s="49"/>
      <c r="O416" s="49"/>
      <c r="P416" s="49"/>
      <c r="Q416" s="49"/>
      <c r="R416" s="49"/>
      <c r="S416" s="49"/>
      <c r="T416" s="49"/>
    </row>
    <row r="417">
      <c r="A417" s="49"/>
      <c r="B417" s="49"/>
      <c r="C417" s="94"/>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255</v>
      </c>
      <c r="M417" s="49"/>
      <c r="N417" s="49"/>
      <c r="O417" s="49"/>
      <c r="P417" s="49"/>
      <c r="Q417" s="49"/>
      <c r="R417" s="49"/>
      <c r="S417" s="49"/>
      <c r="T417" s="49"/>
    </row>
    <row r="418">
      <c r="A418" s="49"/>
      <c r="B418" s="49"/>
      <c r="C418" s="94"/>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255</v>
      </c>
      <c r="M418" s="49"/>
      <c r="N418" s="49"/>
      <c r="O418" s="49"/>
      <c r="P418" s="49"/>
      <c r="Q418" s="49"/>
      <c r="R418" s="49"/>
      <c r="S418" s="49"/>
      <c r="T418" s="49"/>
    </row>
    <row r="419">
      <c r="A419" s="49"/>
      <c r="B419" s="49"/>
      <c r="C419" s="94"/>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255</v>
      </c>
      <c r="M419" s="49"/>
      <c r="N419" s="49"/>
      <c r="O419" s="49"/>
      <c r="P419" s="49"/>
      <c r="Q419" s="49"/>
      <c r="R419" s="49"/>
      <c r="S419" s="49"/>
      <c r="T419" s="49"/>
    </row>
    <row r="420">
      <c r="A420" s="49"/>
      <c r="B420" s="49"/>
      <c r="C420" s="94"/>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255</v>
      </c>
      <c r="M420" s="49"/>
      <c r="N420" s="49"/>
      <c r="O420" s="49"/>
      <c r="P420" s="49"/>
      <c r="Q420" s="49"/>
      <c r="R420" s="49"/>
      <c r="S420" s="49"/>
      <c r="T420" s="49"/>
    </row>
    <row r="421">
      <c r="A421" s="49"/>
      <c r="B421" s="49"/>
      <c r="C421" s="94"/>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255</v>
      </c>
      <c r="M421" s="49"/>
      <c r="N421" s="49"/>
      <c r="O421" s="49"/>
      <c r="P421" s="49"/>
      <c r="Q421" s="49"/>
      <c r="R421" s="49"/>
      <c r="S421" s="49"/>
      <c r="T421" s="49"/>
    </row>
    <row r="422">
      <c r="A422" s="49"/>
      <c r="B422" s="49"/>
      <c r="C422" s="94"/>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255</v>
      </c>
      <c r="M422" s="49"/>
      <c r="N422" s="49"/>
      <c r="O422" s="49"/>
      <c r="P422" s="49"/>
      <c r="Q422" s="49"/>
      <c r="R422" s="49"/>
      <c r="S422" s="49"/>
      <c r="T422" s="49"/>
    </row>
    <row r="423">
      <c r="A423" s="49"/>
      <c r="B423" s="49"/>
      <c r="C423" s="94"/>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255</v>
      </c>
      <c r="M423" s="49"/>
      <c r="N423" s="49"/>
      <c r="O423" s="49"/>
      <c r="P423" s="49"/>
      <c r="Q423" s="49"/>
      <c r="R423" s="49"/>
      <c r="S423" s="49"/>
      <c r="T423" s="49"/>
    </row>
    <row r="424">
      <c r="A424" s="49"/>
      <c r="B424" s="49"/>
      <c r="C424" s="94"/>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255</v>
      </c>
      <c r="M424" s="49"/>
      <c r="N424" s="49"/>
      <c r="O424" s="49"/>
      <c r="P424" s="49"/>
      <c r="Q424" s="49"/>
      <c r="R424" s="49"/>
      <c r="S424" s="49"/>
      <c r="T424" s="49"/>
    </row>
    <row r="425">
      <c r="A425" s="49"/>
      <c r="B425" s="49"/>
      <c r="C425" s="94"/>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255</v>
      </c>
      <c r="M425" s="49"/>
      <c r="N425" s="49"/>
      <c r="O425" s="49"/>
      <c r="P425" s="49"/>
      <c r="Q425" s="49"/>
      <c r="R425" s="49"/>
      <c r="S425" s="49"/>
      <c r="T425" s="49"/>
    </row>
    <row r="426">
      <c r="A426" s="49"/>
      <c r="B426" s="49"/>
      <c r="C426" s="94"/>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255</v>
      </c>
      <c r="M426" s="49"/>
      <c r="N426" s="49"/>
      <c r="O426" s="49"/>
      <c r="P426" s="49"/>
      <c r="Q426" s="49"/>
      <c r="R426" s="49"/>
      <c r="S426" s="49"/>
      <c r="T426" s="49"/>
    </row>
    <row r="427">
      <c r="A427" s="49"/>
      <c r="B427" s="49"/>
      <c r="C427" s="94"/>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255</v>
      </c>
      <c r="M427" s="49"/>
      <c r="N427" s="49"/>
      <c r="O427" s="49"/>
      <c r="P427" s="49"/>
      <c r="Q427" s="49"/>
      <c r="R427" s="49"/>
      <c r="S427" s="49"/>
      <c r="T427" s="49"/>
    </row>
    <row r="428">
      <c r="A428" s="49"/>
      <c r="B428" s="49"/>
      <c r="C428" s="94"/>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255</v>
      </c>
      <c r="M428" s="49"/>
      <c r="N428" s="49"/>
      <c r="O428" s="49"/>
      <c r="P428" s="49"/>
      <c r="Q428" s="49"/>
      <c r="R428" s="49"/>
      <c r="S428" s="49"/>
      <c r="T428" s="49"/>
    </row>
    <row r="429">
      <c r="A429" s="49"/>
      <c r="B429" s="49"/>
      <c r="C429" s="94"/>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255</v>
      </c>
      <c r="M429" s="49"/>
      <c r="N429" s="49"/>
      <c r="O429" s="49"/>
      <c r="P429" s="49"/>
      <c r="Q429" s="49"/>
      <c r="R429" s="49"/>
      <c r="S429" s="49"/>
      <c r="T429" s="49"/>
    </row>
    <row r="430">
      <c r="A430" s="49"/>
      <c r="B430" s="49"/>
      <c r="C430" s="94"/>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255</v>
      </c>
      <c r="M430" s="49"/>
      <c r="N430" s="49"/>
      <c r="O430" s="49"/>
      <c r="P430" s="49"/>
      <c r="Q430" s="49"/>
      <c r="R430" s="49"/>
      <c r="S430" s="49"/>
      <c r="T430" s="49"/>
    </row>
    <row r="431">
      <c r="A431" s="49"/>
      <c r="B431" s="49"/>
      <c r="C431" s="94"/>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255</v>
      </c>
      <c r="M431" s="49"/>
      <c r="N431" s="49"/>
      <c r="O431" s="49"/>
      <c r="P431" s="49"/>
      <c r="Q431" s="49"/>
      <c r="R431" s="49"/>
      <c r="S431" s="49"/>
      <c r="T431" s="49"/>
    </row>
    <row r="432">
      <c r="A432" s="49"/>
      <c r="B432" s="49"/>
      <c r="C432" s="94"/>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255</v>
      </c>
      <c r="M432" s="49"/>
      <c r="N432" s="49"/>
      <c r="O432" s="49"/>
      <c r="P432" s="49"/>
      <c r="Q432" s="49"/>
      <c r="R432" s="49"/>
      <c r="S432" s="49"/>
      <c r="T432" s="49"/>
    </row>
    <row r="433">
      <c r="A433" s="49"/>
      <c r="B433" s="49"/>
      <c r="C433" s="94"/>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255</v>
      </c>
      <c r="M433" s="49"/>
      <c r="N433" s="49"/>
      <c r="O433" s="49"/>
      <c r="P433" s="49"/>
      <c r="Q433" s="49"/>
      <c r="R433" s="49"/>
      <c r="S433" s="49"/>
      <c r="T433" s="49"/>
    </row>
    <row r="434">
      <c r="A434" s="49"/>
      <c r="B434" s="49"/>
      <c r="C434" s="94"/>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255</v>
      </c>
      <c r="M434" s="49"/>
      <c r="N434" s="49"/>
      <c r="O434" s="49"/>
      <c r="P434" s="49"/>
      <c r="Q434" s="49"/>
      <c r="R434" s="49"/>
      <c r="S434" s="49"/>
      <c r="T434" s="49"/>
    </row>
    <row r="435">
      <c r="A435" s="49"/>
      <c r="B435" s="49"/>
      <c r="C435" s="94"/>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255</v>
      </c>
      <c r="M435" s="49"/>
      <c r="N435" s="49"/>
      <c r="O435" s="49"/>
      <c r="P435" s="49"/>
      <c r="Q435" s="49"/>
      <c r="R435" s="49"/>
      <c r="S435" s="49"/>
      <c r="T435" s="49"/>
    </row>
    <row r="436">
      <c r="A436" s="49"/>
      <c r="B436" s="49"/>
      <c r="C436" s="94"/>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255</v>
      </c>
      <c r="M436" s="49"/>
      <c r="N436" s="49"/>
      <c r="O436" s="49"/>
      <c r="P436" s="49"/>
      <c r="Q436" s="49"/>
      <c r="R436" s="49"/>
      <c r="S436" s="49"/>
      <c r="T436" s="49"/>
    </row>
    <row r="437">
      <c r="A437" s="49"/>
      <c r="B437" s="49"/>
      <c r="C437" s="94"/>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255</v>
      </c>
      <c r="M437" s="49"/>
      <c r="N437" s="49"/>
      <c r="O437" s="49"/>
      <c r="P437" s="49"/>
      <c r="Q437" s="49"/>
      <c r="R437" s="49"/>
      <c r="S437" s="49"/>
      <c r="T437" s="49"/>
    </row>
    <row r="438">
      <c r="A438" s="49"/>
      <c r="B438" s="49"/>
      <c r="C438" s="94"/>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255</v>
      </c>
      <c r="M438" s="49"/>
      <c r="N438" s="49"/>
      <c r="O438" s="49"/>
      <c r="P438" s="49"/>
      <c r="Q438" s="49"/>
      <c r="R438" s="49"/>
      <c r="S438" s="49"/>
      <c r="T438" s="49"/>
    </row>
    <row r="439">
      <c r="A439" s="49"/>
      <c r="B439" s="49"/>
      <c r="C439" s="94"/>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255</v>
      </c>
      <c r="M439" s="49"/>
      <c r="N439" s="49"/>
      <c r="O439" s="49"/>
      <c r="P439" s="49"/>
      <c r="Q439" s="49"/>
      <c r="R439" s="49"/>
      <c r="S439" s="49"/>
      <c r="T439" s="49"/>
    </row>
    <row r="440">
      <c r="A440" s="49"/>
      <c r="B440" s="49"/>
      <c r="C440" s="94"/>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255</v>
      </c>
      <c r="M440" s="49"/>
      <c r="N440" s="49"/>
      <c r="O440" s="49"/>
      <c r="P440" s="49"/>
      <c r="Q440" s="49"/>
      <c r="R440" s="49"/>
      <c r="S440" s="49"/>
      <c r="T440" s="49"/>
    </row>
    <row r="441">
      <c r="A441" s="49"/>
      <c r="B441" s="49"/>
      <c r="C441" s="94"/>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255</v>
      </c>
      <c r="M441" s="49"/>
      <c r="N441" s="49"/>
      <c r="O441" s="49"/>
      <c r="P441" s="49"/>
      <c r="Q441" s="49"/>
      <c r="R441" s="49"/>
      <c r="S441" s="49"/>
      <c r="T441" s="49"/>
    </row>
    <row r="442">
      <c r="A442" s="49"/>
      <c r="B442" s="49"/>
      <c r="C442" s="94"/>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255</v>
      </c>
      <c r="M442" s="49"/>
      <c r="N442" s="49"/>
      <c r="O442" s="49"/>
      <c r="P442" s="49"/>
      <c r="Q442" s="49"/>
      <c r="R442" s="49"/>
      <c r="S442" s="49"/>
      <c r="T442" s="49"/>
    </row>
    <row r="443">
      <c r="A443" s="49"/>
      <c r="B443" s="49"/>
      <c r="C443" s="94"/>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255</v>
      </c>
      <c r="M443" s="49"/>
      <c r="N443" s="49"/>
      <c r="O443" s="49"/>
      <c r="P443" s="49"/>
      <c r="Q443" s="49"/>
      <c r="R443" s="49"/>
      <c r="S443" s="49"/>
      <c r="T443" s="49"/>
    </row>
    <row r="444">
      <c r="A444" s="49"/>
      <c r="B444" s="49"/>
      <c r="C444" s="94"/>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255</v>
      </c>
      <c r="M444" s="49"/>
      <c r="N444" s="49"/>
      <c r="O444" s="49"/>
      <c r="P444" s="49"/>
      <c r="Q444" s="49"/>
      <c r="R444" s="49"/>
      <c r="S444" s="49"/>
      <c r="T444" s="49"/>
    </row>
    <row r="445">
      <c r="A445" s="49"/>
      <c r="B445" s="49"/>
      <c r="C445" s="94"/>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255</v>
      </c>
      <c r="M445" s="49"/>
      <c r="N445" s="49"/>
      <c r="O445" s="49"/>
      <c r="P445" s="49"/>
      <c r="Q445" s="49"/>
      <c r="R445" s="49"/>
      <c r="S445" s="49"/>
      <c r="T445" s="49"/>
    </row>
    <row r="446">
      <c r="A446" s="49"/>
      <c r="B446" s="49"/>
      <c r="C446" s="94"/>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255</v>
      </c>
      <c r="M446" s="49"/>
      <c r="N446" s="49"/>
      <c r="O446" s="49"/>
      <c r="P446" s="49"/>
      <c r="Q446" s="49"/>
      <c r="R446" s="49"/>
      <c r="S446" s="49"/>
      <c r="T446" s="49"/>
    </row>
    <row r="447">
      <c r="A447" s="49"/>
      <c r="B447" s="49"/>
      <c r="C447" s="94"/>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255</v>
      </c>
      <c r="M447" s="49"/>
      <c r="N447" s="49"/>
      <c r="O447" s="49"/>
      <c r="P447" s="49"/>
      <c r="Q447" s="49"/>
      <c r="R447" s="49"/>
      <c r="S447" s="49"/>
      <c r="T447" s="49"/>
    </row>
    <row r="448">
      <c r="A448" s="49"/>
      <c r="B448" s="49"/>
      <c r="C448" s="94"/>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255</v>
      </c>
      <c r="M448" s="49"/>
      <c r="N448" s="49"/>
      <c r="O448" s="49"/>
      <c r="P448" s="49"/>
      <c r="Q448" s="49"/>
      <c r="R448" s="49"/>
      <c r="S448" s="49"/>
      <c r="T448" s="49"/>
    </row>
    <row r="449">
      <c r="A449" s="49"/>
      <c r="B449" s="49"/>
      <c r="C449" s="94"/>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255</v>
      </c>
      <c r="M449" s="49"/>
      <c r="N449" s="49"/>
      <c r="O449" s="49"/>
      <c r="P449" s="49"/>
      <c r="Q449" s="49"/>
      <c r="R449" s="49"/>
      <c r="S449" s="49"/>
      <c r="T449" s="49"/>
    </row>
    <row r="450">
      <c r="A450" s="49"/>
      <c r="B450" s="49"/>
      <c r="C450" s="94"/>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255</v>
      </c>
      <c r="M450" s="49"/>
      <c r="N450" s="49"/>
      <c r="O450" s="49"/>
      <c r="P450" s="49"/>
      <c r="Q450" s="49"/>
      <c r="R450" s="49"/>
      <c r="S450" s="49"/>
      <c r="T450" s="49"/>
    </row>
    <row r="451">
      <c r="A451" s="49"/>
      <c r="B451" s="49"/>
      <c r="C451" s="94"/>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255</v>
      </c>
      <c r="M451" s="49"/>
      <c r="N451" s="49"/>
      <c r="O451" s="49"/>
      <c r="P451" s="49"/>
      <c r="Q451" s="49"/>
      <c r="R451" s="49"/>
      <c r="S451" s="49"/>
      <c r="T451" s="49"/>
    </row>
    <row r="452">
      <c r="A452" s="49"/>
      <c r="B452" s="49"/>
      <c r="C452" s="94"/>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255</v>
      </c>
      <c r="M452" s="49"/>
      <c r="N452" s="49"/>
      <c r="O452" s="49"/>
      <c r="P452" s="49"/>
      <c r="Q452" s="49"/>
      <c r="R452" s="49"/>
      <c r="S452" s="49"/>
      <c r="T452" s="49"/>
    </row>
    <row r="453">
      <c r="A453" s="49"/>
      <c r="B453" s="49"/>
      <c r="C453" s="94"/>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255</v>
      </c>
      <c r="M453" s="49"/>
      <c r="N453" s="49"/>
      <c r="O453" s="49"/>
      <c r="P453" s="49"/>
      <c r="Q453" s="49"/>
      <c r="R453" s="49"/>
      <c r="S453" s="49"/>
      <c r="T453" s="49"/>
    </row>
    <row r="454">
      <c r="A454" s="49"/>
      <c r="B454" s="49"/>
      <c r="C454" s="94"/>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255</v>
      </c>
      <c r="M454" s="49"/>
      <c r="N454" s="49"/>
      <c r="O454" s="49"/>
      <c r="P454" s="49"/>
      <c r="Q454" s="49"/>
      <c r="R454" s="49"/>
      <c r="S454" s="49"/>
      <c r="T454" s="49"/>
    </row>
    <row r="455">
      <c r="A455" s="49"/>
      <c r="B455" s="49"/>
      <c r="C455" s="94"/>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255</v>
      </c>
      <c r="M455" s="49"/>
      <c r="N455" s="49"/>
      <c r="O455" s="49"/>
      <c r="P455" s="49"/>
      <c r="Q455" s="49"/>
      <c r="R455" s="49"/>
      <c r="S455" s="49"/>
      <c r="T455" s="49"/>
    </row>
    <row r="456">
      <c r="A456" s="49"/>
      <c r="B456" s="49"/>
      <c r="C456" s="94"/>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255</v>
      </c>
      <c r="M456" s="49"/>
      <c r="N456" s="49"/>
      <c r="O456" s="49"/>
      <c r="P456" s="49"/>
      <c r="Q456" s="49"/>
      <c r="R456" s="49"/>
      <c r="S456" s="49"/>
      <c r="T456" s="49"/>
    </row>
    <row r="457">
      <c r="A457" s="49"/>
      <c r="B457" s="49"/>
      <c r="C457" s="94"/>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255</v>
      </c>
      <c r="M457" s="49"/>
      <c r="N457" s="49"/>
      <c r="O457" s="49"/>
      <c r="P457" s="49"/>
      <c r="Q457" s="49"/>
      <c r="R457" s="49"/>
      <c r="S457" s="49"/>
      <c r="T457" s="49"/>
    </row>
    <row r="458">
      <c r="A458" s="49"/>
      <c r="B458" s="49"/>
      <c r="C458" s="94"/>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255</v>
      </c>
      <c r="M458" s="49"/>
      <c r="N458" s="49"/>
      <c r="O458" s="49"/>
      <c r="P458" s="49"/>
      <c r="Q458" s="49"/>
      <c r="R458" s="49"/>
      <c r="S458" s="49"/>
      <c r="T458" s="49"/>
    </row>
    <row r="459">
      <c r="A459" s="49"/>
      <c r="B459" s="49"/>
      <c r="C459" s="94"/>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255</v>
      </c>
      <c r="M459" s="49"/>
      <c r="N459" s="49"/>
      <c r="O459" s="49"/>
      <c r="P459" s="49"/>
      <c r="Q459" s="49"/>
      <c r="R459" s="49"/>
      <c r="S459" s="49"/>
      <c r="T459" s="49"/>
    </row>
    <row r="460">
      <c r="A460" s="49"/>
      <c r="B460" s="49"/>
      <c r="C460" s="94"/>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255</v>
      </c>
      <c r="M460" s="49"/>
      <c r="N460" s="49"/>
      <c r="O460" s="49"/>
      <c r="P460" s="49"/>
      <c r="Q460" s="49"/>
      <c r="R460" s="49"/>
      <c r="S460" s="49"/>
      <c r="T460" s="49"/>
    </row>
    <row r="461">
      <c r="A461" s="49"/>
      <c r="B461" s="49"/>
      <c r="C461" s="94"/>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255</v>
      </c>
      <c r="M461" s="49"/>
      <c r="N461" s="49"/>
      <c r="O461" s="49"/>
      <c r="P461" s="49"/>
      <c r="Q461" s="49"/>
      <c r="R461" s="49"/>
      <c r="S461" s="49"/>
      <c r="T461" s="49"/>
    </row>
    <row r="462">
      <c r="A462" s="49"/>
      <c r="B462" s="49"/>
      <c r="C462" s="94"/>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255</v>
      </c>
      <c r="M462" s="49"/>
      <c r="N462" s="49"/>
      <c r="O462" s="49"/>
      <c r="P462" s="49"/>
      <c r="Q462" s="49"/>
      <c r="R462" s="49"/>
      <c r="S462" s="49"/>
      <c r="T462" s="49"/>
    </row>
    <row r="463">
      <c r="A463" s="49"/>
      <c r="B463" s="49"/>
      <c r="C463" s="94"/>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255</v>
      </c>
      <c r="M463" s="49"/>
      <c r="N463" s="49"/>
      <c r="O463" s="49"/>
      <c r="P463" s="49"/>
      <c r="Q463" s="49"/>
      <c r="R463" s="49"/>
      <c r="S463" s="49"/>
      <c r="T463" s="49"/>
    </row>
    <row r="464">
      <c r="A464" s="49"/>
      <c r="B464" s="49"/>
      <c r="C464" s="94"/>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255</v>
      </c>
      <c r="M464" s="49"/>
      <c r="N464" s="49"/>
      <c r="O464" s="49"/>
      <c r="P464" s="49"/>
      <c r="Q464" s="49"/>
      <c r="R464" s="49"/>
      <c r="S464" s="49"/>
      <c r="T464" s="49"/>
    </row>
    <row r="465">
      <c r="A465" s="49"/>
      <c r="B465" s="49"/>
      <c r="C465" s="94"/>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255</v>
      </c>
      <c r="M465" s="49"/>
      <c r="N465" s="49"/>
      <c r="O465" s="49"/>
      <c r="P465" s="49"/>
      <c r="Q465" s="49"/>
      <c r="R465" s="49"/>
      <c r="S465" s="49"/>
      <c r="T465" s="49"/>
    </row>
    <row r="466">
      <c r="A466" s="49"/>
      <c r="B466" s="49"/>
      <c r="C466" s="94"/>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255</v>
      </c>
      <c r="M466" s="49"/>
      <c r="N466" s="49"/>
      <c r="O466" s="49"/>
      <c r="P466" s="49"/>
      <c r="Q466" s="49"/>
      <c r="R466" s="49"/>
      <c r="S466" s="49"/>
      <c r="T466" s="49"/>
    </row>
    <row r="467">
      <c r="A467" s="49"/>
      <c r="B467" s="49"/>
      <c r="C467" s="94"/>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255</v>
      </c>
      <c r="M467" s="49"/>
      <c r="N467" s="49"/>
      <c r="O467" s="49"/>
      <c r="P467" s="49"/>
      <c r="Q467" s="49"/>
      <c r="R467" s="49"/>
      <c r="S467" s="49"/>
      <c r="T467" s="49"/>
    </row>
    <row r="468">
      <c r="A468" s="49"/>
      <c r="B468" s="49"/>
      <c r="C468" s="94"/>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255</v>
      </c>
      <c r="M468" s="49"/>
      <c r="N468" s="49"/>
      <c r="O468" s="49"/>
      <c r="P468" s="49"/>
      <c r="Q468" s="49"/>
      <c r="R468" s="49"/>
      <c r="S468" s="49"/>
      <c r="T468" s="49"/>
    </row>
    <row r="469">
      <c r="A469" s="49"/>
      <c r="B469" s="49"/>
      <c r="C469" s="94"/>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255</v>
      </c>
      <c r="M469" s="49"/>
      <c r="N469" s="49"/>
      <c r="O469" s="49"/>
      <c r="P469" s="49"/>
      <c r="Q469" s="49"/>
      <c r="R469" s="49"/>
      <c r="S469" s="49"/>
      <c r="T469" s="49"/>
    </row>
    <row r="470">
      <c r="A470" s="49"/>
      <c r="B470" s="49"/>
      <c r="C470" s="94"/>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255</v>
      </c>
      <c r="M470" s="49"/>
      <c r="N470" s="49"/>
      <c r="O470" s="49"/>
      <c r="P470" s="49"/>
      <c r="Q470" s="49"/>
      <c r="R470" s="49"/>
      <c r="S470" s="49"/>
      <c r="T470" s="49"/>
    </row>
    <row r="471">
      <c r="A471" s="49"/>
      <c r="B471" s="49"/>
      <c r="C471" s="94"/>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255</v>
      </c>
      <c r="M471" s="49"/>
      <c r="N471" s="49"/>
      <c r="O471" s="49"/>
      <c r="P471" s="49"/>
      <c r="Q471" s="49"/>
      <c r="R471" s="49"/>
      <c r="S471" s="49"/>
      <c r="T471" s="49"/>
    </row>
    <row r="472">
      <c r="A472" s="49"/>
      <c r="B472" s="49"/>
      <c r="C472" s="94"/>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255</v>
      </c>
      <c r="M472" s="49"/>
      <c r="N472" s="49"/>
      <c r="O472" s="49"/>
      <c r="P472" s="49"/>
      <c r="Q472" s="49"/>
      <c r="R472" s="49"/>
      <c r="S472" s="49"/>
      <c r="T472" s="49"/>
    </row>
    <row r="473">
      <c r="A473" s="49"/>
      <c r="B473" s="49"/>
      <c r="C473" s="94"/>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255</v>
      </c>
      <c r="M473" s="49"/>
      <c r="N473" s="49"/>
      <c r="O473" s="49"/>
      <c r="P473" s="49"/>
      <c r="Q473" s="49"/>
      <c r="R473" s="49"/>
      <c r="S473" s="49"/>
      <c r="T473" s="49"/>
    </row>
    <row r="474">
      <c r="A474" s="49"/>
      <c r="B474" s="49"/>
      <c r="C474" s="94"/>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255</v>
      </c>
      <c r="M474" s="49"/>
      <c r="N474" s="49"/>
      <c r="O474" s="49"/>
      <c r="P474" s="49"/>
      <c r="Q474" s="49"/>
      <c r="R474" s="49"/>
      <c r="S474" s="49"/>
      <c r="T474" s="49"/>
    </row>
    <row r="475">
      <c r="A475" s="49"/>
      <c r="B475" s="49"/>
      <c r="C475" s="94"/>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255</v>
      </c>
      <c r="M475" s="49"/>
      <c r="N475" s="49"/>
      <c r="O475" s="49"/>
      <c r="P475" s="49"/>
      <c r="Q475" s="49"/>
      <c r="R475" s="49"/>
      <c r="S475" s="49"/>
      <c r="T475" s="49"/>
    </row>
    <row r="476">
      <c r="A476" s="49"/>
      <c r="B476" s="49"/>
      <c r="C476" s="94"/>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255</v>
      </c>
      <c r="M476" s="49"/>
      <c r="N476" s="49"/>
      <c r="O476" s="49"/>
      <c r="P476" s="49"/>
      <c r="Q476" s="49"/>
      <c r="R476" s="49"/>
      <c r="S476" s="49"/>
      <c r="T476" s="49"/>
    </row>
    <row r="477">
      <c r="A477" s="49"/>
      <c r="B477" s="49"/>
      <c r="C477" s="94"/>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255</v>
      </c>
      <c r="M477" s="49"/>
      <c r="N477" s="49"/>
      <c r="O477" s="49"/>
      <c r="P477" s="49"/>
      <c r="Q477" s="49"/>
      <c r="R477" s="49"/>
      <c r="S477" s="49"/>
      <c r="T477" s="49"/>
    </row>
    <row r="478">
      <c r="A478" s="49"/>
      <c r="B478" s="49"/>
      <c r="C478" s="94"/>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255</v>
      </c>
      <c r="M478" s="49"/>
      <c r="N478" s="49"/>
      <c r="O478" s="49"/>
      <c r="P478" s="49"/>
      <c r="Q478" s="49"/>
      <c r="R478" s="49"/>
      <c r="S478" s="49"/>
      <c r="T478" s="49"/>
    </row>
    <row r="479">
      <c r="A479" s="49"/>
      <c r="B479" s="49"/>
      <c r="C479" s="94"/>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255</v>
      </c>
      <c r="M479" s="49"/>
      <c r="N479" s="49"/>
      <c r="O479" s="49"/>
      <c r="P479" s="49"/>
      <c r="Q479" s="49"/>
      <c r="R479" s="49"/>
      <c r="S479" s="49"/>
      <c r="T479" s="49"/>
    </row>
    <row r="480">
      <c r="A480" s="49"/>
      <c r="B480" s="49"/>
      <c r="C480" s="94"/>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255</v>
      </c>
      <c r="M480" s="49"/>
      <c r="N480" s="49"/>
      <c r="O480" s="49"/>
      <c r="P480" s="49"/>
      <c r="Q480" s="49"/>
      <c r="R480" s="49"/>
      <c r="S480" s="49"/>
      <c r="T480" s="49"/>
    </row>
    <row r="481">
      <c r="A481" s="49"/>
      <c r="B481" s="49"/>
      <c r="C481" s="94"/>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255</v>
      </c>
      <c r="M481" s="49"/>
      <c r="N481" s="49"/>
      <c r="O481" s="49"/>
      <c r="P481" s="49"/>
      <c r="Q481" s="49"/>
      <c r="R481" s="49"/>
      <c r="S481" s="49"/>
      <c r="T481" s="49"/>
    </row>
    <row r="482">
      <c r="A482" s="49"/>
      <c r="B482" s="49"/>
      <c r="C482" s="94"/>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255</v>
      </c>
      <c r="M482" s="49"/>
      <c r="N482" s="49"/>
      <c r="O482" s="49"/>
      <c r="P482" s="49"/>
      <c r="Q482" s="49"/>
      <c r="R482" s="49"/>
      <c r="S482" s="49"/>
      <c r="T482" s="49"/>
    </row>
    <row r="483">
      <c r="A483" s="49"/>
      <c r="B483" s="49"/>
      <c r="C483" s="94"/>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255</v>
      </c>
      <c r="M483" s="49"/>
      <c r="N483" s="49"/>
      <c r="O483" s="49"/>
      <c r="P483" s="49"/>
      <c r="Q483" s="49"/>
      <c r="R483" s="49"/>
      <c r="S483" s="49"/>
      <c r="T483" s="49"/>
    </row>
    <row r="484">
      <c r="A484" s="49"/>
      <c r="B484" s="49"/>
      <c r="C484" s="94"/>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255</v>
      </c>
      <c r="M484" s="49"/>
      <c r="N484" s="49"/>
      <c r="O484" s="49"/>
      <c r="P484" s="49"/>
      <c r="Q484" s="49"/>
      <c r="R484" s="49"/>
      <c r="S484" s="49"/>
      <c r="T484" s="49"/>
    </row>
    <row r="485">
      <c r="A485" s="49"/>
      <c r="B485" s="49"/>
      <c r="C485" s="94"/>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255</v>
      </c>
      <c r="M485" s="49"/>
      <c r="N485" s="49"/>
      <c r="O485" s="49"/>
      <c r="P485" s="49"/>
      <c r="Q485" s="49"/>
      <c r="R485" s="49"/>
      <c r="S485" s="49"/>
      <c r="T485" s="49"/>
    </row>
    <row r="486">
      <c r="A486" s="49"/>
      <c r="B486" s="49"/>
      <c r="C486" s="94"/>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255</v>
      </c>
      <c r="M486" s="49"/>
      <c r="N486" s="49"/>
      <c r="O486" s="49"/>
      <c r="P486" s="49"/>
      <c r="Q486" s="49"/>
      <c r="R486" s="49"/>
      <c r="S486" s="49"/>
      <c r="T486" s="49"/>
    </row>
    <row r="487">
      <c r="A487" s="49"/>
      <c r="B487" s="49"/>
      <c r="C487" s="94"/>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255</v>
      </c>
      <c r="M487" s="49"/>
      <c r="N487" s="49"/>
      <c r="O487" s="49"/>
      <c r="P487" s="49"/>
      <c r="Q487" s="49"/>
      <c r="R487" s="49"/>
      <c r="S487" s="49"/>
      <c r="T487" s="49"/>
    </row>
    <row r="488">
      <c r="A488" s="49"/>
      <c r="B488" s="49"/>
      <c r="C488" s="94"/>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255</v>
      </c>
      <c r="M488" s="49"/>
      <c r="N488" s="49"/>
      <c r="O488" s="49"/>
      <c r="P488" s="49"/>
      <c r="Q488" s="49"/>
      <c r="R488" s="49"/>
      <c r="S488" s="49"/>
      <c r="T488" s="49"/>
    </row>
    <row r="489">
      <c r="A489" s="49"/>
      <c r="B489" s="49"/>
      <c r="C489" s="94"/>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255</v>
      </c>
      <c r="M489" s="49"/>
      <c r="N489" s="49"/>
      <c r="O489" s="49"/>
      <c r="P489" s="49"/>
      <c r="Q489" s="49"/>
      <c r="R489" s="49"/>
      <c r="S489" s="49"/>
      <c r="T489" s="49"/>
    </row>
    <row r="490">
      <c r="A490" s="49"/>
      <c r="B490" s="49"/>
      <c r="C490" s="94"/>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255</v>
      </c>
      <c r="M490" s="49"/>
      <c r="N490" s="49"/>
      <c r="O490" s="49"/>
      <c r="P490" s="49"/>
      <c r="Q490" s="49"/>
      <c r="R490" s="49"/>
      <c r="S490" s="49"/>
      <c r="T490" s="49"/>
    </row>
    <row r="491">
      <c r="A491" s="49"/>
      <c r="B491" s="49"/>
      <c r="C491" s="94"/>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255</v>
      </c>
      <c r="M491" s="49"/>
      <c r="N491" s="49"/>
      <c r="O491" s="49"/>
      <c r="P491" s="49"/>
      <c r="Q491" s="49"/>
      <c r="R491" s="49"/>
      <c r="S491" s="49"/>
      <c r="T491" s="49"/>
    </row>
    <row r="492">
      <c r="A492" s="49"/>
      <c r="B492" s="49"/>
      <c r="C492" s="94"/>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255</v>
      </c>
      <c r="M492" s="49"/>
      <c r="N492" s="49"/>
      <c r="O492" s="49"/>
      <c r="P492" s="49"/>
      <c r="Q492" s="49"/>
      <c r="R492" s="49"/>
      <c r="S492" s="49"/>
      <c r="T492" s="49"/>
    </row>
    <row r="493">
      <c r="A493" s="49"/>
      <c r="B493" s="49"/>
      <c r="C493" s="94"/>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255</v>
      </c>
      <c r="M493" s="49"/>
      <c r="N493" s="49"/>
      <c r="O493" s="49"/>
      <c r="P493" s="49"/>
      <c r="Q493" s="49"/>
      <c r="R493" s="49"/>
      <c r="S493" s="49"/>
      <c r="T493" s="49"/>
    </row>
    <row r="494">
      <c r="A494" s="49"/>
      <c r="B494" s="49"/>
      <c r="C494" s="94"/>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255</v>
      </c>
      <c r="M494" s="49"/>
      <c r="N494" s="49"/>
      <c r="O494" s="49"/>
      <c r="P494" s="49"/>
      <c r="Q494" s="49"/>
      <c r="R494" s="49"/>
      <c r="S494" s="49"/>
      <c r="T494" s="49"/>
    </row>
    <row r="495">
      <c r="A495" s="49"/>
      <c r="B495" s="49"/>
      <c r="C495" s="94"/>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255</v>
      </c>
      <c r="M495" s="49"/>
      <c r="N495" s="49"/>
      <c r="O495" s="49"/>
      <c r="P495" s="49"/>
      <c r="Q495" s="49"/>
      <c r="R495" s="49"/>
      <c r="S495" s="49"/>
      <c r="T495" s="49"/>
    </row>
    <row r="496">
      <c r="A496" s="49"/>
      <c r="B496" s="49"/>
      <c r="C496" s="94"/>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255</v>
      </c>
      <c r="M496" s="49"/>
      <c r="N496" s="49"/>
      <c r="O496" s="49"/>
      <c r="P496" s="49"/>
      <c r="Q496" s="49"/>
      <c r="R496" s="49"/>
      <c r="S496" s="49"/>
      <c r="T496" s="49"/>
    </row>
    <row r="497">
      <c r="A497" s="49"/>
      <c r="B497" s="49"/>
      <c r="C497" s="94"/>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255</v>
      </c>
      <c r="M497" s="49"/>
      <c r="N497" s="49"/>
      <c r="O497" s="49"/>
      <c r="P497" s="49"/>
      <c r="Q497" s="49"/>
      <c r="R497" s="49"/>
      <c r="S497" s="49"/>
      <c r="T497" s="49"/>
    </row>
    <row r="498">
      <c r="A498" s="49"/>
      <c r="B498" s="49"/>
      <c r="C498" s="94"/>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255</v>
      </c>
      <c r="M498" s="49"/>
      <c r="N498" s="49"/>
      <c r="O498" s="49"/>
      <c r="P498" s="49"/>
      <c r="Q498" s="49"/>
      <c r="R498" s="49"/>
      <c r="S498" s="49"/>
      <c r="T498" s="49"/>
    </row>
    <row r="499">
      <c r="A499" s="49"/>
      <c r="B499" s="49"/>
      <c r="C499" s="94"/>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255</v>
      </c>
      <c r="M499" s="49"/>
      <c r="N499" s="49"/>
      <c r="O499" s="49"/>
      <c r="P499" s="49"/>
      <c r="Q499" s="49"/>
      <c r="R499" s="49"/>
      <c r="S499" s="49"/>
      <c r="T499" s="49"/>
    </row>
    <row r="500">
      <c r="A500" s="49"/>
      <c r="B500" s="49"/>
      <c r="C500" s="94"/>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255</v>
      </c>
      <c r="M500" s="49"/>
      <c r="N500" s="49"/>
      <c r="O500" s="49"/>
      <c r="P500" s="49"/>
      <c r="Q500" s="49"/>
      <c r="R500" s="49"/>
      <c r="S500" s="49"/>
      <c r="T500" s="49"/>
    </row>
    <row r="501">
      <c r="A501" s="49"/>
      <c r="B501" s="49"/>
      <c r="C501" s="94"/>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255</v>
      </c>
      <c r="M501" s="49"/>
      <c r="N501" s="49"/>
      <c r="O501" s="49"/>
      <c r="P501" s="49"/>
      <c r="Q501" s="49"/>
      <c r="R501" s="49"/>
      <c r="S501" s="49"/>
      <c r="T501" s="49"/>
    </row>
    <row r="502">
      <c r="A502" s="49"/>
      <c r="B502" s="49"/>
      <c r="C502" s="94"/>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255</v>
      </c>
      <c r="M502" s="49"/>
      <c r="N502" s="49"/>
      <c r="O502" s="49"/>
      <c r="P502" s="49"/>
      <c r="Q502" s="49"/>
      <c r="R502" s="49"/>
      <c r="S502" s="49"/>
      <c r="T502" s="49"/>
    </row>
    <row r="503">
      <c r="A503" s="49"/>
      <c r="B503" s="49"/>
      <c r="C503" s="94"/>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255</v>
      </c>
      <c r="M503" s="49"/>
      <c r="N503" s="49"/>
      <c r="O503" s="49"/>
      <c r="P503" s="49"/>
      <c r="Q503" s="49"/>
      <c r="R503" s="49"/>
      <c r="S503" s="49"/>
      <c r="T503" s="49"/>
    </row>
    <row r="504">
      <c r="A504" s="49"/>
      <c r="B504" s="49"/>
      <c r="C504" s="94"/>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255</v>
      </c>
      <c r="M504" s="49"/>
      <c r="N504" s="49"/>
      <c r="O504" s="49"/>
      <c r="P504" s="49"/>
      <c r="Q504" s="49"/>
      <c r="R504" s="49"/>
      <c r="S504" s="49"/>
      <c r="T504" s="49"/>
    </row>
    <row r="505">
      <c r="A505" s="49"/>
      <c r="B505" s="49"/>
      <c r="C505" s="94"/>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255</v>
      </c>
      <c r="M505" s="49"/>
      <c r="N505" s="49"/>
      <c r="O505" s="49"/>
      <c r="P505" s="49"/>
      <c r="Q505" s="49"/>
      <c r="R505" s="49"/>
      <c r="S505" s="49"/>
      <c r="T505" s="49"/>
    </row>
    <row r="506">
      <c r="A506" s="49"/>
      <c r="B506" s="49"/>
      <c r="C506" s="94"/>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255</v>
      </c>
      <c r="M506" s="49"/>
      <c r="N506" s="49"/>
      <c r="O506" s="49"/>
      <c r="P506" s="49"/>
      <c r="Q506" s="49"/>
      <c r="R506" s="49"/>
      <c r="S506" s="49"/>
      <c r="T506" s="49"/>
    </row>
    <row r="507">
      <c r="A507" s="49"/>
      <c r="B507" s="49"/>
      <c r="C507" s="94"/>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255</v>
      </c>
      <c r="M507" s="49"/>
      <c r="N507" s="49"/>
      <c r="O507" s="49"/>
      <c r="P507" s="49"/>
      <c r="Q507" s="49"/>
      <c r="R507" s="49"/>
      <c r="S507" s="49"/>
      <c r="T507" s="49"/>
    </row>
    <row r="508">
      <c r="A508" s="49"/>
      <c r="B508" s="49"/>
      <c r="C508" s="94"/>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255</v>
      </c>
      <c r="M508" s="49"/>
      <c r="N508" s="49"/>
      <c r="O508" s="49"/>
      <c r="P508" s="49"/>
      <c r="Q508" s="49"/>
      <c r="R508" s="49"/>
      <c r="S508" s="49"/>
      <c r="T508" s="49"/>
    </row>
    <row r="509">
      <c r="A509" s="49"/>
      <c r="B509" s="49"/>
      <c r="C509" s="94"/>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255</v>
      </c>
      <c r="M509" s="49"/>
      <c r="N509" s="49"/>
      <c r="O509" s="49"/>
      <c r="P509" s="49"/>
      <c r="Q509" s="49"/>
      <c r="R509" s="49"/>
      <c r="S509" s="49"/>
      <c r="T509" s="49"/>
    </row>
    <row r="510">
      <c r="A510" s="49"/>
      <c r="B510" s="49"/>
      <c r="C510" s="94"/>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255</v>
      </c>
      <c r="M510" s="49"/>
      <c r="N510" s="49"/>
      <c r="O510" s="49"/>
      <c r="P510" s="49"/>
      <c r="Q510" s="49"/>
      <c r="R510" s="49"/>
      <c r="S510" s="49"/>
      <c r="T510" s="49"/>
    </row>
    <row r="511">
      <c r="A511" s="49"/>
      <c r="B511" s="49"/>
      <c r="C511" s="94"/>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255</v>
      </c>
      <c r="M511" s="49"/>
      <c r="N511" s="49"/>
      <c r="O511" s="49"/>
      <c r="P511" s="49"/>
      <c r="Q511" s="49"/>
      <c r="R511" s="49"/>
      <c r="S511" s="49"/>
      <c r="T511" s="49"/>
    </row>
    <row r="512">
      <c r="A512" s="49"/>
      <c r="B512" s="49"/>
      <c r="C512" s="94"/>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255</v>
      </c>
      <c r="M512" s="49"/>
      <c r="N512" s="49"/>
      <c r="O512" s="49"/>
      <c r="P512" s="49"/>
      <c r="Q512" s="49"/>
      <c r="R512" s="49"/>
      <c r="S512" s="49"/>
      <c r="T512" s="49"/>
    </row>
    <row r="513">
      <c r="A513" s="49"/>
      <c r="B513" s="49"/>
      <c r="C513" s="94"/>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255</v>
      </c>
      <c r="M513" s="49"/>
      <c r="N513" s="49"/>
      <c r="O513" s="49"/>
      <c r="P513" s="49"/>
      <c r="Q513" s="49"/>
      <c r="R513" s="49"/>
      <c r="S513" s="49"/>
      <c r="T513" s="49"/>
    </row>
    <row r="514">
      <c r="A514" s="49"/>
      <c r="B514" s="49"/>
      <c r="C514" s="94"/>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255</v>
      </c>
      <c r="M514" s="49"/>
      <c r="N514" s="49"/>
      <c r="O514" s="49"/>
      <c r="P514" s="49"/>
      <c r="Q514" s="49"/>
      <c r="R514" s="49"/>
      <c r="S514" s="49"/>
      <c r="T514" s="49"/>
    </row>
    <row r="515">
      <c r="A515" s="49"/>
      <c r="B515" s="49"/>
      <c r="C515" s="94"/>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255</v>
      </c>
      <c r="M515" s="49"/>
      <c r="N515" s="49"/>
      <c r="O515" s="49"/>
      <c r="P515" s="49"/>
      <c r="Q515" s="49"/>
      <c r="R515" s="49"/>
      <c r="S515" s="49"/>
      <c r="T515" s="49"/>
    </row>
    <row r="516">
      <c r="A516" s="49"/>
      <c r="B516" s="49"/>
      <c r="C516" s="94"/>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255</v>
      </c>
      <c r="M516" s="49"/>
      <c r="N516" s="49"/>
      <c r="O516" s="49"/>
      <c r="P516" s="49"/>
      <c r="Q516" s="49"/>
      <c r="R516" s="49"/>
      <c r="S516" s="49"/>
      <c r="T516" s="49"/>
    </row>
    <row r="517">
      <c r="A517" s="49"/>
      <c r="B517" s="49"/>
      <c r="C517" s="94"/>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255</v>
      </c>
      <c r="M517" s="49"/>
      <c r="N517" s="49"/>
      <c r="O517" s="49"/>
      <c r="P517" s="49"/>
      <c r="Q517" s="49"/>
      <c r="R517" s="49"/>
      <c r="S517" s="49"/>
      <c r="T517" s="49"/>
    </row>
    <row r="518">
      <c r="A518" s="49"/>
      <c r="B518" s="49"/>
      <c r="C518" s="94"/>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255</v>
      </c>
      <c r="M518" s="49"/>
      <c r="N518" s="49"/>
      <c r="O518" s="49"/>
      <c r="P518" s="49"/>
      <c r="Q518" s="49"/>
      <c r="R518" s="49"/>
      <c r="S518" s="49"/>
      <c r="T518" s="49"/>
    </row>
    <row r="519">
      <c r="A519" s="49"/>
      <c r="B519" s="49"/>
      <c r="C519" s="94"/>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255</v>
      </c>
      <c r="M519" s="49"/>
      <c r="N519" s="49"/>
      <c r="O519" s="49"/>
      <c r="P519" s="49"/>
      <c r="Q519" s="49"/>
      <c r="R519" s="49"/>
      <c r="S519" s="49"/>
      <c r="T519" s="49"/>
    </row>
    <row r="520">
      <c r="A520" s="49"/>
      <c r="B520" s="49"/>
      <c r="C520" s="94"/>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255</v>
      </c>
      <c r="M520" s="49"/>
      <c r="N520" s="49"/>
      <c r="O520" s="49"/>
      <c r="P520" s="49"/>
      <c r="Q520" s="49"/>
      <c r="R520" s="49"/>
      <c r="S520" s="49"/>
      <c r="T520" s="49"/>
    </row>
    <row r="521">
      <c r="A521" s="49"/>
      <c r="B521" s="49"/>
      <c r="C521" s="94"/>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255</v>
      </c>
      <c r="M521" s="49"/>
      <c r="N521" s="49"/>
      <c r="O521" s="49"/>
      <c r="P521" s="49"/>
      <c r="Q521" s="49"/>
      <c r="R521" s="49"/>
      <c r="S521" s="49"/>
      <c r="T521" s="49"/>
    </row>
    <row r="522">
      <c r="A522" s="49"/>
      <c r="B522" s="49"/>
      <c r="C522" s="94"/>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255</v>
      </c>
      <c r="M522" s="49"/>
      <c r="N522" s="49"/>
      <c r="O522" s="49"/>
      <c r="P522" s="49"/>
      <c r="Q522" s="49"/>
      <c r="R522" s="49"/>
      <c r="S522" s="49"/>
      <c r="T522" s="49"/>
    </row>
    <row r="523">
      <c r="A523" s="49"/>
      <c r="B523" s="49"/>
      <c r="C523" s="94"/>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255</v>
      </c>
      <c r="M523" s="49"/>
      <c r="N523" s="49"/>
      <c r="O523" s="49"/>
      <c r="P523" s="49"/>
      <c r="Q523" s="49"/>
      <c r="R523" s="49"/>
      <c r="S523" s="49"/>
      <c r="T523" s="49"/>
    </row>
    <row r="524">
      <c r="A524" s="49"/>
      <c r="B524" s="49"/>
      <c r="C524" s="94"/>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255</v>
      </c>
      <c r="M524" s="49"/>
      <c r="N524" s="49"/>
      <c r="O524" s="49"/>
      <c r="P524" s="49"/>
      <c r="Q524" s="49"/>
      <c r="R524" s="49"/>
      <c r="S524" s="49"/>
      <c r="T524" s="49"/>
    </row>
    <row r="525">
      <c r="A525" s="49"/>
      <c r="B525" s="49"/>
      <c r="C525" s="94"/>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255</v>
      </c>
      <c r="M525" s="49"/>
      <c r="N525" s="49"/>
      <c r="O525" s="49"/>
      <c r="P525" s="49"/>
      <c r="Q525" s="49"/>
      <c r="R525" s="49"/>
      <c r="S525" s="49"/>
      <c r="T525" s="49"/>
    </row>
    <row r="526">
      <c r="A526" s="49"/>
      <c r="B526" s="49"/>
      <c r="C526" s="94"/>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255</v>
      </c>
      <c r="M526" s="49"/>
      <c r="N526" s="49"/>
      <c r="O526" s="49"/>
      <c r="P526" s="49"/>
      <c r="Q526" s="49"/>
      <c r="R526" s="49"/>
      <c r="S526" s="49"/>
      <c r="T526" s="49"/>
    </row>
    <row r="527">
      <c r="A527" s="49"/>
      <c r="B527" s="49"/>
      <c r="C527" s="94"/>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255</v>
      </c>
      <c r="M527" s="49"/>
      <c r="N527" s="49"/>
      <c r="O527" s="49"/>
      <c r="P527" s="49"/>
      <c r="Q527" s="49"/>
      <c r="R527" s="49"/>
      <c r="S527" s="49"/>
      <c r="T527" s="49"/>
    </row>
    <row r="528">
      <c r="A528" s="49"/>
      <c r="B528" s="49"/>
      <c r="C528" s="94"/>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255</v>
      </c>
      <c r="M528" s="49"/>
      <c r="N528" s="49"/>
      <c r="O528" s="49"/>
      <c r="P528" s="49"/>
      <c r="Q528" s="49"/>
      <c r="R528" s="49"/>
      <c r="S528" s="49"/>
      <c r="T528" s="49"/>
    </row>
    <row r="529">
      <c r="A529" s="49"/>
      <c r="B529" s="49"/>
      <c r="C529" s="94"/>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255</v>
      </c>
      <c r="M529" s="49"/>
      <c r="N529" s="49"/>
      <c r="O529" s="49"/>
      <c r="P529" s="49"/>
      <c r="Q529" s="49"/>
      <c r="R529" s="49"/>
      <c r="S529" s="49"/>
      <c r="T529" s="49"/>
    </row>
    <row r="530">
      <c r="A530" s="49"/>
      <c r="B530" s="49"/>
      <c r="C530" s="94"/>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255</v>
      </c>
      <c r="M530" s="49"/>
      <c r="N530" s="49"/>
      <c r="O530" s="49"/>
      <c r="P530" s="49"/>
      <c r="Q530" s="49"/>
      <c r="R530" s="49"/>
      <c r="S530" s="49"/>
      <c r="T530" s="49"/>
    </row>
    <row r="531">
      <c r="A531" s="49"/>
      <c r="B531" s="49"/>
      <c r="C531" s="94"/>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255</v>
      </c>
      <c r="M531" s="49"/>
      <c r="N531" s="49"/>
      <c r="O531" s="49"/>
      <c r="P531" s="49"/>
      <c r="Q531" s="49"/>
      <c r="R531" s="49"/>
      <c r="S531" s="49"/>
      <c r="T531" s="49"/>
    </row>
    <row r="532">
      <c r="A532" s="49"/>
      <c r="B532" s="49"/>
      <c r="C532" s="94"/>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255</v>
      </c>
      <c r="M532" s="49"/>
      <c r="N532" s="49"/>
      <c r="O532" s="49"/>
      <c r="P532" s="49"/>
      <c r="Q532" s="49"/>
      <c r="R532" s="49"/>
      <c r="S532" s="49"/>
      <c r="T532" s="49"/>
    </row>
    <row r="533">
      <c r="A533" s="49"/>
      <c r="B533" s="49"/>
      <c r="C533" s="94"/>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255</v>
      </c>
      <c r="M533" s="49"/>
      <c r="N533" s="49"/>
      <c r="O533" s="49"/>
      <c r="P533" s="49"/>
      <c r="Q533" s="49"/>
      <c r="R533" s="49"/>
      <c r="S533" s="49"/>
      <c r="T533" s="49"/>
    </row>
    <row r="534">
      <c r="A534" s="49"/>
      <c r="B534" s="49"/>
      <c r="C534" s="94"/>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255</v>
      </c>
      <c r="M534" s="49"/>
      <c r="N534" s="49"/>
      <c r="O534" s="49"/>
      <c r="P534" s="49"/>
      <c r="Q534" s="49"/>
      <c r="R534" s="49"/>
      <c r="S534" s="49"/>
      <c r="T534" s="49"/>
    </row>
    <row r="535">
      <c r="A535" s="49"/>
      <c r="B535" s="49"/>
      <c r="C535" s="94"/>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255</v>
      </c>
      <c r="M535" s="49"/>
      <c r="N535" s="49"/>
      <c r="O535" s="49"/>
      <c r="P535" s="49"/>
      <c r="Q535" s="49"/>
      <c r="R535" s="49"/>
      <c r="S535" s="49"/>
      <c r="T535" s="49"/>
    </row>
    <row r="536">
      <c r="A536" s="49"/>
      <c r="B536" s="49"/>
      <c r="C536" s="94"/>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255</v>
      </c>
      <c r="M536" s="49"/>
      <c r="N536" s="49"/>
      <c r="O536" s="49"/>
      <c r="P536" s="49"/>
      <c r="Q536" s="49"/>
      <c r="R536" s="49"/>
      <c r="S536" s="49"/>
      <c r="T536" s="49"/>
    </row>
    <row r="537">
      <c r="A537" s="49"/>
      <c r="B537" s="49"/>
      <c r="C537" s="94"/>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255</v>
      </c>
      <c r="M537" s="49"/>
      <c r="N537" s="49"/>
      <c r="O537" s="49"/>
      <c r="P537" s="49"/>
      <c r="Q537" s="49"/>
      <c r="R537" s="49"/>
      <c r="S537" s="49"/>
      <c r="T537" s="49"/>
    </row>
    <row r="538">
      <c r="A538" s="49"/>
      <c r="B538" s="49"/>
      <c r="C538" s="94"/>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255</v>
      </c>
      <c r="M538" s="49"/>
      <c r="N538" s="49"/>
      <c r="O538" s="49"/>
      <c r="P538" s="49"/>
      <c r="Q538" s="49"/>
      <c r="R538" s="49"/>
      <c r="S538" s="49"/>
      <c r="T538" s="49"/>
    </row>
    <row r="539">
      <c r="A539" s="49"/>
      <c r="B539" s="49"/>
      <c r="C539" s="94"/>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255</v>
      </c>
      <c r="M539" s="49"/>
      <c r="N539" s="49"/>
      <c r="O539" s="49"/>
      <c r="P539" s="49"/>
      <c r="Q539" s="49"/>
      <c r="R539" s="49"/>
      <c r="S539" s="49"/>
      <c r="T539" s="49"/>
    </row>
    <row r="540">
      <c r="A540" s="49"/>
      <c r="B540" s="49"/>
      <c r="C540" s="94"/>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255</v>
      </c>
      <c r="M540" s="49"/>
      <c r="N540" s="49"/>
      <c r="O540" s="49"/>
      <c r="P540" s="49"/>
      <c r="Q540" s="49"/>
      <c r="R540" s="49"/>
      <c r="S540" s="49"/>
      <c r="T540" s="49"/>
    </row>
    <row r="541">
      <c r="A541" s="49"/>
      <c r="B541" s="49"/>
      <c r="C541" s="94"/>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255</v>
      </c>
      <c r="M541" s="49"/>
      <c r="N541" s="49"/>
      <c r="O541" s="49"/>
      <c r="P541" s="49"/>
      <c r="Q541" s="49"/>
      <c r="R541" s="49"/>
      <c r="S541" s="49"/>
      <c r="T541" s="49"/>
    </row>
    <row r="542">
      <c r="A542" s="49"/>
      <c r="B542" s="49"/>
      <c r="C542" s="94"/>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255</v>
      </c>
      <c r="M542" s="49"/>
      <c r="N542" s="49"/>
      <c r="O542" s="49"/>
      <c r="P542" s="49"/>
      <c r="Q542" s="49"/>
      <c r="R542" s="49"/>
      <c r="S542" s="49"/>
      <c r="T542" s="49"/>
    </row>
    <row r="543">
      <c r="A543" s="49"/>
      <c r="B543" s="49"/>
      <c r="C543" s="94"/>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255</v>
      </c>
      <c r="M543" s="49"/>
      <c r="N543" s="49"/>
      <c r="O543" s="49"/>
      <c r="P543" s="49"/>
      <c r="Q543" s="49"/>
      <c r="R543" s="49"/>
      <c r="S543" s="49"/>
      <c r="T543" s="49"/>
    </row>
    <row r="544">
      <c r="A544" s="49"/>
      <c r="B544" s="49"/>
      <c r="C544" s="94"/>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255</v>
      </c>
      <c r="M544" s="49"/>
      <c r="N544" s="49"/>
      <c r="O544" s="49"/>
      <c r="P544" s="49"/>
      <c r="Q544" s="49"/>
      <c r="R544" s="49"/>
      <c r="S544" s="49"/>
      <c r="T544" s="49"/>
    </row>
    <row r="545">
      <c r="A545" s="49"/>
      <c r="B545" s="49"/>
      <c r="C545" s="94"/>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255</v>
      </c>
      <c r="M545" s="49"/>
      <c r="N545" s="49"/>
      <c r="O545" s="49"/>
      <c r="P545" s="49"/>
      <c r="Q545" s="49"/>
      <c r="R545" s="49"/>
      <c r="S545" s="49"/>
      <c r="T545" s="49"/>
    </row>
    <row r="546">
      <c r="A546" s="49"/>
      <c r="B546" s="49"/>
      <c r="C546" s="94"/>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255</v>
      </c>
      <c r="M546" s="49"/>
      <c r="N546" s="49"/>
      <c r="O546" s="49"/>
      <c r="P546" s="49"/>
      <c r="Q546" s="49"/>
      <c r="R546" s="49"/>
      <c r="S546" s="49"/>
      <c r="T546" s="49"/>
    </row>
    <row r="547">
      <c r="A547" s="49"/>
      <c r="B547" s="49"/>
      <c r="C547" s="94"/>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255</v>
      </c>
      <c r="M547" s="49"/>
      <c r="N547" s="49"/>
      <c r="O547" s="49"/>
      <c r="P547" s="49"/>
      <c r="Q547" s="49"/>
      <c r="R547" s="49"/>
      <c r="S547" s="49"/>
      <c r="T547" s="49"/>
    </row>
    <row r="548">
      <c r="A548" s="49"/>
      <c r="B548" s="49"/>
      <c r="C548" s="94"/>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255</v>
      </c>
      <c r="M548" s="49"/>
      <c r="N548" s="49"/>
      <c r="O548" s="49"/>
      <c r="P548" s="49"/>
      <c r="Q548" s="49"/>
      <c r="R548" s="49"/>
      <c r="S548" s="49"/>
      <c r="T548" s="49"/>
    </row>
    <row r="549">
      <c r="A549" s="49"/>
      <c r="B549" s="49"/>
      <c r="C549" s="94"/>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255</v>
      </c>
      <c r="M549" s="49"/>
      <c r="N549" s="49"/>
      <c r="O549" s="49"/>
      <c r="P549" s="49"/>
      <c r="Q549" s="49"/>
      <c r="R549" s="49"/>
      <c r="S549" s="49"/>
      <c r="T549" s="49"/>
    </row>
    <row r="550">
      <c r="A550" s="49"/>
      <c r="B550" s="49"/>
      <c r="C550" s="94"/>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255</v>
      </c>
      <c r="M550" s="49"/>
      <c r="N550" s="49"/>
      <c r="O550" s="49"/>
      <c r="P550" s="49"/>
      <c r="Q550" s="49"/>
      <c r="R550" s="49"/>
      <c r="S550" s="49"/>
      <c r="T550" s="49"/>
    </row>
    <row r="551">
      <c r="A551" s="49"/>
      <c r="B551" s="49"/>
      <c r="C551" s="94"/>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255</v>
      </c>
      <c r="M551" s="49"/>
      <c r="N551" s="49"/>
      <c r="O551" s="49"/>
      <c r="P551" s="49"/>
      <c r="Q551" s="49"/>
      <c r="R551" s="49"/>
      <c r="S551" s="49"/>
      <c r="T551" s="49"/>
    </row>
    <row r="552">
      <c r="A552" s="49"/>
      <c r="B552" s="49"/>
      <c r="C552" s="94"/>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255</v>
      </c>
      <c r="M552" s="49"/>
      <c r="N552" s="49"/>
      <c r="O552" s="49"/>
      <c r="P552" s="49"/>
      <c r="Q552" s="49"/>
      <c r="R552" s="49"/>
      <c r="S552" s="49"/>
      <c r="T552" s="49"/>
    </row>
    <row r="553">
      <c r="A553" s="49"/>
      <c r="B553" s="49"/>
      <c r="C553" s="94"/>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255</v>
      </c>
      <c r="M553" s="49"/>
      <c r="N553" s="49"/>
      <c r="O553" s="49"/>
      <c r="P553" s="49"/>
      <c r="Q553" s="49"/>
      <c r="R553" s="49"/>
      <c r="S553" s="49"/>
      <c r="T553" s="49"/>
    </row>
    <row r="554">
      <c r="A554" s="49"/>
      <c r="B554" s="49"/>
      <c r="C554" s="94"/>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255</v>
      </c>
      <c r="M554" s="49"/>
      <c r="N554" s="49"/>
      <c r="O554" s="49"/>
      <c r="P554" s="49"/>
      <c r="Q554" s="49"/>
      <c r="R554" s="49"/>
      <c r="S554" s="49"/>
      <c r="T554" s="49"/>
    </row>
    <row r="555">
      <c r="A555" s="49"/>
      <c r="B555" s="49"/>
      <c r="C555" s="94"/>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255</v>
      </c>
      <c r="M555" s="49"/>
      <c r="N555" s="49"/>
      <c r="O555" s="49"/>
      <c r="P555" s="49"/>
      <c r="Q555" s="49"/>
      <c r="R555" s="49"/>
      <c r="S555" s="49"/>
      <c r="T555" s="49"/>
    </row>
    <row r="556">
      <c r="A556" s="49"/>
      <c r="B556" s="49"/>
      <c r="C556" s="94"/>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255</v>
      </c>
      <c r="M556" s="49"/>
      <c r="N556" s="49"/>
      <c r="O556" s="49"/>
      <c r="P556" s="49"/>
      <c r="Q556" s="49"/>
      <c r="R556" s="49"/>
      <c r="S556" s="49"/>
      <c r="T556" s="49"/>
    </row>
    <row r="557">
      <c r="A557" s="49"/>
      <c r="B557" s="49"/>
      <c r="C557" s="94"/>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255</v>
      </c>
      <c r="M557" s="49"/>
      <c r="N557" s="49"/>
      <c r="O557" s="49"/>
      <c r="P557" s="49"/>
      <c r="Q557" s="49"/>
      <c r="R557" s="49"/>
      <c r="S557" s="49"/>
      <c r="T557" s="49"/>
    </row>
    <row r="558">
      <c r="A558" s="49"/>
      <c r="B558" s="49"/>
      <c r="C558" s="94"/>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255</v>
      </c>
      <c r="M558" s="49"/>
      <c r="N558" s="49"/>
      <c r="O558" s="49"/>
      <c r="P558" s="49"/>
      <c r="Q558" s="49"/>
      <c r="R558" s="49"/>
      <c r="S558" s="49"/>
      <c r="T558" s="49"/>
    </row>
    <row r="559">
      <c r="A559" s="49"/>
      <c r="B559" s="49"/>
      <c r="C559" s="94"/>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255</v>
      </c>
      <c r="M559" s="49"/>
      <c r="N559" s="49"/>
      <c r="O559" s="49"/>
      <c r="P559" s="49"/>
      <c r="Q559" s="49"/>
      <c r="R559" s="49"/>
      <c r="S559" s="49"/>
      <c r="T559" s="49"/>
    </row>
    <row r="560">
      <c r="A560" s="49"/>
      <c r="B560" s="49"/>
      <c r="C560" s="94"/>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255</v>
      </c>
      <c r="M560" s="49"/>
      <c r="N560" s="49"/>
      <c r="O560" s="49"/>
      <c r="P560" s="49"/>
      <c r="Q560" s="49"/>
      <c r="R560" s="49"/>
      <c r="S560" s="49"/>
      <c r="T560" s="49"/>
    </row>
    <row r="561">
      <c r="A561" s="49"/>
      <c r="B561" s="49"/>
      <c r="C561" s="94"/>
      <c r="D561" s="49"/>
      <c r="E561" s="49"/>
      <c r="F561" s="49"/>
      <c r="G561" s="49" t="str">
        <f>IFERROR(__xludf.DUMMYFUNCTION("""COMPUTED_VALUE"""),"#VALUE!")</f>
        <v>#VALUE!</v>
      </c>
      <c r="H561" s="49" t="str">
        <f>IFERROR(__xludf.DUMMYFUNCTION("""COMPUTED_VALUE"""),"")</f>
        <v/>
      </c>
      <c r="I561" s="49" t="str">
        <f>IFERROR(__xludf.DUMMYFUNCTION("""COMPUTED_VALUE"""),"#VALUE!")</f>
        <v>#VALUE!</v>
      </c>
      <c r="J561" s="49" t="str">
        <f>IFERROR(__xludf.DUMMYFUNCTION("""COMPUTED_VALUE"""),"")</f>
        <v/>
      </c>
      <c r="K561" s="49"/>
      <c r="L561" s="49" t="s">
        <v>255</v>
      </c>
      <c r="M561" s="49"/>
      <c r="N561" s="49"/>
      <c r="O561" s="49"/>
      <c r="P561" s="49"/>
      <c r="Q561" s="49"/>
      <c r="R561" s="49"/>
      <c r="S561" s="49"/>
      <c r="T561" s="49"/>
    </row>
    <row r="562">
      <c r="A562" s="49"/>
      <c r="B562" s="49"/>
      <c r="C562" s="94"/>
      <c r="D562" s="49"/>
      <c r="E562" s="49"/>
      <c r="F562" s="49"/>
      <c r="G562" s="49" t="str">
        <f>IFERROR(__xludf.DUMMYFUNCTION("""COMPUTED_VALUE"""),"#VALUE!")</f>
        <v>#VALUE!</v>
      </c>
      <c r="H562" s="49" t="str">
        <f>IFERROR(__xludf.DUMMYFUNCTION("""COMPUTED_VALUE"""),"")</f>
        <v/>
      </c>
      <c r="I562" s="49" t="str">
        <f>IFERROR(__xludf.DUMMYFUNCTION("""COMPUTED_VALUE"""),"#VALUE!")</f>
        <v>#VALUE!</v>
      </c>
      <c r="J562" s="49" t="str">
        <f>IFERROR(__xludf.DUMMYFUNCTION("""COMPUTED_VALUE"""),"")</f>
        <v/>
      </c>
      <c r="K562" s="49"/>
      <c r="L562" s="49" t="s">
        <v>255</v>
      </c>
      <c r="M562" s="49"/>
      <c r="N562" s="49"/>
      <c r="O562" s="49"/>
      <c r="P562" s="49"/>
      <c r="Q562" s="49"/>
      <c r="R562" s="49"/>
      <c r="S562" s="49"/>
      <c r="T562" s="49"/>
    </row>
    <row r="563">
      <c r="A563" s="49"/>
      <c r="B563" s="49"/>
      <c r="C563" s="94"/>
      <c r="D563" s="49"/>
      <c r="E563" s="49"/>
      <c r="F563" s="49"/>
      <c r="G563" s="49" t="str">
        <f>IFERROR(__xludf.DUMMYFUNCTION("""COMPUTED_VALUE"""),"#VALUE!")</f>
        <v>#VALUE!</v>
      </c>
      <c r="H563" s="49" t="str">
        <f>IFERROR(__xludf.DUMMYFUNCTION("""COMPUTED_VALUE"""),"")</f>
        <v/>
      </c>
      <c r="I563" s="49" t="str">
        <f>IFERROR(__xludf.DUMMYFUNCTION("""COMPUTED_VALUE"""),"#VALUE!")</f>
        <v>#VALUE!</v>
      </c>
      <c r="J563" s="49" t="str">
        <f>IFERROR(__xludf.DUMMYFUNCTION("""COMPUTED_VALUE"""),"")</f>
        <v/>
      </c>
      <c r="K563" s="49"/>
      <c r="L563" s="49" t="s">
        <v>255</v>
      </c>
      <c r="M563" s="49"/>
      <c r="N563" s="49"/>
      <c r="O563" s="49"/>
      <c r="P563" s="49"/>
      <c r="Q563" s="49"/>
      <c r="R563" s="49"/>
      <c r="S563" s="49"/>
      <c r="T563" s="49"/>
    </row>
    <row r="564">
      <c r="A564" s="49"/>
      <c r="B564" s="49"/>
      <c r="C564" s="94"/>
      <c r="D564" s="49"/>
      <c r="E564" s="49"/>
      <c r="F564" s="49"/>
      <c r="G564" s="49" t="str">
        <f>IFERROR(__xludf.DUMMYFUNCTION("""COMPUTED_VALUE"""),"#VALUE!")</f>
        <v>#VALUE!</v>
      </c>
      <c r="H564" s="49" t="str">
        <f>IFERROR(__xludf.DUMMYFUNCTION("""COMPUTED_VALUE"""),"")</f>
        <v/>
      </c>
      <c r="I564" s="49" t="str">
        <f>IFERROR(__xludf.DUMMYFUNCTION("""COMPUTED_VALUE"""),"#VALUE!")</f>
        <v>#VALUE!</v>
      </c>
      <c r="J564" s="49" t="str">
        <f>IFERROR(__xludf.DUMMYFUNCTION("""COMPUTED_VALUE"""),"")</f>
        <v/>
      </c>
      <c r="K564" s="49"/>
      <c r="L564" s="49" t="s">
        <v>255</v>
      </c>
      <c r="M564" s="49"/>
      <c r="N564" s="49"/>
      <c r="O564" s="49"/>
      <c r="P564" s="49"/>
      <c r="Q564" s="49"/>
      <c r="R564" s="49"/>
      <c r="S564" s="49"/>
      <c r="T564" s="49"/>
    </row>
    <row r="565">
      <c r="A565" s="49"/>
      <c r="B565" s="49"/>
      <c r="C565" s="94"/>
      <c r="D565" s="49"/>
      <c r="E565" s="49"/>
      <c r="F565" s="49"/>
      <c r="G565" s="49" t="str">
        <f>IFERROR(__xludf.DUMMYFUNCTION("""COMPUTED_VALUE"""),"#VALUE!")</f>
        <v>#VALUE!</v>
      </c>
      <c r="H565" s="49" t="str">
        <f>IFERROR(__xludf.DUMMYFUNCTION("""COMPUTED_VALUE"""),"")</f>
        <v/>
      </c>
      <c r="I565" s="49" t="str">
        <f>IFERROR(__xludf.DUMMYFUNCTION("""COMPUTED_VALUE"""),"#VALUE!")</f>
        <v>#VALUE!</v>
      </c>
      <c r="J565" s="49" t="str">
        <f>IFERROR(__xludf.DUMMYFUNCTION("""COMPUTED_VALUE"""),"")</f>
        <v/>
      </c>
      <c r="K565" s="49"/>
      <c r="L565" s="49" t="s">
        <v>255</v>
      </c>
      <c r="M565" s="49"/>
      <c r="N565" s="49"/>
      <c r="O565" s="49"/>
      <c r="P565" s="49"/>
      <c r="Q565" s="49"/>
      <c r="R565" s="49"/>
      <c r="S565" s="49"/>
      <c r="T565" s="49"/>
    </row>
    <row r="566">
      <c r="A566" s="49"/>
      <c r="B566" s="49"/>
      <c r="C566" s="94"/>
      <c r="D566" s="49"/>
      <c r="E566" s="49"/>
      <c r="F566" s="49"/>
      <c r="G566" s="49" t="str">
        <f>IFERROR(__xludf.DUMMYFUNCTION("""COMPUTED_VALUE"""),"#VALUE!")</f>
        <v>#VALUE!</v>
      </c>
      <c r="H566" s="49" t="str">
        <f>IFERROR(__xludf.DUMMYFUNCTION("""COMPUTED_VALUE"""),"")</f>
        <v/>
      </c>
      <c r="I566" s="49" t="str">
        <f>IFERROR(__xludf.DUMMYFUNCTION("""COMPUTED_VALUE"""),"#VALUE!")</f>
        <v>#VALUE!</v>
      </c>
      <c r="J566" s="49" t="str">
        <f>IFERROR(__xludf.DUMMYFUNCTION("""COMPUTED_VALUE"""),"")</f>
        <v/>
      </c>
      <c r="K566" s="49"/>
      <c r="L566" s="49" t="s">
        <v>255</v>
      </c>
      <c r="M566" s="49"/>
      <c r="N566" s="49"/>
      <c r="O566" s="49"/>
      <c r="P566" s="49"/>
      <c r="Q566" s="49"/>
      <c r="R566" s="49"/>
      <c r="S566" s="49"/>
      <c r="T566" s="49"/>
    </row>
    <row r="567">
      <c r="A567" s="49"/>
      <c r="B567" s="49"/>
      <c r="C567" s="94"/>
      <c r="D567" s="49"/>
      <c r="E567" s="49"/>
      <c r="F567" s="49"/>
      <c r="G567" s="49" t="str">
        <f>IFERROR(__xludf.DUMMYFUNCTION("""COMPUTED_VALUE"""),"#VALUE!")</f>
        <v>#VALUE!</v>
      </c>
      <c r="H567" s="49" t="str">
        <f>IFERROR(__xludf.DUMMYFUNCTION("""COMPUTED_VALUE"""),"")</f>
        <v/>
      </c>
      <c r="I567" s="49" t="str">
        <f>IFERROR(__xludf.DUMMYFUNCTION("""COMPUTED_VALUE"""),"#VALUE!")</f>
        <v>#VALUE!</v>
      </c>
      <c r="J567" s="49" t="str">
        <f>IFERROR(__xludf.DUMMYFUNCTION("""COMPUTED_VALUE"""),"")</f>
        <v/>
      </c>
      <c r="K567" s="49"/>
      <c r="L567" s="49" t="s">
        <v>255</v>
      </c>
      <c r="M567" s="49"/>
      <c r="N567" s="49"/>
      <c r="O567" s="49"/>
      <c r="P567" s="49"/>
      <c r="Q567" s="49"/>
      <c r="R567" s="49"/>
      <c r="S567" s="49"/>
      <c r="T567" s="49"/>
    </row>
    <row r="568">
      <c r="A568" s="49"/>
      <c r="B568" s="49"/>
      <c r="C568" s="94"/>
      <c r="D568" s="49"/>
      <c r="E568" s="49"/>
      <c r="F568" s="49"/>
      <c r="G568" s="49" t="str">
        <f>IFERROR(__xludf.DUMMYFUNCTION("""COMPUTED_VALUE"""),"#VALUE!")</f>
        <v>#VALUE!</v>
      </c>
      <c r="H568" s="49" t="str">
        <f>IFERROR(__xludf.DUMMYFUNCTION("""COMPUTED_VALUE"""),"")</f>
        <v/>
      </c>
      <c r="I568" s="49" t="str">
        <f>IFERROR(__xludf.DUMMYFUNCTION("""COMPUTED_VALUE"""),"#VALUE!")</f>
        <v>#VALUE!</v>
      </c>
      <c r="J568" s="49" t="str">
        <f>IFERROR(__xludf.DUMMYFUNCTION("""COMPUTED_VALUE"""),"")</f>
        <v/>
      </c>
      <c r="K568" s="49"/>
      <c r="L568" s="49" t="s">
        <v>255</v>
      </c>
      <c r="M568" s="49"/>
      <c r="N568" s="49"/>
      <c r="O568" s="49"/>
      <c r="P568" s="49"/>
      <c r="Q568" s="49"/>
      <c r="R568" s="49"/>
      <c r="S568" s="49"/>
      <c r="T568" s="49"/>
    </row>
  </sheetData>
  <conditionalFormatting sqref="O2:O53">
    <cfRule type="containsText" dxfId="4" priority="1" operator="containsText" text="YES">
      <formula>NOT(ISERROR(SEARCH(("YES"),(O2))))</formula>
    </cfRule>
  </conditionalFormatting>
  <conditionalFormatting sqref="O2:O53">
    <cfRule type="cellIs" dxfId="5" priority="2" operator="equal">
      <formula>"NO"</formula>
    </cfRule>
  </conditionalFormatting>
  <conditionalFormatting sqref="P2:P53">
    <cfRule type="cellIs" dxfId="4" priority="3" operator="equal">
      <formula>"AVAILABLE"</formula>
    </cfRule>
  </conditionalFormatting>
  <conditionalFormatting sqref="P2:P53">
    <cfRule type="cellIs" dxfId="5" priority="4" operator="equal">
      <formula>"NOT AVAILABLE"</formula>
    </cfRule>
  </conditionalFormatting>
  <conditionalFormatting sqref="Q2:Q53">
    <cfRule type="cellIs" dxfId="4" priority="5" operator="equal">
      <formula>"AVAILABLE"</formula>
    </cfRule>
  </conditionalFormatting>
  <conditionalFormatting sqref="Q2:Q53">
    <cfRule type="cellIs" dxfId="6" priority="6" operator="equal">
      <formula>"UPLOADING"</formula>
    </cfRule>
  </conditionalFormatting>
  <conditionalFormatting sqref="Q2:Q53">
    <cfRule type="cellIs" dxfId="5" priority="7" operator="equal">
      <formula>"NOT AVAILABLE"</formula>
    </cfRule>
  </conditionalFormatting>
  <dataValidations>
    <dataValidation type="list" allowBlank="1" sqref="O2:O53">
      <formula1>"YES,NO"</formula1>
    </dataValidation>
    <dataValidation type="list" allowBlank="1" sqref="P2:P53">
      <formula1>"AVAILABLE,NOT AVAILABLE"</formula1>
    </dataValidation>
    <dataValidation type="list" allowBlank="1" sqref="Q2:Q53">
      <formula1>"AVAILABLE,UPLOADING,NOT AVAILABLE"</formula1>
    </dataValidation>
  </dataValidations>
  <drawing r:id="rId1"/>
  <tableParts count="1">
    <tablePart r:id="rId3"/>
  </tableParts>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0.43"/>
    <col customWidth="1" min="3" max="3" width="26.71"/>
    <col hidden="1" min="4" max="5" width="14.43"/>
    <col customWidth="1" min="6" max="6" width="37.43"/>
    <col hidden="1" min="9" max="9" width="14.43"/>
  </cols>
  <sheetData>
    <row r="1">
      <c r="A1" s="46" t="s">
        <v>79</v>
      </c>
      <c r="B1" s="46" t="s">
        <v>80</v>
      </c>
      <c r="C1" s="47" t="s">
        <v>81</v>
      </c>
      <c r="D1" s="46" t="s">
        <v>82</v>
      </c>
      <c r="E1" s="46" t="s">
        <v>83</v>
      </c>
      <c r="F1" s="46" t="s">
        <v>84</v>
      </c>
      <c r="G1" s="46" t="s">
        <v>85</v>
      </c>
      <c r="H1" s="46" t="s">
        <v>86</v>
      </c>
      <c r="I1" s="46" t="s">
        <v>87</v>
      </c>
      <c r="J1" s="46" t="s">
        <v>88</v>
      </c>
      <c r="K1" s="46" t="s">
        <v>89</v>
      </c>
      <c r="L1" s="46" t="s">
        <v>90</v>
      </c>
      <c r="M1" s="46" t="s">
        <v>91</v>
      </c>
      <c r="N1" s="46" t="s">
        <v>92</v>
      </c>
      <c r="O1" s="48" t="s">
        <v>93</v>
      </c>
      <c r="P1" s="48" t="s">
        <v>94</v>
      </c>
      <c r="Q1" s="48" t="s">
        <v>95</v>
      </c>
      <c r="R1" s="49"/>
      <c r="S1" s="49"/>
      <c r="T1" s="49"/>
    </row>
    <row r="2">
      <c r="A2" s="50" t="str">
        <f>IFERROR(__xludf.DUMMYFUNCTION("QUERY(Master!A:H,""SELECT A,C,D,F,G,H where C = 'Venture stage' ORDER BY F"")"),"Opening remarks")</f>
        <v>Opening remarks</v>
      </c>
      <c r="B2" s="49" t="str">
        <f>IFERROR(__xludf.DUMMYFUNCTION("""COMPUTED_VALUE"""),"Venture stage")</f>
        <v>Venture stage</v>
      </c>
      <c r="C2" s="51" t="str">
        <f>IFERROR(__xludf.DUMMYFUNCTION("""COMPUTED_VALUE"""),"Connor Murphy")</f>
        <v>Connor Murphy</v>
      </c>
      <c r="D2" s="49" t="str">
        <f>IFERROR(__xludf.DUMMYFUNCTION("""COMPUTED_VALUE"""),"2019/11/05 10:15:00")</f>
        <v>2019/11/05 10:15:00</v>
      </c>
      <c r="E2" s="49" t="str">
        <f>IFERROR(__xludf.DUMMYFUNCTION("""COMPUTED_VALUE"""),"2019/11/05 10:30:00")</f>
        <v>2019/11/05 10:30:00</v>
      </c>
      <c r="F2" s="49" t="str">
        <f>IFERROR(__xludf.DUMMYFUNCTION("""COMPUTED_VALUE"""),"b376f113-d467-4247-9768-d31db92db587")</f>
        <v>b376f113-d467-4247-9768-d31db92db587</v>
      </c>
      <c r="G2" s="54">
        <f>IFERROR(__xludf.DUMMYFUNCTION("ARRAYFORMULA(SPLIT(D2:D564,"" ""))"),43774.0)</f>
        <v>43774</v>
      </c>
      <c r="H2" s="53">
        <f>IFERROR(__xludf.DUMMYFUNCTION("""COMPUTED_VALUE"""),0.4270833333333333)</f>
        <v>0.4270833333</v>
      </c>
      <c r="I2" s="54">
        <f>IFERROR(__xludf.DUMMYFUNCTION("ARRAYFORMULA(SPLIT(E2:E564,"" ""))"),43774.0)</f>
        <v>43774</v>
      </c>
      <c r="J2" s="53">
        <f>IFERROR(__xludf.DUMMYFUNCTION("""COMPUTED_VALUE"""),0.4375)</f>
        <v>0.4375</v>
      </c>
      <c r="K2" s="53">
        <f t="shared" ref="K2:K63" si="1">J2-H2</f>
        <v>0.01041666667</v>
      </c>
      <c r="L2" s="50" t="str">
        <f t="array" ref="L2:L564">TEXT(K2:K564,"hhmmss")</f>
        <v>001500</v>
      </c>
      <c r="M2" s="87" t="s">
        <v>805</v>
      </c>
      <c r="N2" s="62" t="str">
        <f t="shared" ref="N2:N46" si="2">CONCATENATE(M2,"_",F2,"_","000000_000000.mp4")</f>
        <v>VT_5_1_b376f113-d467-4247-9768-d31db92db587_000000_000000.mp4</v>
      </c>
      <c r="O2" s="48"/>
      <c r="P2" s="48"/>
      <c r="Q2" s="63"/>
      <c r="R2" s="49"/>
      <c r="S2" s="49"/>
      <c r="T2" s="49"/>
    </row>
    <row r="3">
      <c r="A3" s="49" t="str">
        <f>IFERROR(__xludf.DUMMYFUNCTION("""COMPUTED_VALUE"""),"What makes a SaaS star?")</f>
        <v>What makes a SaaS star?</v>
      </c>
      <c r="B3" s="49" t="str">
        <f>IFERROR(__xludf.DUMMYFUNCTION("""COMPUTED_VALUE"""),"Venture stage")</f>
        <v>Venture stage</v>
      </c>
      <c r="C3" s="51" t="str">
        <f>IFERROR(__xludf.DUMMYFUNCTION("""COMPUTED_VALUE"""),"Yoav Tzruya, Lyle Fong, Michael Schuster, Cristina Fonseca and Stewart Rogers")</f>
        <v>Yoav Tzruya, Lyle Fong, Michael Schuster, Cristina Fonseca and Stewart Rogers</v>
      </c>
      <c r="D3" s="49" t="str">
        <f>IFERROR(__xludf.DUMMYFUNCTION("""COMPUTED_VALUE"""),"2019/11/05 10:30:00")</f>
        <v>2019/11/05 10:30:00</v>
      </c>
      <c r="E3" s="49" t="str">
        <f>IFERROR(__xludf.DUMMYFUNCTION("""COMPUTED_VALUE"""),"2019/11/05 10:50:00")</f>
        <v>2019/11/05 10:50:00</v>
      </c>
      <c r="F3" s="49" t="str">
        <f>IFERROR(__xludf.DUMMYFUNCTION("""COMPUTED_VALUE"""),"1e92e735-d1a2-4e79-ab58-1f251026f86c")</f>
        <v>1e92e735-d1a2-4e79-ab58-1f251026f86c</v>
      </c>
      <c r="G3" s="52">
        <f>IFERROR(__xludf.DUMMYFUNCTION("""COMPUTED_VALUE"""),43774.0)</f>
        <v>43774</v>
      </c>
      <c r="H3" s="53">
        <f>IFERROR(__xludf.DUMMYFUNCTION("""COMPUTED_VALUE"""),0.4375)</f>
        <v>0.4375</v>
      </c>
      <c r="I3" s="52">
        <f>IFERROR(__xludf.DUMMYFUNCTION("""COMPUTED_VALUE"""),43774.0)</f>
        <v>43774</v>
      </c>
      <c r="J3" s="53">
        <f>IFERROR(__xludf.DUMMYFUNCTION("""COMPUTED_VALUE"""),0.4513888888888889)</f>
        <v>0.4513888889</v>
      </c>
      <c r="K3" s="53">
        <f t="shared" si="1"/>
        <v>0.01388888889</v>
      </c>
      <c r="L3" s="49" t="s">
        <v>109</v>
      </c>
      <c r="M3" s="87" t="s">
        <v>806</v>
      </c>
      <c r="N3" s="62" t="str">
        <f t="shared" si="2"/>
        <v>VT_5_2_1e92e735-d1a2-4e79-ab58-1f251026f86c_000000_000000.mp4</v>
      </c>
      <c r="O3" s="48"/>
      <c r="P3" s="48"/>
      <c r="Q3" s="63"/>
      <c r="R3" s="49"/>
      <c r="S3" s="49"/>
      <c r="T3" s="49"/>
    </row>
    <row r="4">
      <c r="A4" s="49" t="str">
        <f>IFERROR(__xludf.DUMMYFUNCTION("""COMPUTED_VALUE"""),"Retail therapy: Tech for fast consumption")</f>
        <v>Retail therapy: Tech for fast consumption</v>
      </c>
      <c r="B4" s="49" t="str">
        <f>IFERROR(__xludf.DUMMYFUNCTION("""COMPUTED_VALUE"""),"Venture stage")</f>
        <v>Venture stage</v>
      </c>
      <c r="C4" s="51" t="str">
        <f>IFERROR(__xludf.DUMMYFUNCTION("""COMPUTED_VALUE"""),"Carmen Alfonso Rico, Rainer Märkle, Nicola McClafferty and Natalia Drozdiak")</f>
        <v>Carmen Alfonso Rico, Rainer Märkle, Nicola McClafferty and Natalia Drozdiak</v>
      </c>
      <c r="D4" s="49" t="str">
        <f>IFERROR(__xludf.DUMMYFUNCTION("""COMPUTED_VALUE"""),"2019/11/05 10:50:00")</f>
        <v>2019/11/05 10:50:00</v>
      </c>
      <c r="E4" s="49" t="str">
        <f>IFERROR(__xludf.DUMMYFUNCTION("""COMPUTED_VALUE"""),"2019/11/05 11:10:00")</f>
        <v>2019/11/05 11:10:00</v>
      </c>
      <c r="F4" s="49" t="str">
        <f>IFERROR(__xludf.DUMMYFUNCTION("""COMPUTED_VALUE"""),"7921e49e-7c01-41ca-a2e2-33b1448f0ee9")</f>
        <v>7921e49e-7c01-41ca-a2e2-33b1448f0ee9</v>
      </c>
      <c r="G4" s="52">
        <f>IFERROR(__xludf.DUMMYFUNCTION("""COMPUTED_VALUE"""),43774.0)</f>
        <v>43774</v>
      </c>
      <c r="H4" s="53">
        <f>IFERROR(__xludf.DUMMYFUNCTION("""COMPUTED_VALUE"""),0.4513888888888889)</f>
        <v>0.4513888889</v>
      </c>
      <c r="I4" s="52">
        <f>IFERROR(__xludf.DUMMYFUNCTION("""COMPUTED_VALUE"""),43774.0)</f>
        <v>43774</v>
      </c>
      <c r="J4" s="53">
        <f>IFERROR(__xludf.DUMMYFUNCTION("""COMPUTED_VALUE"""),0.4652777777777778)</f>
        <v>0.4652777778</v>
      </c>
      <c r="K4" s="53">
        <f t="shared" si="1"/>
        <v>0.01388888889</v>
      </c>
      <c r="L4" s="49" t="s">
        <v>109</v>
      </c>
      <c r="M4" s="87" t="s">
        <v>807</v>
      </c>
      <c r="N4" s="62" t="str">
        <f t="shared" si="2"/>
        <v>VT_5_3_7921e49e-7c01-41ca-a2e2-33b1448f0ee9_000000_000000.mp4</v>
      </c>
      <c r="O4" s="48"/>
      <c r="P4" s="48"/>
      <c r="Q4" s="63"/>
      <c r="R4" s="49"/>
      <c r="S4" s="49"/>
      <c r="T4" s="49"/>
    </row>
    <row r="5">
      <c r="A5" s="49" t="str">
        <f>IFERROR(__xludf.DUMMYFUNCTION("""COMPUTED_VALUE"""),"GenZ consumers: What do they want?")</f>
        <v>GenZ consumers: What do they want?</v>
      </c>
      <c r="B5" s="49" t="str">
        <f>IFERROR(__xludf.DUMMYFUNCTION("""COMPUTED_VALUE"""),"Venture stage")</f>
        <v>Venture stage</v>
      </c>
      <c r="C5" s="51" t="str">
        <f>IFERROR(__xludf.DUMMYFUNCTION("""COMPUTED_VALUE"""),"Karen McCormick, Tara Reeves, Rob Lowe, Avi Eyal and Eva Baczynska")</f>
        <v>Karen McCormick, Tara Reeves, Rob Lowe, Avi Eyal and Eva Baczynska</v>
      </c>
      <c r="D5" s="49" t="str">
        <f>IFERROR(__xludf.DUMMYFUNCTION("""COMPUTED_VALUE"""),"2019/11/05 11:10:00")</f>
        <v>2019/11/05 11:10:00</v>
      </c>
      <c r="E5" s="49" t="str">
        <f>IFERROR(__xludf.DUMMYFUNCTION("""COMPUTED_VALUE"""),"2019/11/05 11:35:00")</f>
        <v>2019/11/05 11:35:00</v>
      </c>
      <c r="F5" s="49" t="str">
        <f>IFERROR(__xludf.DUMMYFUNCTION("""COMPUTED_VALUE"""),"b467dd67-e44c-46cd-9c69-dfca7ac8d677")</f>
        <v>b467dd67-e44c-46cd-9c69-dfca7ac8d677</v>
      </c>
      <c r="G5" s="52">
        <f>IFERROR(__xludf.DUMMYFUNCTION("""COMPUTED_VALUE"""),43774.0)</f>
        <v>43774</v>
      </c>
      <c r="H5" s="53">
        <f>IFERROR(__xludf.DUMMYFUNCTION("""COMPUTED_VALUE"""),0.4652777777777778)</f>
        <v>0.4652777778</v>
      </c>
      <c r="I5" s="52">
        <f>IFERROR(__xludf.DUMMYFUNCTION("""COMPUTED_VALUE"""),43774.0)</f>
        <v>43774</v>
      </c>
      <c r="J5" s="53">
        <f>IFERROR(__xludf.DUMMYFUNCTION("""COMPUTED_VALUE"""),0.4826388888888889)</f>
        <v>0.4826388889</v>
      </c>
      <c r="K5" s="53">
        <f t="shared" si="1"/>
        <v>0.01736111111</v>
      </c>
      <c r="L5" s="49" t="s">
        <v>111</v>
      </c>
      <c r="M5" s="87" t="s">
        <v>808</v>
      </c>
      <c r="N5" s="62" t="str">
        <f t="shared" si="2"/>
        <v>VT_5_4_b467dd67-e44c-46cd-9c69-dfca7ac8d677_000000_000000.mp4</v>
      </c>
      <c r="O5" s="48"/>
      <c r="P5" s="48"/>
      <c r="Q5" s="63"/>
      <c r="R5" s="49"/>
      <c r="S5" s="49"/>
      <c r="T5" s="49"/>
    </row>
    <row r="6">
      <c r="A6" s="49" t="str">
        <f>IFERROR(__xludf.DUMMYFUNCTION("""COMPUTED_VALUE"""),"Smart exits: How can we help?")</f>
        <v>Smart exits: How can we help?</v>
      </c>
      <c r="B6" s="49" t="str">
        <f>IFERROR(__xludf.DUMMYFUNCTION("""COMPUTED_VALUE"""),"Venture stage")</f>
        <v>Venture stage</v>
      </c>
      <c r="C6" s="51" t="str">
        <f>IFERROR(__xludf.DUMMYFUNCTION("""COMPUTED_VALUE"""),"Younghoon Park, Jean-Marc Patouillaud, Asaf Horesh and Mike Hollinger")</f>
        <v>Younghoon Park, Jean-Marc Patouillaud, Asaf Horesh and Mike Hollinger</v>
      </c>
      <c r="D6" s="49" t="str">
        <f>IFERROR(__xludf.DUMMYFUNCTION("""COMPUTED_VALUE"""),"2019/11/05 11:35:00")</f>
        <v>2019/11/05 11:35:00</v>
      </c>
      <c r="E6" s="49" t="str">
        <f>IFERROR(__xludf.DUMMYFUNCTION("""COMPUTED_VALUE"""),"2019/11/05 12:00:00")</f>
        <v>2019/11/05 12:00:00</v>
      </c>
      <c r="F6" s="49" t="str">
        <f>IFERROR(__xludf.DUMMYFUNCTION("""COMPUTED_VALUE"""),"a86f6d35-9ddf-4888-a2da-8c6f010e86fe")</f>
        <v>a86f6d35-9ddf-4888-a2da-8c6f010e86fe</v>
      </c>
      <c r="G6" s="52">
        <f>IFERROR(__xludf.DUMMYFUNCTION("""COMPUTED_VALUE"""),43774.0)</f>
        <v>43774</v>
      </c>
      <c r="H6" s="53">
        <f>IFERROR(__xludf.DUMMYFUNCTION("""COMPUTED_VALUE"""),0.4826388888888889)</f>
        <v>0.4826388889</v>
      </c>
      <c r="I6" s="52">
        <f>IFERROR(__xludf.DUMMYFUNCTION("""COMPUTED_VALUE"""),43774.0)</f>
        <v>43774</v>
      </c>
      <c r="J6" s="53">
        <f>IFERROR(__xludf.DUMMYFUNCTION("""COMPUTED_VALUE"""),0.5)</f>
        <v>0.5</v>
      </c>
      <c r="K6" s="53">
        <f t="shared" si="1"/>
        <v>0.01736111111</v>
      </c>
      <c r="L6" s="49" t="s">
        <v>111</v>
      </c>
      <c r="M6" s="87" t="s">
        <v>809</v>
      </c>
      <c r="N6" s="62" t="str">
        <f t="shared" si="2"/>
        <v>VT_5_5_a86f6d35-9ddf-4888-a2da-8c6f010e86fe_000000_000000.mp4</v>
      </c>
      <c r="O6" s="48"/>
      <c r="P6" s="48"/>
      <c r="Q6" s="63"/>
      <c r="R6" s="49"/>
      <c r="S6" s="49"/>
      <c r="T6" s="49"/>
    </row>
    <row r="7">
      <c r="A7" s="49" t="str">
        <f>IFERROR(__xludf.DUMMYFUNCTION("""COMPUTED_VALUE"""),"Winning the war for talent")</f>
        <v>Winning the war for talent</v>
      </c>
      <c r="B7" s="49" t="str">
        <f>IFERROR(__xludf.DUMMYFUNCTION("""COMPUTED_VALUE"""),"Venture stage")</f>
        <v>Venture stage</v>
      </c>
      <c r="C7" s="51" t="str">
        <f>IFERROR(__xludf.DUMMYFUNCTION("""COMPUTED_VALUE"""),"Diane Mulcahy and Denis Barrier")</f>
        <v>Diane Mulcahy and Denis Barrier</v>
      </c>
      <c r="D7" s="49" t="str">
        <f>IFERROR(__xludf.DUMMYFUNCTION("""COMPUTED_VALUE"""),"2019/11/05 12:00:00")</f>
        <v>2019/11/05 12:00:00</v>
      </c>
      <c r="E7" s="49" t="str">
        <f>IFERROR(__xludf.DUMMYFUNCTION("""COMPUTED_VALUE"""),"2019/11/05 12:20:00")</f>
        <v>2019/11/05 12:20:00</v>
      </c>
      <c r="F7" s="49" t="str">
        <f>IFERROR(__xludf.DUMMYFUNCTION("""COMPUTED_VALUE"""),"cebe1715-e136-4b99-902d-ffb337b720b6")</f>
        <v>cebe1715-e136-4b99-902d-ffb337b720b6</v>
      </c>
      <c r="G7" s="52">
        <f>IFERROR(__xludf.DUMMYFUNCTION("""COMPUTED_VALUE"""),43774.0)</f>
        <v>43774</v>
      </c>
      <c r="H7" s="53">
        <f>IFERROR(__xludf.DUMMYFUNCTION("""COMPUTED_VALUE"""),0.5)</f>
        <v>0.5</v>
      </c>
      <c r="I7" s="52">
        <f>IFERROR(__xludf.DUMMYFUNCTION("""COMPUTED_VALUE"""),43774.0)</f>
        <v>43774</v>
      </c>
      <c r="J7" s="53">
        <f>IFERROR(__xludf.DUMMYFUNCTION("""COMPUTED_VALUE"""),0.5138888888888888)</f>
        <v>0.5138888889</v>
      </c>
      <c r="K7" s="53">
        <f t="shared" si="1"/>
        <v>0.01388888889</v>
      </c>
      <c r="L7" s="49" t="s">
        <v>109</v>
      </c>
      <c r="M7" s="87" t="s">
        <v>810</v>
      </c>
      <c r="N7" s="62" t="str">
        <f t="shared" si="2"/>
        <v>VT_5_6_cebe1715-e136-4b99-902d-ffb337b720b6_000000_000000.mp4</v>
      </c>
      <c r="O7" s="48"/>
      <c r="P7" s="48"/>
      <c r="Q7" s="63"/>
      <c r="R7" s="49"/>
      <c r="S7" s="49"/>
      <c r="T7" s="49"/>
    </row>
    <row r="8">
      <c r="A8" s="49" t="str">
        <f>IFERROR(__xludf.DUMMYFUNCTION("""COMPUTED_VALUE"""),"What to do with your good idea")</f>
        <v>What to do with your good idea</v>
      </c>
      <c r="B8" s="49" t="str">
        <f>IFERROR(__xludf.DUMMYFUNCTION("""COMPUTED_VALUE"""),"Venture stage")</f>
        <v>Venture stage</v>
      </c>
      <c r="C8" s="51" t="str">
        <f>IFERROR(__xludf.DUMMYFUNCTION("""COMPUTED_VALUE"""),"Elizabeth Weil, Saalim Chowdhury, Cyril Ebersweiler, Chris Adelsbach and Jared Lindzon")</f>
        <v>Elizabeth Weil, Saalim Chowdhury, Cyril Ebersweiler, Chris Adelsbach and Jared Lindzon</v>
      </c>
      <c r="D8" s="49" t="str">
        <f>IFERROR(__xludf.DUMMYFUNCTION("""COMPUTED_VALUE"""),"2019/11/05 12:20:00")</f>
        <v>2019/11/05 12:20:00</v>
      </c>
      <c r="E8" s="49" t="str">
        <f>IFERROR(__xludf.DUMMYFUNCTION("""COMPUTED_VALUE"""),"2019/11/05 12:45:00")</f>
        <v>2019/11/05 12:45:00</v>
      </c>
      <c r="F8" s="49" t="str">
        <f>IFERROR(__xludf.DUMMYFUNCTION("""COMPUTED_VALUE"""),"c3314cfc-14bb-4f3c-9510-182be25f4f35")</f>
        <v>c3314cfc-14bb-4f3c-9510-182be25f4f35</v>
      </c>
      <c r="G8" s="52">
        <f>IFERROR(__xludf.DUMMYFUNCTION("""COMPUTED_VALUE"""),43774.0)</f>
        <v>43774</v>
      </c>
      <c r="H8" s="53">
        <f>IFERROR(__xludf.DUMMYFUNCTION("""COMPUTED_VALUE"""),0.5138888888888888)</f>
        <v>0.5138888889</v>
      </c>
      <c r="I8" s="52">
        <f>IFERROR(__xludf.DUMMYFUNCTION("""COMPUTED_VALUE"""),43774.0)</f>
        <v>43774</v>
      </c>
      <c r="J8" s="53">
        <f>IFERROR(__xludf.DUMMYFUNCTION("""COMPUTED_VALUE"""),0.53125)</f>
        <v>0.53125</v>
      </c>
      <c r="K8" s="53">
        <f t="shared" si="1"/>
        <v>0.01736111111</v>
      </c>
      <c r="L8" s="49" t="s">
        <v>111</v>
      </c>
      <c r="M8" s="87" t="s">
        <v>811</v>
      </c>
      <c r="N8" s="62" t="str">
        <f t="shared" si="2"/>
        <v>VT_5_7_c3314cfc-14bb-4f3c-9510-182be25f4f35_000000_000000.mp4</v>
      </c>
      <c r="O8" s="48"/>
      <c r="P8" s="48"/>
      <c r="Q8" s="63"/>
      <c r="R8" s="49"/>
      <c r="S8" s="49"/>
      <c r="T8" s="49"/>
    </row>
    <row r="9">
      <c r="A9" s="49" t="str">
        <f>IFERROR(__xludf.DUMMYFUNCTION("""COMPUTED_VALUE"""),"Lunch break")</f>
        <v>Lunch break</v>
      </c>
      <c r="B9" s="49" t="str">
        <f>IFERROR(__xludf.DUMMYFUNCTION("""COMPUTED_VALUE"""),"Venture stage")</f>
        <v>Venture stage</v>
      </c>
      <c r="C9" s="51" t="str">
        <f>IFERROR(__xludf.DUMMYFUNCTION("""COMPUTED_VALUE"""),"")</f>
        <v/>
      </c>
      <c r="D9" s="49" t="str">
        <f>IFERROR(__xludf.DUMMYFUNCTION("""COMPUTED_VALUE"""),"2019/11/05 12:45:00")</f>
        <v>2019/11/05 12:45:00</v>
      </c>
      <c r="E9" s="49" t="str">
        <f>IFERROR(__xludf.DUMMYFUNCTION("""COMPUTED_VALUE"""),"2019/11/05 13:30:00")</f>
        <v>2019/11/05 13:30:00</v>
      </c>
      <c r="F9" s="49" t="str">
        <f>IFERROR(__xludf.DUMMYFUNCTION("""COMPUTED_VALUE"""),"a8a30424-4365-4a89-89c7-95d1c9c7d96c")</f>
        <v>a8a30424-4365-4a89-89c7-95d1c9c7d96c</v>
      </c>
      <c r="G9" s="52">
        <f>IFERROR(__xludf.DUMMYFUNCTION("""COMPUTED_VALUE"""),43774.0)</f>
        <v>43774</v>
      </c>
      <c r="H9" s="53">
        <f>IFERROR(__xludf.DUMMYFUNCTION("""COMPUTED_VALUE"""),0.53125)</f>
        <v>0.53125</v>
      </c>
      <c r="I9" s="52">
        <f>IFERROR(__xludf.DUMMYFUNCTION("""COMPUTED_VALUE"""),43774.0)</f>
        <v>43774</v>
      </c>
      <c r="J9" s="53">
        <f>IFERROR(__xludf.DUMMYFUNCTION("""COMPUTED_VALUE"""),0.5625)</f>
        <v>0.5625</v>
      </c>
      <c r="K9" s="53">
        <f t="shared" si="1"/>
        <v>0.03125</v>
      </c>
      <c r="L9" s="49" t="s">
        <v>127</v>
      </c>
      <c r="M9" s="49"/>
      <c r="N9" s="62" t="str">
        <f t="shared" si="2"/>
        <v>_a8a30424-4365-4a89-89c7-95d1c9c7d96c_000000_000000.mp4</v>
      </c>
      <c r="O9" s="48"/>
      <c r="P9" s="48"/>
      <c r="Q9" s="63"/>
      <c r="R9" s="49"/>
      <c r="S9" s="49"/>
      <c r="T9" s="49"/>
    </row>
    <row r="10">
      <c r="A10" s="49" t="str">
        <f>IFERROR(__xludf.DUMMYFUNCTION("""COMPUTED_VALUE"""),"Opening remarks - Global Venture Overview")</f>
        <v>Opening remarks - Global Venture Overview</v>
      </c>
      <c r="B10" s="49" t="str">
        <f>IFERROR(__xludf.DUMMYFUNCTION("""COMPUTED_VALUE"""),"Venture stage")</f>
        <v>Venture stage</v>
      </c>
      <c r="C10" s="51" t="str">
        <f>IFERROR(__xludf.DUMMYFUNCTION("""COMPUTED_VALUE"""),"Nizar Tarhuni")</f>
        <v>Nizar Tarhuni</v>
      </c>
      <c r="D10" s="49" t="str">
        <f>IFERROR(__xludf.DUMMYFUNCTION("""COMPUTED_VALUE"""),"2019/11/05 13:30:00")</f>
        <v>2019/11/05 13:30:00</v>
      </c>
      <c r="E10" s="49" t="str">
        <f>IFERROR(__xludf.DUMMYFUNCTION("""COMPUTED_VALUE"""),"2019/11/05 13:45:00")</f>
        <v>2019/11/05 13:45:00</v>
      </c>
      <c r="F10" s="49" t="str">
        <f>IFERROR(__xludf.DUMMYFUNCTION("""COMPUTED_VALUE"""),"5183caf9-5006-4cf8-a723-9de2854337fd")</f>
        <v>5183caf9-5006-4cf8-a723-9de2854337fd</v>
      </c>
      <c r="G10" s="52">
        <f>IFERROR(__xludf.DUMMYFUNCTION("""COMPUTED_VALUE"""),43774.0)</f>
        <v>43774</v>
      </c>
      <c r="H10" s="53">
        <f>IFERROR(__xludf.DUMMYFUNCTION("""COMPUTED_VALUE"""),0.5625)</f>
        <v>0.5625</v>
      </c>
      <c r="I10" s="52">
        <f>IFERROR(__xludf.DUMMYFUNCTION("""COMPUTED_VALUE"""),43774.0)</f>
        <v>43774</v>
      </c>
      <c r="J10" s="53">
        <f>IFERROR(__xludf.DUMMYFUNCTION("""COMPUTED_VALUE"""),0.5729166666666666)</f>
        <v>0.5729166667</v>
      </c>
      <c r="K10" s="53">
        <f t="shared" si="1"/>
        <v>0.01041666667</v>
      </c>
      <c r="L10" s="49" t="s">
        <v>118</v>
      </c>
      <c r="M10" s="87" t="s">
        <v>812</v>
      </c>
      <c r="N10" s="62" t="str">
        <f t="shared" si="2"/>
        <v>VT_5_8_5183caf9-5006-4cf8-a723-9de2854337fd_000000_000000.mp4</v>
      </c>
      <c r="O10" s="48"/>
      <c r="P10" s="48"/>
      <c r="Q10" s="63"/>
      <c r="R10" s="49"/>
      <c r="S10" s="49"/>
      <c r="T10" s="49"/>
    </row>
    <row r="11">
      <c r="A11" s="49" t="str">
        <f>IFERROR(__xludf.DUMMYFUNCTION("""COMPUTED_VALUE"""),"The state of global seed")</f>
        <v>The state of global seed</v>
      </c>
      <c r="B11" s="49" t="str">
        <f>IFERROR(__xludf.DUMMYFUNCTION("""COMPUTED_VALUE"""),"Venture stage")</f>
        <v>Venture stage</v>
      </c>
      <c r="C11" s="51" t="str">
        <f>IFERROR(__xludf.DUMMYFUNCTION("""COMPUTED_VALUE"""),"Reshma Sohoni, Gillian Munson, Zach Coelius, Alexandre Barbosa and Nizar Tarhuni")</f>
        <v>Reshma Sohoni, Gillian Munson, Zach Coelius, Alexandre Barbosa and Nizar Tarhuni</v>
      </c>
      <c r="D11" s="49" t="str">
        <f>IFERROR(__xludf.DUMMYFUNCTION("""COMPUTED_VALUE"""),"2019/11/05 13:45:00")</f>
        <v>2019/11/05 13:45:00</v>
      </c>
      <c r="E11" s="49" t="str">
        <f>IFERROR(__xludf.DUMMYFUNCTION("""COMPUTED_VALUE"""),"2019/11/05 14:05:00")</f>
        <v>2019/11/05 14:05:00</v>
      </c>
      <c r="F11" s="49" t="str">
        <f>IFERROR(__xludf.DUMMYFUNCTION("""COMPUTED_VALUE"""),"75e89197-77fc-46c8-a26e-e6fddc2a1b3c")</f>
        <v>75e89197-77fc-46c8-a26e-e6fddc2a1b3c</v>
      </c>
      <c r="G11" s="52">
        <f>IFERROR(__xludf.DUMMYFUNCTION("""COMPUTED_VALUE"""),43774.0)</f>
        <v>43774</v>
      </c>
      <c r="H11" s="53">
        <f>IFERROR(__xludf.DUMMYFUNCTION("""COMPUTED_VALUE"""),0.5729166666666666)</f>
        <v>0.5729166667</v>
      </c>
      <c r="I11" s="52">
        <f>IFERROR(__xludf.DUMMYFUNCTION("""COMPUTED_VALUE"""),43774.0)</f>
        <v>43774</v>
      </c>
      <c r="J11" s="53">
        <f>IFERROR(__xludf.DUMMYFUNCTION("""COMPUTED_VALUE"""),0.5868055555555556)</f>
        <v>0.5868055556</v>
      </c>
      <c r="K11" s="53">
        <f t="shared" si="1"/>
        <v>0.01388888889</v>
      </c>
      <c r="L11" s="49" t="s">
        <v>109</v>
      </c>
      <c r="M11" s="87" t="s">
        <v>813</v>
      </c>
      <c r="N11" s="62" t="str">
        <f t="shared" si="2"/>
        <v>VT_5_9_75e89197-77fc-46c8-a26e-e6fddc2a1b3c_000000_000000.mp4</v>
      </c>
      <c r="O11" s="48"/>
      <c r="P11" s="48"/>
      <c r="Q11" s="63"/>
      <c r="R11" s="49"/>
      <c r="S11" s="49"/>
      <c r="T11" s="49"/>
    </row>
    <row r="12">
      <c r="A12" s="49" t="str">
        <f>IFERROR(__xludf.DUMMYFUNCTION("""COMPUTED_VALUE"""),"AI: Advantage investing?")</f>
        <v>AI: Advantage investing?</v>
      </c>
      <c r="B12" s="49" t="str">
        <f>IFERROR(__xludf.DUMMYFUNCTION("""COMPUTED_VALUE"""),"Venture stage")</f>
        <v>Venture stage</v>
      </c>
      <c r="C12" s="51" t="str">
        <f>IFERROR(__xludf.DUMMYFUNCTION("""COMPUTED_VALUE"""),"Jacob Mullins, Dale Chang and David Kelnar")</f>
        <v>Jacob Mullins, Dale Chang and David Kelnar</v>
      </c>
      <c r="D12" s="49" t="str">
        <f>IFERROR(__xludf.DUMMYFUNCTION("""COMPUTED_VALUE"""),"2019/11/05 14:05:00")</f>
        <v>2019/11/05 14:05:00</v>
      </c>
      <c r="E12" s="49" t="str">
        <f>IFERROR(__xludf.DUMMYFUNCTION("""COMPUTED_VALUE"""),"2019/11/05 14:25:00")</f>
        <v>2019/11/05 14:25:00</v>
      </c>
      <c r="F12" s="49" t="str">
        <f>IFERROR(__xludf.DUMMYFUNCTION("""COMPUTED_VALUE"""),"3c35f956-7430-41f3-8bc2-18d855f4042f")</f>
        <v>3c35f956-7430-41f3-8bc2-18d855f4042f</v>
      </c>
      <c r="G12" s="52">
        <f>IFERROR(__xludf.DUMMYFUNCTION("""COMPUTED_VALUE"""),43774.0)</f>
        <v>43774</v>
      </c>
      <c r="H12" s="53">
        <f>IFERROR(__xludf.DUMMYFUNCTION("""COMPUTED_VALUE"""),0.5868055555555556)</f>
        <v>0.5868055556</v>
      </c>
      <c r="I12" s="52">
        <f>IFERROR(__xludf.DUMMYFUNCTION("""COMPUTED_VALUE"""),43774.0)</f>
        <v>43774</v>
      </c>
      <c r="J12" s="53">
        <f>IFERROR(__xludf.DUMMYFUNCTION("""COMPUTED_VALUE"""),0.6006944444444444)</f>
        <v>0.6006944444</v>
      </c>
      <c r="K12" s="53">
        <f t="shared" si="1"/>
        <v>0.01388888889</v>
      </c>
      <c r="L12" s="49" t="s">
        <v>109</v>
      </c>
      <c r="M12" s="87" t="s">
        <v>814</v>
      </c>
      <c r="N12" s="62" t="str">
        <f t="shared" si="2"/>
        <v>VT_5_10_3c35f956-7430-41f3-8bc2-18d855f4042f_000000_000000.mp4</v>
      </c>
      <c r="O12" s="48"/>
      <c r="P12" s="48"/>
      <c r="Q12" s="63"/>
      <c r="R12" s="49"/>
      <c r="S12" s="49"/>
      <c r="T12" s="49"/>
    </row>
    <row r="13">
      <c r="A13" s="49" t="str">
        <f>IFERROR(__xludf.DUMMYFUNCTION("""COMPUTED_VALUE"""),"Why startups need corporate VC to thrive")</f>
        <v>Why startups need corporate VC to thrive</v>
      </c>
      <c r="B13" s="49" t="str">
        <f>IFERROR(__xludf.DUMMYFUNCTION("""COMPUTED_VALUE"""),"Venture stage")</f>
        <v>Venture stage</v>
      </c>
      <c r="C13" s="51" t="str">
        <f>IFERROR(__xludf.DUMMYFUNCTION("""COMPUTED_VALUE"""),"Gen Tsuchikawa, Deborah Magid, Colleen Cunniffe and Alex Irwin-Hunt")</f>
        <v>Gen Tsuchikawa, Deborah Magid, Colleen Cunniffe and Alex Irwin-Hunt</v>
      </c>
      <c r="D13" s="49" t="str">
        <f>IFERROR(__xludf.DUMMYFUNCTION("""COMPUTED_VALUE"""),"2019/11/05 14:25:00")</f>
        <v>2019/11/05 14:25:00</v>
      </c>
      <c r="E13" s="49" t="str">
        <f>IFERROR(__xludf.DUMMYFUNCTION("""COMPUTED_VALUE"""),"2019/11/05 14:45:00")</f>
        <v>2019/11/05 14:45:00</v>
      </c>
      <c r="F13" s="49" t="str">
        <f>IFERROR(__xludf.DUMMYFUNCTION("""COMPUTED_VALUE"""),"573fd2e9-29bc-4dc8-93f9-847fb54ce7a1")</f>
        <v>573fd2e9-29bc-4dc8-93f9-847fb54ce7a1</v>
      </c>
      <c r="G13" s="52">
        <f>IFERROR(__xludf.DUMMYFUNCTION("""COMPUTED_VALUE"""),43774.0)</f>
        <v>43774</v>
      </c>
      <c r="H13" s="53">
        <f>IFERROR(__xludf.DUMMYFUNCTION("""COMPUTED_VALUE"""),0.6006944444444444)</f>
        <v>0.6006944444</v>
      </c>
      <c r="I13" s="52">
        <f>IFERROR(__xludf.DUMMYFUNCTION("""COMPUTED_VALUE"""),43774.0)</f>
        <v>43774</v>
      </c>
      <c r="J13" s="53">
        <f>IFERROR(__xludf.DUMMYFUNCTION("""COMPUTED_VALUE"""),0.6145833333333334)</f>
        <v>0.6145833333</v>
      </c>
      <c r="K13" s="53">
        <f t="shared" si="1"/>
        <v>0.01388888889</v>
      </c>
      <c r="L13" s="49" t="s">
        <v>109</v>
      </c>
      <c r="M13" s="87" t="s">
        <v>815</v>
      </c>
      <c r="N13" s="62" t="str">
        <f t="shared" si="2"/>
        <v>VT_5_11_573fd2e9-29bc-4dc8-93f9-847fb54ce7a1_000000_000000.mp4</v>
      </c>
      <c r="O13" s="48"/>
      <c r="P13" s="48"/>
      <c r="Q13" s="63"/>
      <c r="R13" s="49"/>
      <c r="S13" s="49"/>
      <c r="T13" s="49"/>
    </row>
    <row r="14">
      <c r="A14" s="49" t="str">
        <f>IFERROR(__xludf.DUMMYFUNCTION("""COMPUTED_VALUE"""),"Supporting entrepreneurs in new markets")</f>
        <v>Supporting entrepreneurs in new markets</v>
      </c>
      <c r="B14" s="49" t="str">
        <f>IFERROR(__xludf.DUMMYFUNCTION("""COMPUTED_VALUE"""),"Venture stage")</f>
        <v>Venture stage</v>
      </c>
      <c r="C14" s="51" t="str">
        <f>IFERROR(__xludf.DUMMYFUNCTION("""COMPUTED_VALUE"""),"Maya Horgan Famodu, Michael Schlein, Pedro Santos Vieira and Alara Basul")</f>
        <v>Maya Horgan Famodu, Michael Schlein, Pedro Santos Vieira and Alara Basul</v>
      </c>
      <c r="D14" s="49" t="str">
        <f>IFERROR(__xludf.DUMMYFUNCTION("""COMPUTED_VALUE"""),"2019/11/05 14:45:00")</f>
        <v>2019/11/05 14:45:00</v>
      </c>
      <c r="E14" s="49" t="str">
        <f>IFERROR(__xludf.DUMMYFUNCTION("""COMPUTED_VALUE"""),"2019/11/05 15:05:00")</f>
        <v>2019/11/05 15:05:00</v>
      </c>
      <c r="F14" s="49" t="str">
        <f>IFERROR(__xludf.DUMMYFUNCTION("""COMPUTED_VALUE"""),"03db29c5-bb66-4c68-ba88-726280dd5d62")</f>
        <v>03db29c5-bb66-4c68-ba88-726280dd5d62</v>
      </c>
      <c r="G14" s="52">
        <f>IFERROR(__xludf.DUMMYFUNCTION("""COMPUTED_VALUE"""),43774.0)</f>
        <v>43774</v>
      </c>
      <c r="H14" s="53">
        <f>IFERROR(__xludf.DUMMYFUNCTION("""COMPUTED_VALUE"""),0.6145833333333334)</f>
        <v>0.6145833333</v>
      </c>
      <c r="I14" s="52">
        <f>IFERROR(__xludf.DUMMYFUNCTION("""COMPUTED_VALUE"""),43774.0)</f>
        <v>43774</v>
      </c>
      <c r="J14" s="53">
        <f>IFERROR(__xludf.DUMMYFUNCTION("""COMPUTED_VALUE"""),0.6284722222222222)</f>
        <v>0.6284722222</v>
      </c>
      <c r="K14" s="53">
        <f t="shared" si="1"/>
        <v>0.01388888889</v>
      </c>
      <c r="L14" s="49" t="s">
        <v>109</v>
      </c>
      <c r="M14" s="87" t="s">
        <v>816</v>
      </c>
      <c r="N14" s="62" t="str">
        <f t="shared" si="2"/>
        <v>VT_5_12_03db29c5-bb66-4c68-ba88-726280dd5d62_000000_000000.mp4</v>
      </c>
      <c r="O14" s="48"/>
      <c r="P14" s="48"/>
      <c r="Q14" s="63"/>
      <c r="R14" s="49"/>
      <c r="S14" s="49"/>
      <c r="T14" s="49"/>
    </row>
    <row r="15">
      <c r="A15" s="49" t="str">
        <f>IFERROR(__xludf.DUMMYFUNCTION("""COMPUTED_VALUE"""),"Making it better: Good disruptions")</f>
        <v>Making it better: Good disruptions</v>
      </c>
      <c r="B15" s="49" t="str">
        <f>IFERROR(__xludf.DUMMYFUNCTION("""COMPUTED_VALUE"""),"Venture stage")</f>
        <v>Venture stage</v>
      </c>
      <c r="C15" s="51" t="str">
        <f>IFERROR(__xludf.DUMMYFUNCTION("""COMPUTED_VALUE"""),"Saul Klein, Christian Nagel, Jalak Jobanputra, Marcelo de Andrade and Caleb Silver")</f>
        <v>Saul Klein, Christian Nagel, Jalak Jobanputra, Marcelo de Andrade and Caleb Silver</v>
      </c>
      <c r="D15" s="49" t="str">
        <f>IFERROR(__xludf.DUMMYFUNCTION("""COMPUTED_VALUE"""),"2019/11/05 15:05:00")</f>
        <v>2019/11/05 15:05:00</v>
      </c>
      <c r="E15" s="49" t="str">
        <f>IFERROR(__xludf.DUMMYFUNCTION("""COMPUTED_VALUE"""),"2019/11/05 15:30:00")</f>
        <v>2019/11/05 15:30:00</v>
      </c>
      <c r="F15" s="49" t="str">
        <f>IFERROR(__xludf.DUMMYFUNCTION("""COMPUTED_VALUE"""),"072c453e-222b-4754-bf9a-7acbfc6777da")</f>
        <v>072c453e-222b-4754-bf9a-7acbfc6777da</v>
      </c>
      <c r="G15" s="52">
        <f>IFERROR(__xludf.DUMMYFUNCTION("""COMPUTED_VALUE"""),43774.0)</f>
        <v>43774</v>
      </c>
      <c r="H15" s="53">
        <f>IFERROR(__xludf.DUMMYFUNCTION("""COMPUTED_VALUE"""),0.6284722222222222)</f>
        <v>0.6284722222</v>
      </c>
      <c r="I15" s="52">
        <f>IFERROR(__xludf.DUMMYFUNCTION("""COMPUTED_VALUE"""),43774.0)</f>
        <v>43774</v>
      </c>
      <c r="J15" s="53">
        <f>IFERROR(__xludf.DUMMYFUNCTION("""COMPUTED_VALUE"""),0.6458333333333334)</f>
        <v>0.6458333333</v>
      </c>
      <c r="K15" s="53">
        <f t="shared" si="1"/>
        <v>0.01736111111</v>
      </c>
      <c r="L15" s="49" t="s">
        <v>111</v>
      </c>
      <c r="M15" s="87" t="s">
        <v>817</v>
      </c>
      <c r="N15" s="62" t="str">
        <f t="shared" si="2"/>
        <v>VT_5_13_072c453e-222b-4754-bf9a-7acbfc6777da_000000_000000.mp4</v>
      </c>
      <c r="O15" s="48"/>
      <c r="P15" s="48"/>
      <c r="Q15" s="63"/>
      <c r="R15" s="49"/>
      <c r="S15" s="49"/>
      <c r="T15" s="49"/>
    </row>
    <row r="16">
      <c r="A16" s="49" t="str">
        <f>IFERROR(__xludf.DUMMYFUNCTION("""COMPUTED_VALUE"""),"Banking on it: Why fintech is more than a safe bet")</f>
        <v>Banking on it: Why fintech is more than a safe bet</v>
      </c>
      <c r="B16" s="49" t="str">
        <f>IFERROR(__xludf.DUMMYFUNCTION("""COMPUTED_VALUE"""),"Venture stage")</f>
        <v>Venture stage</v>
      </c>
      <c r="C16" s="51" t="str">
        <f>IFERROR(__xludf.DUMMYFUNCTION("""COMPUTED_VALUE"""),"Michael Schlein, Donatella Callegaris and Callum Burroughs")</f>
        <v>Michael Schlein, Donatella Callegaris and Callum Burroughs</v>
      </c>
      <c r="D16" s="49" t="str">
        <f>IFERROR(__xludf.DUMMYFUNCTION("""COMPUTED_VALUE"""),"2019/11/05 15:30:00")</f>
        <v>2019/11/05 15:30:00</v>
      </c>
      <c r="E16" s="49" t="str">
        <f>IFERROR(__xludf.DUMMYFUNCTION("""COMPUTED_VALUE"""),"2019/11/05 15:50:00")</f>
        <v>2019/11/05 15:50:00</v>
      </c>
      <c r="F16" s="49" t="str">
        <f>IFERROR(__xludf.DUMMYFUNCTION("""COMPUTED_VALUE"""),"5100d185-ad11-4412-b62f-f5e2bf55b693")</f>
        <v>5100d185-ad11-4412-b62f-f5e2bf55b693</v>
      </c>
      <c r="G16" s="52">
        <f>IFERROR(__xludf.DUMMYFUNCTION("""COMPUTED_VALUE"""),43774.0)</f>
        <v>43774</v>
      </c>
      <c r="H16" s="53">
        <f>IFERROR(__xludf.DUMMYFUNCTION("""COMPUTED_VALUE"""),0.6458333333333334)</f>
        <v>0.6458333333</v>
      </c>
      <c r="I16" s="52">
        <f>IFERROR(__xludf.DUMMYFUNCTION("""COMPUTED_VALUE"""),43774.0)</f>
        <v>43774</v>
      </c>
      <c r="J16" s="53">
        <f>IFERROR(__xludf.DUMMYFUNCTION("""COMPUTED_VALUE"""),0.6597222222222222)</f>
        <v>0.6597222222</v>
      </c>
      <c r="K16" s="53">
        <f t="shared" si="1"/>
        <v>0.01388888889</v>
      </c>
      <c r="L16" s="49" t="s">
        <v>109</v>
      </c>
      <c r="M16" s="87" t="s">
        <v>818</v>
      </c>
      <c r="N16" s="62" t="str">
        <f t="shared" si="2"/>
        <v>VT_5_14_5100d185-ad11-4412-b62f-f5e2bf55b693_000000_000000.mp4</v>
      </c>
      <c r="O16" s="48"/>
      <c r="P16" s="48"/>
      <c r="Q16" s="63"/>
      <c r="R16" s="49"/>
      <c r="S16" s="49"/>
      <c r="T16" s="49"/>
    </row>
    <row r="17">
      <c r="A17" s="49" t="str">
        <f>IFERROR(__xludf.DUMMYFUNCTION("""COMPUTED_VALUE"""),"The hidden truth about European VC performance")</f>
        <v>The hidden truth about European VC performance</v>
      </c>
      <c r="B17" s="49" t="str">
        <f>IFERROR(__xludf.DUMMYFUNCTION("""COMPUTED_VALUE"""),"Venture stage")</f>
        <v>Venture stage</v>
      </c>
      <c r="C17" s="51" t="str">
        <f>IFERROR(__xludf.DUMMYFUNCTION("""COMPUTED_VALUE"""),"Bjorn Tremmerie")</f>
        <v>Bjorn Tremmerie</v>
      </c>
      <c r="D17" s="49" t="str">
        <f>IFERROR(__xludf.DUMMYFUNCTION("""COMPUTED_VALUE"""),"2019/11/05 15:50:00")</f>
        <v>2019/11/05 15:50:00</v>
      </c>
      <c r="E17" s="49" t="str">
        <f>IFERROR(__xludf.DUMMYFUNCTION("""COMPUTED_VALUE"""),"2019/11/05 16:05:00")</f>
        <v>2019/11/05 16:05:00</v>
      </c>
      <c r="F17" s="49" t="str">
        <f>IFERROR(__xludf.DUMMYFUNCTION("""COMPUTED_VALUE"""),"a4da4df1-0ae0-42b5-acd2-1a8caf8da7a3")</f>
        <v>a4da4df1-0ae0-42b5-acd2-1a8caf8da7a3</v>
      </c>
      <c r="G17" s="52">
        <f>IFERROR(__xludf.DUMMYFUNCTION("""COMPUTED_VALUE"""),43774.0)</f>
        <v>43774</v>
      </c>
      <c r="H17" s="53">
        <f>IFERROR(__xludf.DUMMYFUNCTION("""COMPUTED_VALUE"""),0.6597222222222222)</f>
        <v>0.6597222222</v>
      </c>
      <c r="I17" s="52">
        <f>IFERROR(__xludf.DUMMYFUNCTION("""COMPUTED_VALUE"""),43774.0)</f>
        <v>43774</v>
      </c>
      <c r="J17" s="53">
        <f>IFERROR(__xludf.DUMMYFUNCTION("""COMPUTED_VALUE"""),0.6701388888888888)</f>
        <v>0.6701388889</v>
      </c>
      <c r="K17" s="53">
        <f t="shared" si="1"/>
        <v>0.01041666667</v>
      </c>
      <c r="L17" s="49" t="s">
        <v>118</v>
      </c>
      <c r="M17" s="87" t="s">
        <v>819</v>
      </c>
      <c r="N17" s="62" t="str">
        <f t="shared" si="2"/>
        <v>VT_5_15_a4da4df1-0ae0-42b5-acd2-1a8caf8da7a3_000000_000000.mp4</v>
      </c>
      <c r="O17" s="48"/>
      <c r="P17" s="48"/>
      <c r="Q17" s="63"/>
      <c r="R17" s="49"/>
      <c r="S17" s="49"/>
      <c r="T17" s="49"/>
    </row>
    <row r="18">
      <c r="A18" s="49" t="str">
        <f>IFERROR(__xludf.DUMMYFUNCTION("""COMPUTED_VALUE"""),"Opening remarks")</f>
        <v>Opening remarks</v>
      </c>
      <c r="B18" s="49" t="str">
        <f>IFERROR(__xludf.DUMMYFUNCTION("""COMPUTED_VALUE"""),"Venture stage")</f>
        <v>Venture stage</v>
      </c>
      <c r="C18" s="51" t="str">
        <f>IFERROR(__xludf.DUMMYFUNCTION("""COMPUTED_VALUE"""),"Hugo Augusto")</f>
        <v>Hugo Augusto</v>
      </c>
      <c r="D18" s="49" t="str">
        <f>IFERROR(__xludf.DUMMYFUNCTION("""COMPUTED_VALUE"""),"2019/11/06 10:30:00")</f>
        <v>2019/11/06 10:30:00</v>
      </c>
      <c r="E18" s="49" t="str">
        <f>IFERROR(__xludf.DUMMYFUNCTION("""COMPUTED_VALUE"""),"2019/11/06 10:45:00")</f>
        <v>2019/11/06 10:45:00</v>
      </c>
      <c r="F18" s="49" t="str">
        <f>IFERROR(__xludf.DUMMYFUNCTION("""COMPUTED_VALUE"""),"35e59c51-246e-4008-bbf5-1cffdb271cd0")</f>
        <v>35e59c51-246e-4008-bbf5-1cffdb271cd0</v>
      </c>
      <c r="G18" s="52">
        <f>IFERROR(__xludf.DUMMYFUNCTION("""COMPUTED_VALUE"""),43775.0)</f>
        <v>43775</v>
      </c>
      <c r="H18" s="53">
        <f>IFERROR(__xludf.DUMMYFUNCTION("""COMPUTED_VALUE"""),0.4375)</f>
        <v>0.4375</v>
      </c>
      <c r="I18" s="52">
        <f>IFERROR(__xludf.DUMMYFUNCTION("""COMPUTED_VALUE"""),43775.0)</f>
        <v>43775</v>
      </c>
      <c r="J18" s="53">
        <f>IFERROR(__xludf.DUMMYFUNCTION("""COMPUTED_VALUE"""),0.4479166666666667)</f>
        <v>0.4479166667</v>
      </c>
      <c r="K18" s="53">
        <f t="shared" si="1"/>
        <v>0.01041666667</v>
      </c>
      <c r="L18" s="49" t="s">
        <v>118</v>
      </c>
      <c r="M18" s="87" t="s">
        <v>820</v>
      </c>
      <c r="N18" s="62" t="str">
        <f t="shared" si="2"/>
        <v>VT_6_1_35e59c51-246e-4008-bbf5-1cffdb271cd0_000000_000000.mp4</v>
      </c>
      <c r="O18" s="48"/>
      <c r="P18" s="48"/>
      <c r="Q18" s="63"/>
      <c r="R18" s="49"/>
      <c r="S18" s="49"/>
      <c r="T18" s="49"/>
    </row>
    <row r="19">
      <c r="A19" s="49" t="str">
        <f>IFERROR(__xludf.DUMMYFUNCTION("""COMPUTED_VALUE"""),"Nail it before you scale it")</f>
        <v>Nail it before you scale it</v>
      </c>
      <c r="B19" s="49" t="str">
        <f>IFERROR(__xludf.DUMMYFUNCTION("""COMPUTED_VALUE"""),"Venture stage")</f>
        <v>Venture stage</v>
      </c>
      <c r="C19" s="51" t="str">
        <f>IFERROR(__xludf.DUMMYFUNCTION("""COMPUTED_VALUE"""),"George Henry, Anton Waitz, Ricardo Sequerra and Karen McCormick")</f>
        <v>George Henry, Anton Waitz, Ricardo Sequerra and Karen McCormick</v>
      </c>
      <c r="D19" s="49" t="str">
        <f>IFERROR(__xludf.DUMMYFUNCTION("""COMPUTED_VALUE"""),"2019/11/06 10:45:00")</f>
        <v>2019/11/06 10:45:00</v>
      </c>
      <c r="E19" s="49" t="str">
        <f>IFERROR(__xludf.DUMMYFUNCTION("""COMPUTED_VALUE"""),"2019/11/06 11:05:00")</f>
        <v>2019/11/06 11:05:00</v>
      </c>
      <c r="F19" s="49" t="str">
        <f>IFERROR(__xludf.DUMMYFUNCTION("""COMPUTED_VALUE"""),"d28a2173-86b5-4962-9040-6b00522abdf3")</f>
        <v>d28a2173-86b5-4962-9040-6b00522abdf3</v>
      </c>
      <c r="G19" s="52">
        <f>IFERROR(__xludf.DUMMYFUNCTION("""COMPUTED_VALUE"""),43775.0)</f>
        <v>43775</v>
      </c>
      <c r="H19" s="53">
        <f>IFERROR(__xludf.DUMMYFUNCTION("""COMPUTED_VALUE"""),0.4479166666666667)</f>
        <v>0.4479166667</v>
      </c>
      <c r="I19" s="52">
        <f>IFERROR(__xludf.DUMMYFUNCTION("""COMPUTED_VALUE"""),43775.0)</f>
        <v>43775</v>
      </c>
      <c r="J19" s="53">
        <f>IFERROR(__xludf.DUMMYFUNCTION("""COMPUTED_VALUE"""),0.4618055555555556)</f>
        <v>0.4618055556</v>
      </c>
      <c r="K19" s="53">
        <f t="shared" si="1"/>
        <v>0.01388888889</v>
      </c>
      <c r="L19" s="49" t="s">
        <v>109</v>
      </c>
      <c r="M19" s="87" t="s">
        <v>821</v>
      </c>
      <c r="N19" s="62" t="str">
        <f t="shared" si="2"/>
        <v>VT_6_2_d28a2173-86b5-4962-9040-6b00522abdf3_000000_000000.mp4</v>
      </c>
      <c r="O19" s="48"/>
      <c r="P19" s="48"/>
      <c r="Q19" s="63"/>
      <c r="R19" s="49"/>
      <c r="S19" s="49"/>
      <c r="T19" s="49"/>
    </row>
    <row r="20">
      <c r="A20" s="49" t="str">
        <f>IFERROR(__xludf.DUMMYFUNCTION("""COMPUTED_VALUE"""),"User friendly opportunities in enterprise technology")</f>
        <v>User friendly opportunities in enterprise technology</v>
      </c>
      <c r="B20" s="49" t="str">
        <f>IFERROR(__xludf.DUMMYFUNCTION("""COMPUTED_VALUE"""),"Venture stage")</f>
        <v>Venture stage</v>
      </c>
      <c r="C20" s="51" t="str">
        <f>IFERROR(__xludf.DUMMYFUNCTION("""COMPUTED_VALUE"""),"Alex Kayyal, Reza Malekzadeh, Jai Das and Alara Basul")</f>
        <v>Alex Kayyal, Reza Malekzadeh, Jai Das and Alara Basul</v>
      </c>
      <c r="D20" s="49" t="str">
        <f>IFERROR(__xludf.DUMMYFUNCTION("""COMPUTED_VALUE"""),"2019/11/06 11:05:00")</f>
        <v>2019/11/06 11:05:00</v>
      </c>
      <c r="E20" s="49" t="str">
        <f>IFERROR(__xludf.DUMMYFUNCTION("""COMPUTED_VALUE"""),"2019/11/06 11:25:00")</f>
        <v>2019/11/06 11:25:00</v>
      </c>
      <c r="F20" s="49" t="str">
        <f>IFERROR(__xludf.DUMMYFUNCTION("""COMPUTED_VALUE"""),"9f9840c1-3115-4c10-9cb0-f2e7ee15f39b")</f>
        <v>9f9840c1-3115-4c10-9cb0-f2e7ee15f39b</v>
      </c>
      <c r="G20" s="52">
        <f>IFERROR(__xludf.DUMMYFUNCTION("""COMPUTED_VALUE"""),43775.0)</f>
        <v>43775</v>
      </c>
      <c r="H20" s="53">
        <f>IFERROR(__xludf.DUMMYFUNCTION("""COMPUTED_VALUE"""),0.4618055555555556)</f>
        <v>0.4618055556</v>
      </c>
      <c r="I20" s="52">
        <f>IFERROR(__xludf.DUMMYFUNCTION("""COMPUTED_VALUE"""),43775.0)</f>
        <v>43775</v>
      </c>
      <c r="J20" s="53">
        <f>IFERROR(__xludf.DUMMYFUNCTION("""COMPUTED_VALUE"""),0.4756944444444444)</f>
        <v>0.4756944444</v>
      </c>
      <c r="K20" s="53">
        <f t="shared" si="1"/>
        <v>0.01388888889</v>
      </c>
      <c r="L20" s="49" t="s">
        <v>109</v>
      </c>
      <c r="M20" s="87" t="s">
        <v>822</v>
      </c>
      <c r="N20" s="62" t="str">
        <f t="shared" si="2"/>
        <v>VT_6_3_9f9840c1-3115-4c10-9cb0-f2e7ee15f39b_000000_000000.mp4</v>
      </c>
      <c r="O20" s="48"/>
      <c r="P20" s="48"/>
      <c r="Q20" s="63"/>
      <c r="R20" s="49"/>
      <c r="S20" s="49"/>
      <c r="T20" s="49"/>
    </row>
    <row r="21">
      <c r="A21" s="49" t="str">
        <f>IFERROR(__xludf.DUMMYFUNCTION("""COMPUTED_VALUE"""),"Building and funding your first idea")</f>
        <v>Building and funding your first idea</v>
      </c>
      <c r="B21" s="49" t="str">
        <f>IFERROR(__xludf.DUMMYFUNCTION("""COMPUTED_VALUE"""),"Venture stage")</f>
        <v>Venture stage</v>
      </c>
      <c r="C21" s="51" t="str">
        <f>IFERROR(__xludf.DUMMYFUNCTION("""COMPUTED_VALUE"""),"Hussein Kanji, Nic Brisbourne, Francesca Warner and Britta Muzyk-Tikovsky")</f>
        <v>Hussein Kanji, Nic Brisbourne, Francesca Warner and Britta Muzyk-Tikovsky</v>
      </c>
      <c r="D21" s="49" t="str">
        <f>IFERROR(__xludf.DUMMYFUNCTION("""COMPUTED_VALUE"""),"2019/11/06 11:25:00")</f>
        <v>2019/11/06 11:25:00</v>
      </c>
      <c r="E21" s="49" t="str">
        <f>IFERROR(__xludf.DUMMYFUNCTION("""COMPUTED_VALUE"""),"2019/11/06 11:45:00")</f>
        <v>2019/11/06 11:45:00</v>
      </c>
      <c r="F21" s="49" t="str">
        <f>IFERROR(__xludf.DUMMYFUNCTION("""COMPUTED_VALUE"""),"016337c4-5fff-43e8-97b4-b781e3bd9939")</f>
        <v>016337c4-5fff-43e8-97b4-b781e3bd9939</v>
      </c>
      <c r="G21" s="52">
        <f>IFERROR(__xludf.DUMMYFUNCTION("""COMPUTED_VALUE"""),43775.0)</f>
        <v>43775</v>
      </c>
      <c r="H21" s="53">
        <f>IFERROR(__xludf.DUMMYFUNCTION("""COMPUTED_VALUE"""),0.4756944444444444)</f>
        <v>0.4756944444</v>
      </c>
      <c r="I21" s="52">
        <f>IFERROR(__xludf.DUMMYFUNCTION("""COMPUTED_VALUE"""),43775.0)</f>
        <v>43775</v>
      </c>
      <c r="J21" s="53">
        <f>IFERROR(__xludf.DUMMYFUNCTION("""COMPUTED_VALUE"""),0.4895833333333333)</f>
        <v>0.4895833333</v>
      </c>
      <c r="K21" s="53">
        <f t="shared" si="1"/>
        <v>0.01388888889</v>
      </c>
      <c r="L21" s="49" t="s">
        <v>109</v>
      </c>
      <c r="M21" s="87" t="s">
        <v>823</v>
      </c>
      <c r="N21" s="62" t="str">
        <f t="shared" si="2"/>
        <v>VT_6_4_016337c4-5fff-43e8-97b4-b781e3bd9939_000000_000000.mp4</v>
      </c>
      <c r="O21" s="48"/>
      <c r="P21" s="48"/>
      <c r="Q21" s="63"/>
      <c r="R21" s="49"/>
      <c r="S21" s="49"/>
      <c r="T21" s="49"/>
    </row>
    <row r="22">
      <c r="A22" s="49" t="str">
        <f>IFERROR(__xludf.DUMMYFUNCTION("""COMPUTED_VALUE"""),"Growing pains: How to scale your team")</f>
        <v>Growing pains: How to scale your team</v>
      </c>
      <c r="B22" s="49" t="str">
        <f>IFERROR(__xludf.DUMMYFUNCTION("""COMPUTED_VALUE"""),"Venture stage")</f>
        <v>Venture stage</v>
      </c>
      <c r="C22" s="51" t="str">
        <f>IFERROR(__xludf.DUMMYFUNCTION("""COMPUTED_VALUE"""),"Jens Lapinski, Jon Soberg, Gerald Parloiu and Jordan French")</f>
        <v>Jens Lapinski, Jon Soberg, Gerald Parloiu and Jordan French</v>
      </c>
      <c r="D22" s="49" t="str">
        <f>IFERROR(__xludf.DUMMYFUNCTION("""COMPUTED_VALUE"""),"2019/11/06 11:45:00")</f>
        <v>2019/11/06 11:45:00</v>
      </c>
      <c r="E22" s="49" t="str">
        <f>IFERROR(__xludf.DUMMYFUNCTION("""COMPUTED_VALUE"""),"2019/11/06 12:10:00")</f>
        <v>2019/11/06 12:10:00</v>
      </c>
      <c r="F22" s="49" t="str">
        <f>IFERROR(__xludf.DUMMYFUNCTION("""COMPUTED_VALUE"""),"78db2eae-9679-4795-9105-0da38b83f2c6")</f>
        <v>78db2eae-9679-4795-9105-0da38b83f2c6</v>
      </c>
      <c r="G22" s="52">
        <f>IFERROR(__xludf.DUMMYFUNCTION("""COMPUTED_VALUE"""),43775.0)</f>
        <v>43775</v>
      </c>
      <c r="H22" s="53">
        <f>IFERROR(__xludf.DUMMYFUNCTION("""COMPUTED_VALUE"""),0.4895833333333333)</f>
        <v>0.4895833333</v>
      </c>
      <c r="I22" s="52">
        <f>IFERROR(__xludf.DUMMYFUNCTION("""COMPUTED_VALUE"""),43775.0)</f>
        <v>43775</v>
      </c>
      <c r="J22" s="53">
        <f>IFERROR(__xludf.DUMMYFUNCTION("""COMPUTED_VALUE"""),0.5069444444444444)</f>
        <v>0.5069444444</v>
      </c>
      <c r="K22" s="53">
        <f t="shared" si="1"/>
        <v>0.01736111111</v>
      </c>
      <c r="L22" s="49" t="s">
        <v>111</v>
      </c>
      <c r="M22" s="87" t="s">
        <v>824</v>
      </c>
      <c r="N22" s="62" t="str">
        <f t="shared" si="2"/>
        <v>VT_6_5_78db2eae-9679-4795-9105-0da38b83f2c6_000000_000000.mp4</v>
      </c>
      <c r="O22" s="48"/>
      <c r="P22" s="48"/>
      <c r="Q22" s="63"/>
      <c r="R22" s="49"/>
      <c r="S22" s="49"/>
      <c r="T22" s="49"/>
    </row>
    <row r="23">
      <c r="A23" s="49" t="str">
        <f>IFERROR(__xludf.DUMMYFUNCTION("""COMPUTED_VALUE"""),"Adventures in cannabusiness")</f>
        <v>Adventures in cannabusiness</v>
      </c>
      <c r="B23" s="49" t="str">
        <f>IFERROR(__xludf.DUMMYFUNCTION("""COMPUTED_VALUE"""),"Venture stage")</f>
        <v>Venture stage</v>
      </c>
      <c r="C23" s="51" t="str">
        <f>IFERROR(__xludf.DUMMYFUNCTION("""COMPUTED_VALUE"""),"Tahira Rehmatullah, Emily Paxhia and Anne Gaviola")</f>
        <v>Tahira Rehmatullah, Emily Paxhia and Anne Gaviola</v>
      </c>
      <c r="D23" s="49" t="str">
        <f>IFERROR(__xludf.DUMMYFUNCTION("""COMPUTED_VALUE"""),"2019/11/06 12:10:00")</f>
        <v>2019/11/06 12:10:00</v>
      </c>
      <c r="E23" s="49" t="str">
        <f>IFERROR(__xludf.DUMMYFUNCTION("""COMPUTED_VALUE"""),"2019/11/06 12:30:00")</f>
        <v>2019/11/06 12:30:00</v>
      </c>
      <c r="F23" s="49" t="str">
        <f>IFERROR(__xludf.DUMMYFUNCTION("""COMPUTED_VALUE"""),"827d821c-6e8c-472f-b249-c315432ad50e")</f>
        <v>827d821c-6e8c-472f-b249-c315432ad50e</v>
      </c>
      <c r="G23" s="52">
        <f>IFERROR(__xludf.DUMMYFUNCTION("""COMPUTED_VALUE"""),43775.0)</f>
        <v>43775</v>
      </c>
      <c r="H23" s="53">
        <f>IFERROR(__xludf.DUMMYFUNCTION("""COMPUTED_VALUE"""),0.5069444444444444)</f>
        <v>0.5069444444</v>
      </c>
      <c r="I23" s="52">
        <f>IFERROR(__xludf.DUMMYFUNCTION("""COMPUTED_VALUE"""),43775.0)</f>
        <v>43775</v>
      </c>
      <c r="J23" s="53">
        <f>IFERROR(__xludf.DUMMYFUNCTION("""COMPUTED_VALUE"""),0.5208333333333334)</f>
        <v>0.5208333333</v>
      </c>
      <c r="K23" s="53">
        <f t="shared" si="1"/>
        <v>0.01388888889</v>
      </c>
      <c r="L23" s="49" t="s">
        <v>109</v>
      </c>
      <c r="M23" s="87" t="s">
        <v>825</v>
      </c>
      <c r="N23" s="62" t="str">
        <f t="shared" si="2"/>
        <v>VT_6_6_827d821c-6e8c-472f-b249-c315432ad50e_000000_000000.mp4</v>
      </c>
      <c r="O23" s="48"/>
      <c r="P23" s="48"/>
      <c r="Q23" s="63"/>
      <c r="R23" s="49"/>
      <c r="S23" s="49"/>
      <c r="T23" s="49"/>
    </row>
    <row r="24">
      <c r="A24" s="49" t="str">
        <f>IFERROR(__xludf.DUMMYFUNCTION("""COMPUTED_VALUE"""),"The perks of getting in early")</f>
        <v>The perks of getting in early</v>
      </c>
      <c r="B24" s="49" t="str">
        <f>IFERROR(__xludf.DUMMYFUNCTION("""COMPUTED_VALUE"""),"Venture stage")</f>
        <v>Venture stage</v>
      </c>
      <c r="C24" s="51" t="str">
        <f>IFERROR(__xludf.DUMMYFUNCTION("""COMPUTED_VALUE"""),"Pär-Jörgen Pärson and Arnaud Bonzom")</f>
        <v>Pär-Jörgen Pärson and Arnaud Bonzom</v>
      </c>
      <c r="D24" s="49" t="str">
        <f>IFERROR(__xludf.DUMMYFUNCTION("""COMPUTED_VALUE"""),"2019/11/06 12:30:00")</f>
        <v>2019/11/06 12:30:00</v>
      </c>
      <c r="E24" s="49" t="str">
        <f>IFERROR(__xludf.DUMMYFUNCTION("""COMPUTED_VALUE"""),"2019/11/06 12:50:00")</f>
        <v>2019/11/06 12:50:00</v>
      </c>
      <c r="F24" s="49" t="str">
        <f>IFERROR(__xludf.DUMMYFUNCTION("""COMPUTED_VALUE"""),"af7641e2-1749-45fe-bb8b-1a3f6220dfc7")</f>
        <v>af7641e2-1749-45fe-bb8b-1a3f6220dfc7</v>
      </c>
      <c r="G24" s="52">
        <f>IFERROR(__xludf.DUMMYFUNCTION("""COMPUTED_VALUE"""),43775.0)</f>
        <v>43775</v>
      </c>
      <c r="H24" s="53">
        <f>IFERROR(__xludf.DUMMYFUNCTION("""COMPUTED_VALUE"""),0.5208333333333334)</f>
        <v>0.5208333333</v>
      </c>
      <c r="I24" s="52">
        <f>IFERROR(__xludf.DUMMYFUNCTION("""COMPUTED_VALUE"""),43775.0)</f>
        <v>43775</v>
      </c>
      <c r="J24" s="53">
        <f>IFERROR(__xludf.DUMMYFUNCTION("""COMPUTED_VALUE"""),0.5347222222222222)</f>
        <v>0.5347222222</v>
      </c>
      <c r="K24" s="53">
        <f t="shared" si="1"/>
        <v>0.01388888889</v>
      </c>
      <c r="L24" s="49" t="s">
        <v>109</v>
      </c>
      <c r="M24" s="87" t="s">
        <v>826</v>
      </c>
      <c r="N24" s="62" t="str">
        <f t="shared" si="2"/>
        <v>VT_6_7_af7641e2-1749-45fe-bb8b-1a3f6220dfc7_000000_000000.mp4</v>
      </c>
      <c r="O24" s="48"/>
      <c r="P24" s="48"/>
      <c r="Q24" s="63"/>
      <c r="R24" s="49"/>
      <c r="S24" s="49"/>
      <c r="T24" s="49"/>
    </row>
    <row r="25">
      <c r="A25" s="49" t="str">
        <f>IFERROR(__xludf.DUMMYFUNCTION("""COMPUTED_VALUE"""),"Lunch break")</f>
        <v>Lunch break</v>
      </c>
      <c r="B25" s="49" t="str">
        <f>IFERROR(__xludf.DUMMYFUNCTION("""COMPUTED_VALUE"""),"Venture stage")</f>
        <v>Venture stage</v>
      </c>
      <c r="C25" s="51" t="str">
        <f>IFERROR(__xludf.DUMMYFUNCTION("""COMPUTED_VALUE"""),"")</f>
        <v/>
      </c>
      <c r="D25" s="49" t="str">
        <f>IFERROR(__xludf.DUMMYFUNCTION("""COMPUTED_VALUE"""),"2019/11/06 12:50:00")</f>
        <v>2019/11/06 12:50:00</v>
      </c>
      <c r="E25" s="49" t="str">
        <f>IFERROR(__xludf.DUMMYFUNCTION("""COMPUTED_VALUE"""),"2019/11/06 13:35:00")</f>
        <v>2019/11/06 13:35:00</v>
      </c>
      <c r="F25" s="49" t="str">
        <f>IFERROR(__xludf.DUMMYFUNCTION("""COMPUTED_VALUE"""),"a730444c-ce1e-47d8-8335-ab2458f25d2e")</f>
        <v>a730444c-ce1e-47d8-8335-ab2458f25d2e</v>
      </c>
      <c r="G25" s="52">
        <f>IFERROR(__xludf.DUMMYFUNCTION("""COMPUTED_VALUE"""),43775.0)</f>
        <v>43775</v>
      </c>
      <c r="H25" s="53">
        <f>IFERROR(__xludf.DUMMYFUNCTION("""COMPUTED_VALUE"""),0.5347222222222222)</f>
        <v>0.5347222222</v>
      </c>
      <c r="I25" s="52">
        <f>IFERROR(__xludf.DUMMYFUNCTION("""COMPUTED_VALUE"""),43775.0)</f>
        <v>43775</v>
      </c>
      <c r="J25" s="53">
        <f>IFERROR(__xludf.DUMMYFUNCTION("""COMPUTED_VALUE"""),0.5659722222222222)</f>
        <v>0.5659722222</v>
      </c>
      <c r="K25" s="53">
        <f t="shared" si="1"/>
        <v>0.03125</v>
      </c>
      <c r="L25" s="49" t="s">
        <v>127</v>
      </c>
      <c r="M25" s="49"/>
      <c r="N25" s="62" t="str">
        <f t="shared" si="2"/>
        <v>_a730444c-ce1e-47d8-8335-ab2458f25d2e_000000_000000.mp4</v>
      </c>
      <c r="O25" s="48"/>
      <c r="P25" s="48"/>
      <c r="Q25" s="63"/>
      <c r="R25" s="49"/>
      <c r="S25" s="49"/>
      <c r="T25" s="49"/>
    </row>
    <row r="26">
      <c r="A26" s="49" t="str">
        <f>IFERROR(__xludf.DUMMYFUNCTION("""COMPUTED_VALUE"""),"Opening remarks")</f>
        <v>Opening remarks</v>
      </c>
      <c r="B26" s="49" t="str">
        <f>IFERROR(__xludf.DUMMYFUNCTION("""COMPUTED_VALUE"""),"Venture stage")</f>
        <v>Venture stage</v>
      </c>
      <c r="C26" s="51" t="str">
        <f>IFERROR(__xludf.DUMMYFUNCTION("""COMPUTED_VALUE"""),"Yamilette Cano")</f>
        <v>Yamilette Cano</v>
      </c>
      <c r="D26" s="49" t="str">
        <f>IFERROR(__xludf.DUMMYFUNCTION("""COMPUTED_VALUE"""),"2019/11/06 13:35:00")</f>
        <v>2019/11/06 13:35:00</v>
      </c>
      <c r="E26" s="49" t="str">
        <f>IFERROR(__xludf.DUMMYFUNCTION("""COMPUTED_VALUE"""),"2019/11/06 13:45:00")</f>
        <v>2019/11/06 13:45:00</v>
      </c>
      <c r="F26" s="49" t="str">
        <f>IFERROR(__xludf.DUMMYFUNCTION("""COMPUTED_VALUE"""),"52f8302a-b9fc-4eab-bc24-3bfcd49e430d")</f>
        <v>52f8302a-b9fc-4eab-bc24-3bfcd49e430d</v>
      </c>
      <c r="G26" s="52">
        <f>IFERROR(__xludf.DUMMYFUNCTION("""COMPUTED_VALUE"""),43775.0)</f>
        <v>43775</v>
      </c>
      <c r="H26" s="53">
        <f>IFERROR(__xludf.DUMMYFUNCTION("""COMPUTED_VALUE"""),0.5659722222222222)</f>
        <v>0.5659722222</v>
      </c>
      <c r="I26" s="52">
        <f>IFERROR(__xludf.DUMMYFUNCTION("""COMPUTED_VALUE"""),43775.0)</f>
        <v>43775</v>
      </c>
      <c r="J26" s="53">
        <f>IFERROR(__xludf.DUMMYFUNCTION("""COMPUTED_VALUE"""),0.5729166666666666)</f>
        <v>0.5729166667</v>
      </c>
      <c r="K26" s="53">
        <f t="shared" si="1"/>
        <v>0.006944444444</v>
      </c>
      <c r="L26" s="49" t="s">
        <v>122</v>
      </c>
      <c r="M26" s="87" t="s">
        <v>827</v>
      </c>
      <c r="N26" s="62" t="str">
        <f t="shared" si="2"/>
        <v>VT_6_8_52f8302a-b9fc-4eab-bc24-3bfcd49e430d_000000_000000.mp4</v>
      </c>
      <c r="O26" s="48"/>
      <c r="P26" s="48"/>
      <c r="Q26" s="63"/>
      <c r="R26" s="49"/>
      <c r="S26" s="49"/>
      <c r="T26" s="49"/>
    </row>
    <row r="27">
      <c r="A27" s="49" t="str">
        <f>IFERROR(__xludf.DUMMYFUNCTION("""COMPUTED_VALUE"""),"Which tech to back tomorrow")</f>
        <v>Which tech to back tomorrow</v>
      </c>
      <c r="B27" s="49" t="str">
        <f>IFERROR(__xludf.DUMMYFUNCTION("""COMPUTED_VALUE"""),"Venture stage")</f>
        <v>Venture stage</v>
      </c>
      <c r="C27" s="51" t="str">
        <f>IFERROR(__xludf.DUMMYFUNCTION("""COMPUTED_VALUE"""),"Eric Martineau Fortin, Jose Del Barrio, Merav Weinryb, Lars Jornow and Amy Thomson")</f>
        <v>Eric Martineau Fortin, Jose Del Barrio, Merav Weinryb, Lars Jornow and Amy Thomson</v>
      </c>
      <c r="D27" s="49" t="str">
        <f>IFERROR(__xludf.DUMMYFUNCTION("""COMPUTED_VALUE"""),"2019/11/06 13:45:00")</f>
        <v>2019/11/06 13:45:00</v>
      </c>
      <c r="E27" s="49" t="str">
        <f>IFERROR(__xludf.DUMMYFUNCTION("""COMPUTED_VALUE"""),"2019/11/06 14:05:00")</f>
        <v>2019/11/06 14:05:00</v>
      </c>
      <c r="F27" s="49" t="str">
        <f>IFERROR(__xludf.DUMMYFUNCTION("""COMPUTED_VALUE"""),"801ea847-c969-49d5-adfb-95d5a10595d7")</f>
        <v>801ea847-c969-49d5-adfb-95d5a10595d7</v>
      </c>
      <c r="G27" s="52">
        <f>IFERROR(__xludf.DUMMYFUNCTION("""COMPUTED_VALUE"""),43775.0)</f>
        <v>43775</v>
      </c>
      <c r="H27" s="53">
        <f>IFERROR(__xludf.DUMMYFUNCTION("""COMPUTED_VALUE"""),0.5729166666666666)</f>
        <v>0.5729166667</v>
      </c>
      <c r="I27" s="52">
        <f>IFERROR(__xludf.DUMMYFUNCTION("""COMPUTED_VALUE"""),43775.0)</f>
        <v>43775</v>
      </c>
      <c r="J27" s="53">
        <f>IFERROR(__xludf.DUMMYFUNCTION("""COMPUTED_VALUE"""),0.5868055555555556)</f>
        <v>0.5868055556</v>
      </c>
      <c r="K27" s="53">
        <f t="shared" si="1"/>
        <v>0.01388888889</v>
      </c>
      <c r="L27" s="49" t="s">
        <v>109</v>
      </c>
      <c r="M27" s="87" t="s">
        <v>828</v>
      </c>
      <c r="N27" s="62" t="str">
        <f t="shared" si="2"/>
        <v>VT_6_9_801ea847-c969-49d5-adfb-95d5a10595d7_000000_000000.mp4</v>
      </c>
      <c r="O27" s="48"/>
      <c r="P27" s="48"/>
      <c r="Q27" s="63"/>
      <c r="R27" s="49"/>
      <c r="S27" s="49"/>
      <c r="T27" s="49"/>
    </row>
    <row r="28">
      <c r="A28" s="49" t="str">
        <f>IFERROR(__xludf.DUMMYFUNCTION("""COMPUTED_VALUE"""),"Bradley Twohig of Lightspeed in conversation")</f>
        <v>Bradley Twohig of Lightspeed in conversation</v>
      </c>
      <c r="B28" s="49" t="str">
        <f>IFERROR(__xludf.DUMMYFUNCTION("""COMPUTED_VALUE"""),"Venture stage")</f>
        <v>Venture stage</v>
      </c>
      <c r="C28" s="51" t="str">
        <f>IFERROR(__xludf.DUMMYFUNCTION("""COMPUTED_VALUE"""),"Bradley Twohig and Frank Caufield")</f>
        <v>Bradley Twohig and Frank Caufield</v>
      </c>
      <c r="D28" s="49" t="str">
        <f>IFERROR(__xludf.DUMMYFUNCTION("""COMPUTED_VALUE"""),"2019/11/06 14:05:00")</f>
        <v>2019/11/06 14:05:00</v>
      </c>
      <c r="E28" s="49" t="str">
        <f>IFERROR(__xludf.DUMMYFUNCTION("""COMPUTED_VALUE"""),"2019/11/06 14:25:00")</f>
        <v>2019/11/06 14:25:00</v>
      </c>
      <c r="F28" s="49" t="str">
        <f>IFERROR(__xludf.DUMMYFUNCTION("""COMPUTED_VALUE"""),"0d7726a8-82d4-454b-91d9-bcdd50bc23f5")</f>
        <v>0d7726a8-82d4-454b-91d9-bcdd50bc23f5</v>
      </c>
      <c r="G28" s="52">
        <f>IFERROR(__xludf.DUMMYFUNCTION("""COMPUTED_VALUE"""),43775.0)</f>
        <v>43775</v>
      </c>
      <c r="H28" s="53">
        <f>IFERROR(__xludf.DUMMYFUNCTION("""COMPUTED_VALUE"""),0.5868055555555556)</f>
        <v>0.5868055556</v>
      </c>
      <c r="I28" s="52">
        <f>IFERROR(__xludf.DUMMYFUNCTION("""COMPUTED_VALUE"""),43775.0)</f>
        <v>43775</v>
      </c>
      <c r="J28" s="53">
        <f>IFERROR(__xludf.DUMMYFUNCTION("""COMPUTED_VALUE"""),0.6006944444444444)</f>
        <v>0.6006944444</v>
      </c>
      <c r="K28" s="53">
        <f t="shared" si="1"/>
        <v>0.01388888889</v>
      </c>
      <c r="L28" s="49" t="s">
        <v>109</v>
      </c>
      <c r="M28" s="87" t="s">
        <v>829</v>
      </c>
      <c r="N28" s="62" t="str">
        <f t="shared" si="2"/>
        <v>VT_6_10_0d7726a8-82d4-454b-91d9-bcdd50bc23f5_000000_000000.mp4</v>
      </c>
      <c r="O28" s="48"/>
      <c r="P28" s="48"/>
      <c r="Q28" s="63"/>
      <c r="R28" s="49"/>
      <c r="S28" s="49"/>
      <c r="T28" s="49"/>
    </row>
    <row r="29">
      <c r="A29" s="49" t="str">
        <f>IFERROR(__xludf.DUMMYFUNCTION("""COMPUTED_VALUE"""),"The new marketplaces?")</f>
        <v>The new marketplaces?</v>
      </c>
      <c r="B29" s="49" t="str">
        <f>IFERROR(__xludf.DUMMYFUNCTION("""COMPUTED_VALUE"""),"Venture stage")</f>
        <v>Venture stage</v>
      </c>
      <c r="C29" s="51" t="str">
        <f>IFERROR(__xludf.DUMMYFUNCTION("""COMPUTED_VALUE"""),"Marlon Nichols, Fabrice Grinda and Laurel Touby")</f>
        <v>Marlon Nichols, Fabrice Grinda and Laurel Touby</v>
      </c>
      <c r="D29" s="49" t="str">
        <f>IFERROR(__xludf.DUMMYFUNCTION("""COMPUTED_VALUE"""),"2019/11/06 14:25:00")</f>
        <v>2019/11/06 14:25:00</v>
      </c>
      <c r="E29" s="49" t="str">
        <f>IFERROR(__xludf.DUMMYFUNCTION("""COMPUTED_VALUE"""),"2019/11/06 14:45:00")</f>
        <v>2019/11/06 14:45:00</v>
      </c>
      <c r="F29" s="49" t="str">
        <f>IFERROR(__xludf.DUMMYFUNCTION("""COMPUTED_VALUE"""),"1bee5c68-1665-41fb-a423-9a0849920940")</f>
        <v>1bee5c68-1665-41fb-a423-9a0849920940</v>
      </c>
      <c r="G29" s="52">
        <f>IFERROR(__xludf.DUMMYFUNCTION("""COMPUTED_VALUE"""),43775.0)</f>
        <v>43775</v>
      </c>
      <c r="H29" s="53">
        <f>IFERROR(__xludf.DUMMYFUNCTION("""COMPUTED_VALUE"""),0.6006944444444444)</f>
        <v>0.6006944444</v>
      </c>
      <c r="I29" s="52">
        <f>IFERROR(__xludf.DUMMYFUNCTION("""COMPUTED_VALUE"""),43775.0)</f>
        <v>43775</v>
      </c>
      <c r="J29" s="53">
        <f>IFERROR(__xludf.DUMMYFUNCTION("""COMPUTED_VALUE"""),0.6145833333333334)</f>
        <v>0.6145833333</v>
      </c>
      <c r="K29" s="53">
        <f t="shared" si="1"/>
        <v>0.01388888889</v>
      </c>
      <c r="L29" s="49" t="s">
        <v>109</v>
      </c>
      <c r="M29" s="87" t="s">
        <v>830</v>
      </c>
      <c r="N29" s="62" t="str">
        <f t="shared" si="2"/>
        <v>VT_6_11_1bee5c68-1665-41fb-a423-9a0849920940_000000_000000.mp4</v>
      </c>
      <c r="O29" s="48"/>
      <c r="P29" s="48"/>
      <c r="Q29" s="63"/>
      <c r="R29" s="49"/>
      <c r="S29" s="49"/>
      <c r="T29" s="49"/>
    </row>
    <row r="30">
      <c r="A30" s="49" t="str">
        <f>IFERROR(__xludf.DUMMYFUNCTION("""COMPUTED_VALUE"""),"You reap what you sow: How to seed right")</f>
        <v>You reap what you sow: How to seed right</v>
      </c>
      <c r="B30" s="49" t="str">
        <f>IFERROR(__xludf.DUMMYFUNCTION("""COMPUTED_VALUE"""),"Venture stage")</f>
        <v>Venture stage</v>
      </c>
      <c r="C30" s="51" t="str">
        <f>IFERROR(__xludf.DUMMYFUNCTION("""COMPUTED_VALUE"""),"Jonathan Tower, Bedy Yang, Javier Torremocha, Peter Pham and Ertan Can")</f>
        <v>Jonathan Tower, Bedy Yang, Javier Torremocha, Peter Pham and Ertan Can</v>
      </c>
      <c r="D30" s="49" t="str">
        <f>IFERROR(__xludf.DUMMYFUNCTION("""COMPUTED_VALUE"""),"2019/11/06 14:45:00")</f>
        <v>2019/11/06 14:45:00</v>
      </c>
      <c r="E30" s="49" t="str">
        <f>IFERROR(__xludf.DUMMYFUNCTION("""COMPUTED_VALUE"""),"2019/11/06 15:10:00")</f>
        <v>2019/11/06 15:10:00</v>
      </c>
      <c r="F30" s="49" t="str">
        <f>IFERROR(__xludf.DUMMYFUNCTION("""COMPUTED_VALUE"""),"a7862e22-f059-4a49-8a18-dc514043f73b")</f>
        <v>a7862e22-f059-4a49-8a18-dc514043f73b</v>
      </c>
      <c r="G30" s="52">
        <f>IFERROR(__xludf.DUMMYFUNCTION("""COMPUTED_VALUE"""),43775.0)</f>
        <v>43775</v>
      </c>
      <c r="H30" s="53">
        <f>IFERROR(__xludf.DUMMYFUNCTION("""COMPUTED_VALUE"""),0.6145833333333334)</f>
        <v>0.6145833333</v>
      </c>
      <c r="I30" s="52">
        <f>IFERROR(__xludf.DUMMYFUNCTION("""COMPUTED_VALUE"""),43775.0)</f>
        <v>43775</v>
      </c>
      <c r="J30" s="53">
        <f>IFERROR(__xludf.DUMMYFUNCTION("""COMPUTED_VALUE"""),0.6319444444444444)</f>
        <v>0.6319444444</v>
      </c>
      <c r="K30" s="53">
        <f t="shared" si="1"/>
        <v>0.01736111111</v>
      </c>
      <c r="L30" s="49" t="s">
        <v>111</v>
      </c>
      <c r="M30" s="87" t="s">
        <v>831</v>
      </c>
      <c r="N30" s="62" t="str">
        <f t="shared" si="2"/>
        <v>VT_6_12_a7862e22-f059-4a49-8a18-dc514043f73b_000000_000000.mp4</v>
      </c>
      <c r="O30" s="48"/>
      <c r="P30" s="48"/>
      <c r="Q30" s="63"/>
      <c r="R30" s="49"/>
      <c r="S30" s="49"/>
      <c r="T30" s="49"/>
    </row>
    <row r="31">
      <c r="A31" s="49" t="str">
        <f>IFERROR(__xludf.DUMMYFUNCTION("""COMPUTED_VALUE"""),"Cyber-scaling safely")</f>
        <v>Cyber-scaling safely</v>
      </c>
      <c r="B31" s="49" t="str">
        <f>IFERROR(__xludf.DUMMYFUNCTION("""COMPUTED_VALUE"""),"Venture stage")</f>
        <v>Venture stage</v>
      </c>
      <c r="C31" s="51" t="str">
        <f>IFERROR(__xludf.DUMMYFUNCTION("""COMPUTED_VALUE"""),"Dennis Smith, Rocio Pillado, Rashmi Gopinath, Shardul Shah and Catherine Stupp")</f>
        <v>Dennis Smith, Rocio Pillado, Rashmi Gopinath, Shardul Shah and Catherine Stupp</v>
      </c>
      <c r="D31" s="49" t="str">
        <f>IFERROR(__xludf.DUMMYFUNCTION("""COMPUTED_VALUE"""),"2019/11/06 15:10:00")</f>
        <v>2019/11/06 15:10:00</v>
      </c>
      <c r="E31" s="49" t="str">
        <f>IFERROR(__xludf.DUMMYFUNCTION("""COMPUTED_VALUE"""),"2019/11/06 15:35:00")</f>
        <v>2019/11/06 15:35:00</v>
      </c>
      <c r="F31" s="49" t="str">
        <f>IFERROR(__xludf.DUMMYFUNCTION("""COMPUTED_VALUE"""),"37b4f55e-bf37-469f-a8fa-c4d711f1fc11")</f>
        <v>37b4f55e-bf37-469f-a8fa-c4d711f1fc11</v>
      </c>
      <c r="G31" s="52">
        <f>IFERROR(__xludf.DUMMYFUNCTION("""COMPUTED_VALUE"""),43775.0)</f>
        <v>43775</v>
      </c>
      <c r="H31" s="53">
        <f>IFERROR(__xludf.DUMMYFUNCTION("""COMPUTED_VALUE"""),0.6319444444444444)</f>
        <v>0.6319444444</v>
      </c>
      <c r="I31" s="52">
        <f>IFERROR(__xludf.DUMMYFUNCTION("""COMPUTED_VALUE"""),43775.0)</f>
        <v>43775</v>
      </c>
      <c r="J31" s="53">
        <f>IFERROR(__xludf.DUMMYFUNCTION("""COMPUTED_VALUE"""),0.6493055555555556)</f>
        <v>0.6493055556</v>
      </c>
      <c r="K31" s="53">
        <f t="shared" si="1"/>
        <v>0.01736111111</v>
      </c>
      <c r="L31" s="49" t="s">
        <v>111</v>
      </c>
      <c r="M31" s="87" t="s">
        <v>832</v>
      </c>
      <c r="N31" s="62" t="str">
        <f t="shared" si="2"/>
        <v>VT_6_13_37b4f55e-bf37-469f-a8fa-c4d711f1fc11_000000_000000.mp4</v>
      </c>
      <c r="O31" s="48"/>
      <c r="P31" s="48"/>
      <c r="Q31" s="63"/>
      <c r="R31" s="49"/>
      <c r="S31" s="49"/>
      <c r="T31" s="49"/>
    </row>
    <row r="32">
      <c r="A32" s="49" t="str">
        <f>IFERROR(__xludf.DUMMYFUNCTION("""COMPUTED_VALUE"""),"Investing in mobility. Are we over the hype? ")</f>
        <v>Investing in mobility. Are we over the hype? </v>
      </c>
      <c r="B32" s="49" t="str">
        <f>IFERROR(__xludf.DUMMYFUNCTION("""COMPUTED_VALUE"""),"Venture stage")</f>
        <v>Venture stage</v>
      </c>
      <c r="C32" s="51" t="str">
        <f>IFERROR(__xludf.DUMMYFUNCTION("""COMPUTED_VALUE"""),"Olaf Sakkers, Laly David, Philipp von Hagen and Alison Griswold")</f>
        <v>Olaf Sakkers, Laly David, Philipp von Hagen and Alison Griswold</v>
      </c>
      <c r="D32" s="49" t="str">
        <f>IFERROR(__xludf.DUMMYFUNCTION("""COMPUTED_VALUE"""),"2019/11/06 15:35:00")</f>
        <v>2019/11/06 15:35:00</v>
      </c>
      <c r="E32" s="49" t="str">
        <f>IFERROR(__xludf.DUMMYFUNCTION("""COMPUTED_VALUE"""),"2019/11/06 16:00:00")</f>
        <v>2019/11/06 16:00:00</v>
      </c>
      <c r="F32" s="49" t="str">
        <f>IFERROR(__xludf.DUMMYFUNCTION("""COMPUTED_VALUE"""),"06701bcf-f18e-43b0-a03a-d05f9d3c065f")</f>
        <v>06701bcf-f18e-43b0-a03a-d05f9d3c065f</v>
      </c>
      <c r="G32" s="52">
        <f>IFERROR(__xludf.DUMMYFUNCTION("""COMPUTED_VALUE"""),43775.0)</f>
        <v>43775</v>
      </c>
      <c r="H32" s="53">
        <f>IFERROR(__xludf.DUMMYFUNCTION("""COMPUTED_VALUE"""),0.6493055555555556)</f>
        <v>0.6493055556</v>
      </c>
      <c r="I32" s="52">
        <f>IFERROR(__xludf.DUMMYFUNCTION("""COMPUTED_VALUE"""),43775.0)</f>
        <v>43775</v>
      </c>
      <c r="J32" s="53">
        <f>IFERROR(__xludf.DUMMYFUNCTION("""COMPUTED_VALUE"""),0.6666666666666666)</f>
        <v>0.6666666667</v>
      </c>
      <c r="K32" s="53">
        <f t="shared" si="1"/>
        <v>0.01736111111</v>
      </c>
      <c r="L32" s="49" t="s">
        <v>111</v>
      </c>
      <c r="M32" s="87" t="s">
        <v>833</v>
      </c>
      <c r="N32" s="62" t="str">
        <f t="shared" si="2"/>
        <v>VT_6_14_06701bcf-f18e-43b0-a03a-d05f9d3c065f_000000_000000.mp4</v>
      </c>
      <c r="O32" s="48"/>
      <c r="P32" s="48"/>
      <c r="Q32" s="63"/>
      <c r="R32" s="49"/>
      <c r="S32" s="49"/>
      <c r="T32" s="49"/>
    </row>
    <row r="33">
      <c r="A33" s="49" t="str">
        <f>IFERROR(__xludf.DUMMYFUNCTION("""COMPUTED_VALUE"""),"Opening remarks")</f>
        <v>Opening remarks</v>
      </c>
      <c r="B33" s="49" t="str">
        <f>IFERROR(__xludf.DUMMYFUNCTION("""COMPUTED_VALUE"""),"Venture stage")</f>
        <v>Venture stage</v>
      </c>
      <c r="C33" s="51" t="str">
        <f>IFERROR(__xludf.DUMMYFUNCTION("""COMPUTED_VALUE"""),"David Kelnar")</f>
        <v>David Kelnar</v>
      </c>
      <c r="D33" s="49" t="str">
        <f>IFERROR(__xludf.DUMMYFUNCTION("""COMPUTED_VALUE"""),"2019/11/07 10:30:00")</f>
        <v>2019/11/07 10:30:00</v>
      </c>
      <c r="E33" s="49" t="str">
        <f>IFERROR(__xludf.DUMMYFUNCTION("""COMPUTED_VALUE"""),"2019/11/07 10:45:00")</f>
        <v>2019/11/07 10:45:00</v>
      </c>
      <c r="F33" s="49" t="str">
        <f>IFERROR(__xludf.DUMMYFUNCTION("""COMPUTED_VALUE"""),"a08b6371-e0da-4b86-aaa9-1ada21e477a3")</f>
        <v>a08b6371-e0da-4b86-aaa9-1ada21e477a3</v>
      </c>
      <c r="G33" s="52">
        <f>IFERROR(__xludf.DUMMYFUNCTION("""COMPUTED_VALUE"""),43776.0)</f>
        <v>43776</v>
      </c>
      <c r="H33" s="53">
        <f>IFERROR(__xludf.DUMMYFUNCTION("""COMPUTED_VALUE"""),0.4375)</f>
        <v>0.4375</v>
      </c>
      <c r="I33" s="52">
        <f>IFERROR(__xludf.DUMMYFUNCTION("""COMPUTED_VALUE"""),43776.0)</f>
        <v>43776</v>
      </c>
      <c r="J33" s="53">
        <f>IFERROR(__xludf.DUMMYFUNCTION("""COMPUTED_VALUE"""),0.4479166666666667)</f>
        <v>0.4479166667</v>
      </c>
      <c r="K33" s="53">
        <f t="shared" si="1"/>
        <v>0.01041666667</v>
      </c>
      <c r="L33" s="49" t="s">
        <v>118</v>
      </c>
      <c r="M33" s="87" t="s">
        <v>834</v>
      </c>
      <c r="N33" s="62" t="str">
        <f t="shared" si="2"/>
        <v>VT_7_1_a08b6371-e0da-4b86-aaa9-1ada21e477a3_000000_000000.mp4</v>
      </c>
      <c r="O33" s="48"/>
      <c r="P33" s="48"/>
      <c r="Q33" s="63"/>
      <c r="R33" s="49"/>
      <c r="S33" s="49"/>
      <c r="T33" s="49"/>
    </row>
    <row r="34">
      <c r="A34" s="49" t="str">
        <f>IFERROR(__xludf.DUMMYFUNCTION("""COMPUTED_VALUE"""),"Werner Hoyer of the European Investment Bank in conversation")</f>
        <v>Werner Hoyer of the European Investment Bank in conversation</v>
      </c>
      <c r="B34" s="49" t="str">
        <f>IFERROR(__xludf.DUMMYFUNCTION("""COMPUTED_VALUE"""),"Venture stage")</f>
        <v>Venture stage</v>
      </c>
      <c r="C34" s="51" t="str">
        <f>IFERROR(__xludf.DUMMYFUNCTION("""COMPUTED_VALUE"""),"Werner Hoyer and Felix Holtermann")</f>
        <v>Werner Hoyer and Felix Holtermann</v>
      </c>
      <c r="D34" s="49" t="str">
        <f>IFERROR(__xludf.DUMMYFUNCTION("""COMPUTED_VALUE"""),"2019/11/07 10:45:00")</f>
        <v>2019/11/07 10:45:00</v>
      </c>
      <c r="E34" s="49" t="str">
        <f>IFERROR(__xludf.DUMMYFUNCTION("""COMPUTED_VALUE"""),"2019/11/07 11:10:00")</f>
        <v>2019/11/07 11:10:00</v>
      </c>
      <c r="F34" s="49" t="str">
        <f>IFERROR(__xludf.DUMMYFUNCTION("""COMPUTED_VALUE"""),"c6f626fb-96e4-422c-b456-33d832a4c0f0")</f>
        <v>c6f626fb-96e4-422c-b456-33d832a4c0f0</v>
      </c>
      <c r="G34" s="52">
        <f>IFERROR(__xludf.DUMMYFUNCTION("""COMPUTED_VALUE"""),43776.0)</f>
        <v>43776</v>
      </c>
      <c r="H34" s="53">
        <f>IFERROR(__xludf.DUMMYFUNCTION("""COMPUTED_VALUE"""),0.4479166666666667)</f>
        <v>0.4479166667</v>
      </c>
      <c r="I34" s="52">
        <f>IFERROR(__xludf.DUMMYFUNCTION("""COMPUTED_VALUE"""),43776.0)</f>
        <v>43776</v>
      </c>
      <c r="J34" s="53">
        <f>IFERROR(__xludf.DUMMYFUNCTION("""COMPUTED_VALUE"""),0.4652777777777778)</f>
        <v>0.4652777778</v>
      </c>
      <c r="K34" s="53">
        <f t="shared" si="1"/>
        <v>0.01736111111</v>
      </c>
      <c r="L34" s="49" t="s">
        <v>111</v>
      </c>
      <c r="M34" s="87" t="s">
        <v>835</v>
      </c>
      <c r="N34" s="62" t="str">
        <f t="shared" si="2"/>
        <v>VT_7_2_c6f626fb-96e4-422c-b456-33d832a4c0f0_000000_000000.mp4</v>
      </c>
      <c r="O34" s="48"/>
      <c r="P34" s="48"/>
      <c r="Q34" s="63"/>
      <c r="R34" s="49"/>
      <c r="S34" s="49"/>
      <c r="T34" s="49"/>
    </row>
    <row r="35">
      <c r="A35" s="49" t="str">
        <f>IFERROR(__xludf.DUMMYFUNCTION("""COMPUTED_VALUE"""),"How much? Metrics for measuring success")</f>
        <v>How much? Metrics for measuring success</v>
      </c>
      <c r="B35" s="49" t="str">
        <f>IFERROR(__xludf.DUMMYFUNCTION("""COMPUTED_VALUE"""),"Venture stage")</f>
        <v>Venture stage</v>
      </c>
      <c r="C35" s="51" t="str">
        <f>IFERROR(__xludf.DUMMYFUNCTION("""COMPUTED_VALUE"""),"Lars Fjeldsoe-Nielsen, Tony Zappala and Arnaud Bonzom")</f>
        <v>Lars Fjeldsoe-Nielsen, Tony Zappala and Arnaud Bonzom</v>
      </c>
      <c r="D35" s="49" t="str">
        <f>IFERROR(__xludf.DUMMYFUNCTION("""COMPUTED_VALUE"""),"2019/11/07 11:10:00")</f>
        <v>2019/11/07 11:10:00</v>
      </c>
      <c r="E35" s="49" t="str">
        <f>IFERROR(__xludf.DUMMYFUNCTION("""COMPUTED_VALUE"""),"2019/11/07 11:35:00")</f>
        <v>2019/11/07 11:35:00</v>
      </c>
      <c r="F35" s="49" t="str">
        <f>IFERROR(__xludf.DUMMYFUNCTION("""COMPUTED_VALUE"""),"dca718fa-55c2-42d7-8fc6-19759d50558c")</f>
        <v>dca718fa-55c2-42d7-8fc6-19759d50558c</v>
      </c>
      <c r="G35" s="52">
        <f>IFERROR(__xludf.DUMMYFUNCTION("""COMPUTED_VALUE"""),43776.0)</f>
        <v>43776</v>
      </c>
      <c r="H35" s="53">
        <f>IFERROR(__xludf.DUMMYFUNCTION("""COMPUTED_VALUE"""),0.4652777777777778)</f>
        <v>0.4652777778</v>
      </c>
      <c r="I35" s="52">
        <f>IFERROR(__xludf.DUMMYFUNCTION("""COMPUTED_VALUE"""),43776.0)</f>
        <v>43776</v>
      </c>
      <c r="J35" s="53">
        <f>IFERROR(__xludf.DUMMYFUNCTION("""COMPUTED_VALUE"""),0.4826388888888889)</f>
        <v>0.4826388889</v>
      </c>
      <c r="K35" s="53">
        <f t="shared" si="1"/>
        <v>0.01736111111</v>
      </c>
      <c r="L35" s="49" t="s">
        <v>111</v>
      </c>
      <c r="M35" s="87" t="s">
        <v>836</v>
      </c>
      <c r="N35" s="62" t="str">
        <f t="shared" si="2"/>
        <v>VT_7_3_dca718fa-55c2-42d7-8fc6-19759d50558c_000000_000000.mp4</v>
      </c>
      <c r="O35" s="48"/>
      <c r="P35" s="48"/>
      <c r="Q35" s="63"/>
      <c r="R35" s="49"/>
      <c r="S35" s="49"/>
      <c r="T35" s="49"/>
    </row>
    <row r="36">
      <c r="A36" s="49" t="str">
        <f>IFERROR(__xludf.DUMMYFUNCTION("""COMPUTED_VALUE"""),"Europe's next tech titan")</f>
        <v>Europe's next tech titan</v>
      </c>
      <c r="B36" s="49" t="str">
        <f>IFERROR(__xludf.DUMMYFUNCTION("""COMPUTED_VALUE"""),"Venture stage")</f>
        <v>Venture stage</v>
      </c>
      <c r="C36" s="51" t="str">
        <f>IFERROR(__xludf.DUMMYFUNCTION("""COMPUTED_VALUE"""),"Manish Madhvani")</f>
        <v>Manish Madhvani</v>
      </c>
      <c r="D36" s="49" t="str">
        <f>IFERROR(__xludf.DUMMYFUNCTION("""COMPUTED_VALUE"""),"2019/11/07 11:35:00")</f>
        <v>2019/11/07 11:35:00</v>
      </c>
      <c r="E36" s="49" t="str">
        <f>IFERROR(__xludf.DUMMYFUNCTION("""COMPUTED_VALUE"""),"2019/11/07 11:55:00")</f>
        <v>2019/11/07 11:55:00</v>
      </c>
      <c r="F36" s="49" t="str">
        <f>IFERROR(__xludf.DUMMYFUNCTION("""COMPUTED_VALUE"""),"203e4603-9cbb-4f30-9291-0c3e5e63df4e")</f>
        <v>203e4603-9cbb-4f30-9291-0c3e5e63df4e</v>
      </c>
      <c r="G36" s="52">
        <f>IFERROR(__xludf.DUMMYFUNCTION("""COMPUTED_VALUE"""),43776.0)</f>
        <v>43776</v>
      </c>
      <c r="H36" s="53">
        <f>IFERROR(__xludf.DUMMYFUNCTION("""COMPUTED_VALUE"""),0.4826388888888889)</f>
        <v>0.4826388889</v>
      </c>
      <c r="I36" s="52">
        <f>IFERROR(__xludf.DUMMYFUNCTION("""COMPUTED_VALUE"""),43776.0)</f>
        <v>43776</v>
      </c>
      <c r="J36" s="53">
        <f>IFERROR(__xludf.DUMMYFUNCTION("""COMPUTED_VALUE"""),0.4965277777777778)</f>
        <v>0.4965277778</v>
      </c>
      <c r="K36" s="53">
        <f t="shared" si="1"/>
        <v>0.01388888889</v>
      </c>
      <c r="L36" s="49" t="s">
        <v>109</v>
      </c>
      <c r="M36" s="87" t="s">
        <v>837</v>
      </c>
      <c r="N36" s="62" t="str">
        <f t="shared" si="2"/>
        <v>VT_7_4_203e4603-9cbb-4f30-9291-0c3e5e63df4e_000000_000000.mp4</v>
      </c>
      <c r="O36" s="48"/>
      <c r="P36" s="48"/>
      <c r="Q36" s="63"/>
      <c r="R36" s="49"/>
      <c r="S36" s="49"/>
      <c r="T36" s="49"/>
    </row>
    <row r="37">
      <c r="A37" s="49" t="str">
        <f>IFERROR(__xludf.DUMMYFUNCTION("""COMPUTED_VALUE"""),"Healthtech and VC: The narrowing divide")</f>
        <v>Healthtech and VC: The narrowing divide</v>
      </c>
      <c r="B37" s="49" t="str">
        <f>IFERROR(__xludf.DUMMYFUNCTION("""COMPUTED_VALUE"""),"Venture stage")</f>
        <v>Venture stage</v>
      </c>
      <c r="C37" s="51" t="str">
        <f>IFERROR(__xludf.DUMMYFUNCTION("""COMPUTED_VALUE"""),"Dirk Kersten, Min Hu, John Zibert, Marc Rougier and Lu Zhang")</f>
        <v>Dirk Kersten, Min Hu, John Zibert, Marc Rougier and Lu Zhang</v>
      </c>
      <c r="D37" s="49" t="str">
        <f>IFERROR(__xludf.DUMMYFUNCTION("""COMPUTED_VALUE"""),"2019/11/07 11:55:00")</f>
        <v>2019/11/07 11:55:00</v>
      </c>
      <c r="E37" s="49" t="str">
        <f>IFERROR(__xludf.DUMMYFUNCTION("""COMPUTED_VALUE"""),"2019/11/07 12:20:00")</f>
        <v>2019/11/07 12:20:00</v>
      </c>
      <c r="F37" s="49" t="str">
        <f>IFERROR(__xludf.DUMMYFUNCTION("""COMPUTED_VALUE"""),"24f4b41a-c145-4ea8-ae61-2937b8b63771")</f>
        <v>24f4b41a-c145-4ea8-ae61-2937b8b63771</v>
      </c>
      <c r="G37" s="52">
        <f>IFERROR(__xludf.DUMMYFUNCTION("""COMPUTED_VALUE"""),43776.0)</f>
        <v>43776</v>
      </c>
      <c r="H37" s="53">
        <f>IFERROR(__xludf.DUMMYFUNCTION("""COMPUTED_VALUE"""),0.4965277777777778)</f>
        <v>0.4965277778</v>
      </c>
      <c r="I37" s="52">
        <f>IFERROR(__xludf.DUMMYFUNCTION("""COMPUTED_VALUE"""),43776.0)</f>
        <v>43776</v>
      </c>
      <c r="J37" s="53">
        <f>IFERROR(__xludf.DUMMYFUNCTION("""COMPUTED_VALUE"""),0.5138888888888888)</f>
        <v>0.5138888889</v>
      </c>
      <c r="K37" s="53">
        <f t="shared" si="1"/>
        <v>0.01736111111</v>
      </c>
      <c r="L37" s="49" t="s">
        <v>111</v>
      </c>
      <c r="M37" s="87" t="s">
        <v>838</v>
      </c>
      <c r="N37" s="62" t="str">
        <f t="shared" si="2"/>
        <v>VT_7_5_24f4b41a-c145-4ea8-ae61-2937b8b63771_000000_000000.mp4</v>
      </c>
      <c r="O37" s="48"/>
      <c r="P37" s="48"/>
      <c r="Q37" s="63"/>
      <c r="R37" s="49"/>
      <c r="S37" s="49"/>
      <c r="T37" s="49"/>
    </row>
    <row r="38">
      <c r="A38" s="49" t="str">
        <f>IFERROR(__xludf.DUMMYFUNCTION("""COMPUTED_VALUE"""),"Is IPO the ultimate sign of success?")</f>
        <v>Is IPO the ultimate sign of success?</v>
      </c>
      <c r="B38" s="49" t="str">
        <f>IFERROR(__xludf.DUMMYFUNCTION("""COMPUTED_VALUE"""),"Venture stage")</f>
        <v>Venture stage</v>
      </c>
      <c r="C38" s="51" t="str">
        <f>IFERROR(__xludf.DUMMYFUNCTION("""COMPUTED_VALUE"""),"Nizar Tarhuni, Ravi Viswanathan and Alex Irwin-Hunt")</f>
        <v>Nizar Tarhuni, Ravi Viswanathan and Alex Irwin-Hunt</v>
      </c>
      <c r="D38" s="49" t="str">
        <f>IFERROR(__xludf.DUMMYFUNCTION("""COMPUTED_VALUE"""),"2019/11/07 12:20:00")</f>
        <v>2019/11/07 12:20:00</v>
      </c>
      <c r="E38" s="49" t="str">
        <f>IFERROR(__xludf.DUMMYFUNCTION("""COMPUTED_VALUE"""),"2019/11/07 12:45:00")</f>
        <v>2019/11/07 12:45:00</v>
      </c>
      <c r="F38" s="49" t="str">
        <f>IFERROR(__xludf.DUMMYFUNCTION("""COMPUTED_VALUE"""),"6307bcaa-8a28-46cc-8ef4-6531d91e25d3")</f>
        <v>6307bcaa-8a28-46cc-8ef4-6531d91e25d3</v>
      </c>
      <c r="G38" s="52">
        <f>IFERROR(__xludf.DUMMYFUNCTION("""COMPUTED_VALUE"""),43776.0)</f>
        <v>43776</v>
      </c>
      <c r="H38" s="53">
        <f>IFERROR(__xludf.DUMMYFUNCTION("""COMPUTED_VALUE"""),0.5138888888888888)</f>
        <v>0.5138888889</v>
      </c>
      <c r="I38" s="52">
        <f>IFERROR(__xludf.DUMMYFUNCTION("""COMPUTED_VALUE"""),43776.0)</f>
        <v>43776</v>
      </c>
      <c r="J38" s="53">
        <f>IFERROR(__xludf.DUMMYFUNCTION("""COMPUTED_VALUE"""),0.53125)</f>
        <v>0.53125</v>
      </c>
      <c r="K38" s="53">
        <f t="shared" si="1"/>
        <v>0.01736111111</v>
      </c>
      <c r="L38" s="49" t="s">
        <v>111</v>
      </c>
      <c r="M38" s="87" t="s">
        <v>839</v>
      </c>
      <c r="N38" s="62" t="str">
        <f t="shared" si="2"/>
        <v>VT_7_6_6307bcaa-8a28-46cc-8ef4-6531d91e25d3_000000_000000.mp4</v>
      </c>
      <c r="O38" s="48"/>
      <c r="P38" s="48"/>
      <c r="Q38" s="63"/>
      <c r="R38" s="49"/>
      <c r="S38" s="49"/>
      <c r="T38" s="49"/>
    </row>
    <row r="39">
      <c r="A39" s="49" t="str">
        <f>IFERROR(__xludf.DUMMYFUNCTION("""COMPUTED_VALUE"""),"Lunch break")</f>
        <v>Lunch break</v>
      </c>
      <c r="B39" s="49" t="str">
        <f>IFERROR(__xludf.DUMMYFUNCTION("""COMPUTED_VALUE"""),"Venture stage")</f>
        <v>Venture stage</v>
      </c>
      <c r="C39" s="51" t="str">
        <f>IFERROR(__xludf.DUMMYFUNCTION("""COMPUTED_VALUE"""),"")</f>
        <v/>
      </c>
      <c r="D39" s="49" t="str">
        <f>IFERROR(__xludf.DUMMYFUNCTION("""COMPUTED_VALUE"""),"2019/11/07 12:45:00")</f>
        <v>2019/11/07 12:45:00</v>
      </c>
      <c r="E39" s="49" t="str">
        <f>IFERROR(__xludf.DUMMYFUNCTION("""COMPUTED_VALUE"""),"2019/11/07 13:30:00")</f>
        <v>2019/11/07 13:30:00</v>
      </c>
      <c r="F39" s="49" t="str">
        <f>IFERROR(__xludf.DUMMYFUNCTION("""COMPUTED_VALUE"""),"e215e264-7354-4c78-9036-b030db795297")</f>
        <v>e215e264-7354-4c78-9036-b030db795297</v>
      </c>
      <c r="G39" s="52">
        <f>IFERROR(__xludf.DUMMYFUNCTION("""COMPUTED_VALUE"""),43776.0)</f>
        <v>43776</v>
      </c>
      <c r="H39" s="53">
        <f>IFERROR(__xludf.DUMMYFUNCTION("""COMPUTED_VALUE"""),0.53125)</f>
        <v>0.53125</v>
      </c>
      <c r="I39" s="52">
        <f>IFERROR(__xludf.DUMMYFUNCTION("""COMPUTED_VALUE"""),43776.0)</f>
        <v>43776</v>
      </c>
      <c r="J39" s="53">
        <f>IFERROR(__xludf.DUMMYFUNCTION("""COMPUTED_VALUE"""),0.5625)</f>
        <v>0.5625</v>
      </c>
      <c r="K39" s="53">
        <f t="shared" si="1"/>
        <v>0.03125</v>
      </c>
      <c r="L39" s="49" t="s">
        <v>127</v>
      </c>
      <c r="M39" s="49"/>
      <c r="N39" s="62" t="str">
        <f t="shared" si="2"/>
        <v>_e215e264-7354-4c78-9036-b030db795297_000000_000000.mp4</v>
      </c>
      <c r="O39" s="48"/>
      <c r="P39" s="48"/>
      <c r="Q39" s="63"/>
      <c r="R39" s="49"/>
      <c r="S39" s="49"/>
      <c r="T39" s="49"/>
    </row>
    <row r="40">
      <c r="A40" s="49" t="str">
        <f>IFERROR(__xludf.DUMMYFUNCTION("""COMPUTED_VALUE"""),"Opening remarks ")</f>
        <v>Opening remarks </v>
      </c>
      <c r="B40" s="49" t="str">
        <f>IFERROR(__xludf.DUMMYFUNCTION("""COMPUTED_VALUE"""),"Venture stage")</f>
        <v>Venture stage</v>
      </c>
      <c r="C40" s="51" t="str">
        <f>IFERROR(__xludf.DUMMYFUNCTION("""COMPUTED_VALUE"""),"Natsuko Mitsugi")</f>
        <v>Natsuko Mitsugi</v>
      </c>
      <c r="D40" s="49" t="str">
        <f>IFERROR(__xludf.DUMMYFUNCTION("""COMPUTED_VALUE"""),"2019/11/07 13:30:00")</f>
        <v>2019/11/07 13:30:00</v>
      </c>
      <c r="E40" s="49" t="str">
        <f>IFERROR(__xludf.DUMMYFUNCTION("""COMPUTED_VALUE"""),"2019/11/07 13:45:00")</f>
        <v>2019/11/07 13:45:00</v>
      </c>
      <c r="F40" s="49" t="str">
        <f>IFERROR(__xludf.DUMMYFUNCTION("""COMPUTED_VALUE"""),"64093230-22f1-4f95-adc4-ccb2171d1ebe")</f>
        <v>64093230-22f1-4f95-adc4-ccb2171d1ebe</v>
      </c>
      <c r="G40" s="52">
        <f>IFERROR(__xludf.DUMMYFUNCTION("""COMPUTED_VALUE"""),43776.0)</f>
        <v>43776</v>
      </c>
      <c r="H40" s="53">
        <f>IFERROR(__xludf.DUMMYFUNCTION("""COMPUTED_VALUE"""),0.5625)</f>
        <v>0.5625</v>
      </c>
      <c r="I40" s="52">
        <f>IFERROR(__xludf.DUMMYFUNCTION("""COMPUTED_VALUE"""),43776.0)</f>
        <v>43776</v>
      </c>
      <c r="J40" s="53">
        <f>IFERROR(__xludf.DUMMYFUNCTION("""COMPUTED_VALUE"""),0.5729166666666666)</f>
        <v>0.5729166667</v>
      </c>
      <c r="K40" s="53">
        <f t="shared" si="1"/>
        <v>0.01041666667</v>
      </c>
      <c r="L40" s="49" t="s">
        <v>118</v>
      </c>
      <c r="M40" s="87" t="s">
        <v>840</v>
      </c>
      <c r="N40" s="62" t="str">
        <f t="shared" si="2"/>
        <v>VT_7_7_64093230-22f1-4f95-adc4-ccb2171d1ebe_000000_000000.mp4</v>
      </c>
      <c r="O40" s="48"/>
      <c r="P40" s="48"/>
      <c r="Q40" s="63"/>
      <c r="R40" s="49"/>
      <c r="S40" s="49"/>
      <c r="T40" s="49"/>
    </row>
    <row r="41">
      <c r="A41" s="49" t="str">
        <f>IFERROR(__xludf.DUMMYFUNCTION("""COMPUTED_VALUE"""),"Small world, big market")</f>
        <v>Small world, big market</v>
      </c>
      <c r="B41" s="49" t="str">
        <f>IFERROR(__xludf.DUMMYFUNCTION("""COMPUTED_VALUE"""),"Venture stage")</f>
        <v>Venture stage</v>
      </c>
      <c r="C41" s="51" t="str">
        <f>IFERROR(__xludf.DUMMYFUNCTION("""COMPUTED_VALUE"""),"Dr Marco Huesch, Angus Davis, George Henry and Alara Basul")</f>
        <v>Dr Marco Huesch, Angus Davis, George Henry and Alara Basul</v>
      </c>
      <c r="D41" s="49" t="str">
        <f>IFERROR(__xludf.DUMMYFUNCTION("""COMPUTED_VALUE"""),"2019/11/07 13:45:00")</f>
        <v>2019/11/07 13:45:00</v>
      </c>
      <c r="E41" s="49" t="str">
        <f>IFERROR(__xludf.DUMMYFUNCTION("""COMPUTED_VALUE"""),"2019/11/07 14:05:00")</f>
        <v>2019/11/07 14:05:00</v>
      </c>
      <c r="F41" s="49" t="str">
        <f>IFERROR(__xludf.DUMMYFUNCTION("""COMPUTED_VALUE"""),"6ee51dd9-a1ce-4f89-adbf-87909117725d")</f>
        <v>6ee51dd9-a1ce-4f89-adbf-87909117725d</v>
      </c>
      <c r="G41" s="52">
        <f>IFERROR(__xludf.DUMMYFUNCTION("""COMPUTED_VALUE"""),43776.0)</f>
        <v>43776</v>
      </c>
      <c r="H41" s="53">
        <f>IFERROR(__xludf.DUMMYFUNCTION("""COMPUTED_VALUE"""),0.5729166666666666)</f>
        <v>0.5729166667</v>
      </c>
      <c r="I41" s="52">
        <f>IFERROR(__xludf.DUMMYFUNCTION("""COMPUTED_VALUE"""),43776.0)</f>
        <v>43776</v>
      </c>
      <c r="J41" s="53">
        <f>IFERROR(__xludf.DUMMYFUNCTION("""COMPUTED_VALUE"""),0.5868055555555556)</f>
        <v>0.5868055556</v>
      </c>
      <c r="K41" s="53">
        <f t="shared" si="1"/>
        <v>0.01388888889</v>
      </c>
      <c r="L41" s="49" t="s">
        <v>109</v>
      </c>
      <c r="M41" s="87" t="s">
        <v>841</v>
      </c>
      <c r="N41" s="62" t="str">
        <f t="shared" si="2"/>
        <v>VT_7_8_6ee51dd9-a1ce-4f89-adbf-87909117725d_000000_000000.mp4</v>
      </c>
      <c r="O41" s="48"/>
      <c r="P41" s="48"/>
      <c r="Q41" s="63"/>
      <c r="R41" s="49"/>
      <c r="S41" s="49"/>
      <c r="T41" s="49"/>
    </row>
    <row r="42">
      <c r="A42" s="49" t="str">
        <f>IFERROR(__xludf.DUMMYFUNCTION("""COMPUTED_VALUE"""),"What's left to modernise?")</f>
        <v>What's left to modernise?</v>
      </c>
      <c r="B42" s="49" t="str">
        <f>IFERROR(__xludf.DUMMYFUNCTION("""COMPUTED_VALUE"""),"Venture stage")</f>
        <v>Venture stage</v>
      </c>
      <c r="C42" s="51" t="str">
        <f>IFERROR(__xludf.DUMMYFUNCTION("""COMPUTED_VALUE"""),"Omar El-Ayat, Malin Holmberg, Jean-Patrice Anciaux and Oisin Hanrahan")</f>
        <v>Omar El-Ayat, Malin Holmberg, Jean-Patrice Anciaux and Oisin Hanrahan</v>
      </c>
      <c r="D42" s="49" t="str">
        <f>IFERROR(__xludf.DUMMYFUNCTION("""COMPUTED_VALUE"""),"2019/11/07 14:05:00")</f>
        <v>2019/11/07 14:05:00</v>
      </c>
      <c r="E42" s="49" t="str">
        <f>IFERROR(__xludf.DUMMYFUNCTION("""COMPUTED_VALUE"""),"2019/11/07 14:25:00")</f>
        <v>2019/11/07 14:25:00</v>
      </c>
      <c r="F42" s="49" t="str">
        <f>IFERROR(__xludf.DUMMYFUNCTION("""COMPUTED_VALUE"""),"d7f1f39d-20c7-4f27-b93d-81361e7de613")</f>
        <v>d7f1f39d-20c7-4f27-b93d-81361e7de613</v>
      </c>
      <c r="G42" s="52">
        <f>IFERROR(__xludf.DUMMYFUNCTION("""COMPUTED_VALUE"""),43776.0)</f>
        <v>43776</v>
      </c>
      <c r="H42" s="53">
        <f>IFERROR(__xludf.DUMMYFUNCTION("""COMPUTED_VALUE"""),0.5868055555555556)</f>
        <v>0.5868055556</v>
      </c>
      <c r="I42" s="52">
        <f>IFERROR(__xludf.DUMMYFUNCTION("""COMPUTED_VALUE"""),43776.0)</f>
        <v>43776</v>
      </c>
      <c r="J42" s="53">
        <f>IFERROR(__xludf.DUMMYFUNCTION("""COMPUTED_VALUE"""),0.6006944444444444)</f>
        <v>0.6006944444</v>
      </c>
      <c r="K42" s="53">
        <f t="shared" si="1"/>
        <v>0.01388888889</v>
      </c>
      <c r="L42" s="49" t="s">
        <v>109</v>
      </c>
      <c r="M42" s="87" t="s">
        <v>842</v>
      </c>
      <c r="N42" s="62" t="str">
        <f t="shared" si="2"/>
        <v>VT_7_9_d7f1f39d-20c7-4f27-b93d-81361e7de613_000000_000000.mp4</v>
      </c>
      <c r="O42" s="48"/>
      <c r="P42" s="48"/>
      <c r="Q42" s="63"/>
      <c r="R42" s="49"/>
      <c r="S42" s="49"/>
      <c r="T42" s="49"/>
    </row>
    <row r="43">
      <c r="A43" s="49" t="str">
        <f>IFERROR(__xludf.DUMMYFUNCTION("""COMPUTED_VALUE"""),"Investing in change: How to navigate disruption")</f>
        <v>Investing in change: How to navigate disruption</v>
      </c>
      <c r="B43" s="49" t="str">
        <f>IFERROR(__xludf.DUMMYFUNCTION("""COMPUTED_VALUE"""),"Venture stage")</f>
        <v>Venture stage</v>
      </c>
      <c r="C43" s="51" t="str">
        <f>IFERROR(__xludf.DUMMYFUNCTION("""COMPUTED_VALUE"""),"Allister Furey, Niccolo Manzoni and Mariana Barbosa")</f>
        <v>Allister Furey, Niccolo Manzoni and Mariana Barbosa</v>
      </c>
      <c r="D43" s="49" t="str">
        <f>IFERROR(__xludf.DUMMYFUNCTION("""COMPUTED_VALUE"""),"2019/11/07 14:25:00")</f>
        <v>2019/11/07 14:25:00</v>
      </c>
      <c r="E43" s="49" t="str">
        <f>IFERROR(__xludf.DUMMYFUNCTION("""COMPUTED_VALUE"""),"2019/11/07 14:45:00")</f>
        <v>2019/11/07 14:45:00</v>
      </c>
      <c r="F43" s="49" t="str">
        <f>IFERROR(__xludf.DUMMYFUNCTION("""COMPUTED_VALUE"""),"46f8dd09-71a9-435d-b310-e1e8b669fd41")</f>
        <v>46f8dd09-71a9-435d-b310-e1e8b669fd41</v>
      </c>
      <c r="G43" s="52">
        <f>IFERROR(__xludf.DUMMYFUNCTION("""COMPUTED_VALUE"""),43776.0)</f>
        <v>43776</v>
      </c>
      <c r="H43" s="53">
        <f>IFERROR(__xludf.DUMMYFUNCTION("""COMPUTED_VALUE"""),0.6006944444444444)</f>
        <v>0.6006944444</v>
      </c>
      <c r="I43" s="52">
        <f>IFERROR(__xludf.DUMMYFUNCTION("""COMPUTED_VALUE"""),43776.0)</f>
        <v>43776</v>
      </c>
      <c r="J43" s="53">
        <f>IFERROR(__xludf.DUMMYFUNCTION("""COMPUTED_VALUE"""),0.6145833333333334)</f>
        <v>0.6145833333</v>
      </c>
      <c r="K43" s="53">
        <f t="shared" si="1"/>
        <v>0.01388888889</v>
      </c>
      <c r="L43" s="49" t="s">
        <v>109</v>
      </c>
      <c r="M43" s="87" t="s">
        <v>843</v>
      </c>
      <c r="N43" s="62" t="str">
        <f t="shared" si="2"/>
        <v>VT_7_10_46f8dd09-71a9-435d-b310-e1e8b669fd41_000000_000000.mp4</v>
      </c>
      <c r="O43" s="48"/>
      <c r="P43" s="48"/>
      <c r="Q43" s="63"/>
      <c r="R43" s="49"/>
      <c r="S43" s="49"/>
      <c r="T43" s="49"/>
    </row>
    <row r="44">
      <c r="A44" s="49" t="str">
        <f>IFERROR(__xludf.DUMMYFUNCTION("""COMPUTED_VALUE"""),"The State of AI 2019: Divergence")</f>
        <v>The State of AI 2019: Divergence</v>
      </c>
      <c r="B44" s="49" t="str">
        <f>IFERROR(__xludf.DUMMYFUNCTION("""COMPUTED_VALUE"""),"Venture stage")</f>
        <v>Venture stage</v>
      </c>
      <c r="C44" s="51" t="str">
        <f>IFERROR(__xludf.DUMMYFUNCTION("""COMPUTED_VALUE"""),"David Kelnar")</f>
        <v>David Kelnar</v>
      </c>
      <c r="D44" s="49" t="str">
        <f>IFERROR(__xludf.DUMMYFUNCTION("""COMPUTED_VALUE"""),"2019/11/07 14:45:00")</f>
        <v>2019/11/07 14:45:00</v>
      </c>
      <c r="E44" s="49" t="str">
        <f>IFERROR(__xludf.DUMMYFUNCTION("""COMPUTED_VALUE"""),"2019/11/07 15:00:00")</f>
        <v>2019/11/07 15:00:00</v>
      </c>
      <c r="F44" s="49" t="str">
        <f>IFERROR(__xludf.DUMMYFUNCTION("""COMPUTED_VALUE"""),"26aadd95-c7d6-40b3-be13-2715f2834038")</f>
        <v>26aadd95-c7d6-40b3-be13-2715f2834038</v>
      </c>
      <c r="G44" s="52">
        <f>IFERROR(__xludf.DUMMYFUNCTION("""COMPUTED_VALUE"""),43776.0)</f>
        <v>43776</v>
      </c>
      <c r="H44" s="53">
        <f>IFERROR(__xludf.DUMMYFUNCTION("""COMPUTED_VALUE"""),0.6145833333333334)</f>
        <v>0.6145833333</v>
      </c>
      <c r="I44" s="52">
        <f>IFERROR(__xludf.DUMMYFUNCTION("""COMPUTED_VALUE"""),43776.0)</f>
        <v>43776</v>
      </c>
      <c r="J44" s="53">
        <f>IFERROR(__xludf.DUMMYFUNCTION("""COMPUTED_VALUE"""),0.625)</f>
        <v>0.625</v>
      </c>
      <c r="K44" s="53">
        <f t="shared" si="1"/>
        <v>0.01041666667</v>
      </c>
      <c r="L44" s="49" t="s">
        <v>118</v>
      </c>
      <c r="M44" s="87" t="s">
        <v>844</v>
      </c>
      <c r="N44" s="62" t="str">
        <f t="shared" si="2"/>
        <v>VT_7_11_26aadd95-c7d6-40b3-be13-2715f2834038_000000_000000.mp4</v>
      </c>
      <c r="O44" s="48"/>
      <c r="P44" s="48"/>
      <c r="Q44" s="63"/>
      <c r="R44" s="49"/>
      <c r="S44" s="49"/>
      <c r="T44" s="49"/>
    </row>
    <row r="45">
      <c r="A45" s="49" t="str">
        <f>IFERROR(__xludf.DUMMYFUNCTION("""COMPUTED_VALUE"""),"Why do we need money?")</f>
        <v>Why do we need money?</v>
      </c>
      <c r="B45" s="49" t="str">
        <f>IFERROR(__xludf.DUMMYFUNCTION("""COMPUTED_VALUE"""),"Venture stage")</f>
        <v>Venture stage</v>
      </c>
      <c r="C45" s="51" t="str">
        <f>IFERROR(__xludf.DUMMYFUNCTION("""COMPUTED_VALUE"""),"Simon Schmincke, Tara Reeves, Tim Levene and Joon Ian Wong")</f>
        <v>Simon Schmincke, Tara Reeves, Tim Levene and Joon Ian Wong</v>
      </c>
      <c r="D45" s="49" t="str">
        <f>IFERROR(__xludf.DUMMYFUNCTION("""COMPUTED_VALUE"""),"2019/11/07 15:00:00")</f>
        <v>2019/11/07 15:00:00</v>
      </c>
      <c r="E45" s="49" t="str">
        <f>IFERROR(__xludf.DUMMYFUNCTION("""COMPUTED_VALUE"""),"2019/11/07 15:20:00")</f>
        <v>2019/11/07 15:20:00</v>
      </c>
      <c r="F45" s="49" t="str">
        <f>IFERROR(__xludf.DUMMYFUNCTION("""COMPUTED_VALUE"""),"65397b2d-34eb-419a-8b4f-bc5ad34ae362")</f>
        <v>65397b2d-34eb-419a-8b4f-bc5ad34ae362</v>
      </c>
      <c r="G45" s="52">
        <f>IFERROR(__xludf.DUMMYFUNCTION("""COMPUTED_VALUE"""),43776.0)</f>
        <v>43776</v>
      </c>
      <c r="H45" s="53">
        <f>IFERROR(__xludf.DUMMYFUNCTION("""COMPUTED_VALUE"""),0.625)</f>
        <v>0.625</v>
      </c>
      <c r="I45" s="52">
        <f>IFERROR(__xludf.DUMMYFUNCTION("""COMPUTED_VALUE"""),43776.0)</f>
        <v>43776</v>
      </c>
      <c r="J45" s="53">
        <f>IFERROR(__xludf.DUMMYFUNCTION("""COMPUTED_VALUE"""),0.6388888888888888)</f>
        <v>0.6388888889</v>
      </c>
      <c r="K45" s="53">
        <f t="shared" si="1"/>
        <v>0.01388888889</v>
      </c>
      <c r="L45" s="49" t="s">
        <v>109</v>
      </c>
      <c r="M45" s="87" t="s">
        <v>845</v>
      </c>
      <c r="N45" s="62" t="str">
        <f t="shared" si="2"/>
        <v>VT_7_12_65397b2d-34eb-419a-8b4f-bc5ad34ae362_000000_000000.mp4</v>
      </c>
      <c r="O45" s="48"/>
      <c r="P45" s="48"/>
      <c r="Q45" s="63"/>
      <c r="R45" s="49"/>
      <c r="S45" s="49"/>
      <c r="T45" s="49"/>
    </row>
    <row r="46">
      <c r="A46" s="49" t="str">
        <f>IFERROR(__xludf.DUMMYFUNCTION("""COMPUTED_VALUE"""),"How to spot that special something")</f>
        <v>How to spot that special something</v>
      </c>
      <c r="B46" s="49" t="str">
        <f>IFERROR(__xludf.DUMMYFUNCTION("""COMPUTED_VALUE"""),"Venture stage")</f>
        <v>Venture stage</v>
      </c>
      <c r="C46" s="51" t="str">
        <f>IFERROR(__xludf.DUMMYFUNCTION("""COMPUTED_VALUE"""),"Jackey Wang, Nick Coronges, Carlos Silva and Jeremy Goldman")</f>
        <v>Jackey Wang, Nick Coronges, Carlos Silva and Jeremy Goldman</v>
      </c>
      <c r="D46" s="49" t="str">
        <f>IFERROR(__xludf.DUMMYFUNCTION("""COMPUTED_VALUE"""),"2019/11/07 15:20:00")</f>
        <v>2019/11/07 15:20:00</v>
      </c>
      <c r="E46" s="49" t="str">
        <f>IFERROR(__xludf.DUMMYFUNCTION("""COMPUTED_VALUE"""),"2019/11/07 15:40:00")</f>
        <v>2019/11/07 15:40:00</v>
      </c>
      <c r="F46" s="49" t="str">
        <f>IFERROR(__xludf.DUMMYFUNCTION("""COMPUTED_VALUE"""),"46765f3b-4ab8-4f7f-b3b8-9a45ba14b21e")</f>
        <v>46765f3b-4ab8-4f7f-b3b8-9a45ba14b21e</v>
      </c>
      <c r="G46" s="52">
        <f>IFERROR(__xludf.DUMMYFUNCTION("""COMPUTED_VALUE"""),43776.0)</f>
        <v>43776</v>
      </c>
      <c r="H46" s="53">
        <f>IFERROR(__xludf.DUMMYFUNCTION("""COMPUTED_VALUE"""),0.6388888888888888)</f>
        <v>0.6388888889</v>
      </c>
      <c r="I46" s="52">
        <f>IFERROR(__xludf.DUMMYFUNCTION("""COMPUTED_VALUE"""),43776.0)</f>
        <v>43776</v>
      </c>
      <c r="J46" s="53">
        <f>IFERROR(__xludf.DUMMYFUNCTION("""COMPUTED_VALUE"""),0.6527777777777778)</f>
        <v>0.6527777778</v>
      </c>
      <c r="K46" s="53">
        <f t="shared" si="1"/>
        <v>0.01388888889</v>
      </c>
      <c r="L46" s="49" t="s">
        <v>109</v>
      </c>
      <c r="M46" s="87" t="s">
        <v>846</v>
      </c>
      <c r="N46" s="62" t="str">
        <f t="shared" si="2"/>
        <v>VT_7_13_46765f3b-4ab8-4f7f-b3b8-9a45ba14b21e_000000_000000.mp4</v>
      </c>
      <c r="O46" s="48"/>
      <c r="P46" s="48"/>
      <c r="Q46" s="63"/>
      <c r="R46" s="49"/>
      <c r="S46" s="49"/>
      <c r="T46" s="49"/>
    </row>
    <row r="47">
      <c r="A47" s="49"/>
      <c r="B47" s="49"/>
      <c r="C47" s="51"/>
      <c r="D47" s="49"/>
      <c r="E47" s="49"/>
      <c r="F47" s="49"/>
      <c r="G47" s="49" t="str">
        <f>IFERROR(__xludf.DUMMYFUNCTION("""COMPUTED_VALUE"""),"#VALUE!")</f>
        <v>#VALUE!</v>
      </c>
      <c r="H47" s="49" t="str">
        <f>IFERROR(__xludf.DUMMYFUNCTION("""COMPUTED_VALUE"""),"")</f>
        <v/>
      </c>
      <c r="I47" s="49" t="str">
        <f>IFERROR(__xludf.DUMMYFUNCTION("""COMPUTED_VALUE"""),"#VALUE!")</f>
        <v>#VALUE!</v>
      </c>
      <c r="J47" s="49" t="str">
        <f>IFERROR(__xludf.DUMMYFUNCTION("""COMPUTED_VALUE"""),"")</f>
        <v/>
      </c>
      <c r="K47" s="49">
        <f t="shared" si="1"/>
        <v>0</v>
      </c>
      <c r="L47" s="49" t="s">
        <v>255</v>
      </c>
      <c r="M47" s="49"/>
      <c r="N47" s="49"/>
      <c r="O47" s="49"/>
      <c r="P47" s="49"/>
      <c r="Q47" s="49"/>
      <c r="R47" s="49"/>
      <c r="S47" s="49"/>
      <c r="T47" s="49"/>
    </row>
    <row r="48">
      <c r="A48" s="49"/>
      <c r="B48" s="49"/>
      <c r="C48" s="51"/>
      <c r="D48" s="49"/>
      <c r="E48" s="49"/>
      <c r="F48" s="49"/>
      <c r="G48" s="49" t="str">
        <f>IFERROR(__xludf.DUMMYFUNCTION("""COMPUTED_VALUE"""),"#VALUE!")</f>
        <v>#VALUE!</v>
      </c>
      <c r="H48" s="49" t="str">
        <f>IFERROR(__xludf.DUMMYFUNCTION("""COMPUTED_VALUE"""),"")</f>
        <v/>
      </c>
      <c r="I48" s="49" t="str">
        <f>IFERROR(__xludf.DUMMYFUNCTION("""COMPUTED_VALUE"""),"#VALUE!")</f>
        <v>#VALUE!</v>
      </c>
      <c r="J48" s="49" t="str">
        <f>IFERROR(__xludf.DUMMYFUNCTION("""COMPUTED_VALUE"""),"")</f>
        <v/>
      </c>
      <c r="K48" s="49">
        <f t="shared" si="1"/>
        <v>0</v>
      </c>
      <c r="L48" s="49" t="s">
        <v>255</v>
      </c>
      <c r="M48" s="49"/>
      <c r="N48" s="49"/>
      <c r="O48" s="49"/>
      <c r="P48" s="49"/>
      <c r="Q48" s="49"/>
      <c r="R48" s="49"/>
      <c r="S48" s="49"/>
      <c r="T48" s="49"/>
    </row>
    <row r="49">
      <c r="A49" s="49"/>
      <c r="B49" s="49"/>
      <c r="C49" s="51"/>
      <c r="D49" s="49"/>
      <c r="E49" s="49"/>
      <c r="F49" s="49"/>
      <c r="G49" s="49" t="str">
        <f>IFERROR(__xludf.DUMMYFUNCTION("""COMPUTED_VALUE"""),"#VALUE!")</f>
        <v>#VALUE!</v>
      </c>
      <c r="H49" s="49" t="str">
        <f>IFERROR(__xludf.DUMMYFUNCTION("""COMPUTED_VALUE"""),"")</f>
        <v/>
      </c>
      <c r="I49" s="49" t="str">
        <f>IFERROR(__xludf.DUMMYFUNCTION("""COMPUTED_VALUE"""),"#VALUE!")</f>
        <v>#VALUE!</v>
      </c>
      <c r="J49" s="49" t="str">
        <f>IFERROR(__xludf.DUMMYFUNCTION("""COMPUTED_VALUE"""),"")</f>
        <v/>
      </c>
      <c r="K49" s="49">
        <f t="shared" si="1"/>
        <v>0</v>
      </c>
      <c r="L49" s="49" t="s">
        <v>255</v>
      </c>
      <c r="M49" s="49"/>
      <c r="N49" s="49"/>
      <c r="O49" s="49"/>
      <c r="P49" s="49"/>
      <c r="Q49" s="49"/>
      <c r="R49" s="49"/>
      <c r="S49" s="49"/>
      <c r="T49" s="49"/>
    </row>
    <row r="50">
      <c r="A50" s="49"/>
      <c r="B50" s="49"/>
      <c r="C50" s="51"/>
      <c r="D50" s="49"/>
      <c r="E50" s="49"/>
      <c r="F50" s="49"/>
      <c r="G50" s="49" t="str">
        <f>IFERROR(__xludf.DUMMYFUNCTION("""COMPUTED_VALUE"""),"#VALUE!")</f>
        <v>#VALUE!</v>
      </c>
      <c r="H50" s="49" t="str">
        <f>IFERROR(__xludf.DUMMYFUNCTION("""COMPUTED_VALUE"""),"")</f>
        <v/>
      </c>
      <c r="I50" s="49" t="str">
        <f>IFERROR(__xludf.DUMMYFUNCTION("""COMPUTED_VALUE"""),"#VALUE!")</f>
        <v>#VALUE!</v>
      </c>
      <c r="J50" s="49" t="str">
        <f>IFERROR(__xludf.DUMMYFUNCTION("""COMPUTED_VALUE"""),"")</f>
        <v/>
      </c>
      <c r="K50" s="49">
        <f t="shared" si="1"/>
        <v>0</v>
      </c>
      <c r="L50" s="49" t="s">
        <v>255</v>
      </c>
      <c r="M50" s="49"/>
      <c r="N50" s="49"/>
      <c r="O50" s="49"/>
      <c r="P50" s="49"/>
      <c r="Q50" s="49"/>
      <c r="R50" s="49"/>
      <c r="S50" s="49"/>
      <c r="T50" s="49"/>
    </row>
    <row r="51">
      <c r="A51" s="49"/>
      <c r="B51" s="49"/>
      <c r="C51" s="51"/>
      <c r="D51" s="49"/>
      <c r="E51" s="49"/>
      <c r="F51" s="49"/>
      <c r="G51" s="49" t="str">
        <f>IFERROR(__xludf.DUMMYFUNCTION("""COMPUTED_VALUE"""),"#VALUE!")</f>
        <v>#VALUE!</v>
      </c>
      <c r="H51" s="49" t="str">
        <f>IFERROR(__xludf.DUMMYFUNCTION("""COMPUTED_VALUE"""),"")</f>
        <v/>
      </c>
      <c r="I51" s="49" t="str">
        <f>IFERROR(__xludf.DUMMYFUNCTION("""COMPUTED_VALUE"""),"#VALUE!")</f>
        <v>#VALUE!</v>
      </c>
      <c r="J51" s="49" t="str">
        <f>IFERROR(__xludf.DUMMYFUNCTION("""COMPUTED_VALUE"""),"")</f>
        <v/>
      </c>
      <c r="K51" s="49">
        <f t="shared" si="1"/>
        <v>0</v>
      </c>
      <c r="L51" s="49" t="s">
        <v>255</v>
      </c>
      <c r="M51" s="49"/>
      <c r="N51" s="49"/>
      <c r="O51" s="49"/>
      <c r="P51" s="49"/>
      <c r="Q51" s="49"/>
      <c r="R51" s="49"/>
      <c r="S51" s="49"/>
      <c r="T51" s="49"/>
    </row>
    <row r="52">
      <c r="A52" s="49"/>
      <c r="B52" s="49"/>
      <c r="C52" s="51"/>
      <c r="D52" s="49"/>
      <c r="E52" s="49"/>
      <c r="F52" s="49"/>
      <c r="G52" s="49" t="str">
        <f>IFERROR(__xludf.DUMMYFUNCTION("""COMPUTED_VALUE"""),"#VALUE!")</f>
        <v>#VALUE!</v>
      </c>
      <c r="H52" s="49" t="str">
        <f>IFERROR(__xludf.DUMMYFUNCTION("""COMPUTED_VALUE"""),"")</f>
        <v/>
      </c>
      <c r="I52" s="49" t="str">
        <f>IFERROR(__xludf.DUMMYFUNCTION("""COMPUTED_VALUE"""),"#VALUE!")</f>
        <v>#VALUE!</v>
      </c>
      <c r="J52" s="49" t="str">
        <f>IFERROR(__xludf.DUMMYFUNCTION("""COMPUTED_VALUE"""),"")</f>
        <v/>
      </c>
      <c r="K52" s="49">
        <f t="shared" si="1"/>
        <v>0</v>
      </c>
      <c r="L52" s="49" t="s">
        <v>255</v>
      </c>
      <c r="M52" s="49"/>
      <c r="N52" s="49"/>
      <c r="O52" s="49"/>
      <c r="P52" s="49"/>
      <c r="Q52" s="49"/>
      <c r="R52" s="49"/>
      <c r="S52" s="49"/>
      <c r="T52" s="49"/>
    </row>
    <row r="53">
      <c r="A53" s="49"/>
      <c r="B53" s="49"/>
      <c r="C53" s="51"/>
      <c r="D53" s="49"/>
      <c r="E53" s="49"/>
      <c r="F53" s="49"/>
      <c r="G53" s="49" t="str">
        <f>IFERROR(__xludf.DUMMYFUNCTION("""COMPUTED_VALUE"""),"#VALUE!")</f>
        <v>#VALUE!</v>
      </c>
      <c r="H53" s="49" t="str">
        <f>IFERROR(__xludf.DUMMYFUNCTION("""COMPUTED_VALUE"""),"")</f>
        <v/>
      </c>
      <c r="I53" s="49" t="str">
        <f>IFERROR(__xludf.DUMMYFUNCTION("""COMPUTED_VALUE"""),"#VALUE!")</f>
        <v>#VALUE!</v>
      </c>
      <c r="J53" s="49" t="str">
        <f>IFERROR(__xludf.DUMMYFUNCTION("""COMPUTED_VALUE"""),"")</f>
        <v/>
      </c>
      <c r="K53" s="49">
        <f t="shared" si="1"/>
        <v>0</v>
      </c>
      <c r="L53" s="49" t="s">
        <v>255</v>
      </c>
      <c r="M53" s="49"/>
      <c r="N53" s="49"/>
      <c r="O53" s="49"/>
      <c r="P53" s="49"/>
      <c r="Q53" s="49"/>
      <c r="R53" s="49"/>
      <c r="S53" s="49"/>
      <c r="T53" s="49"/>
    </row>
    <row r="54">
      <c r="A54" s="49"/>
      <c r="B54" s="49"/>
      <c r="C54" s="51"/>
      <c r="D54" s="49"/>
      <c r="E54" s="49"/>
      <c r="F54" s="49"/>
      <c r="G54" s="49" t="str">
        <f>IFERROR(__xludf.DUMMYFUNCTION("""COMPUTED_VALUE"""),"#VALUE!")</f>
        <v>#VALUE!</v>
      </c>
      <c r="H54" s="49" t="str">
        <f>IFERROR(__xludf.DUMMYFUNCTION("""COMPUTED_VALUE"""),"")</f>
        <v/>
      </c>
      <c r="I54" s="49" t="str">
        <f>IFERROR(__xludf.DUMMYFUNCTION("""COMPUTED_VALUE"""),"#VALUE!")</f>
        <v>#VALUE!</v>
      </c>
      <c r="J54" s="49" t="str">
        <f>IFERROR(__xludf.DUMMYFUNCTION("""COMPUTED_VALUE"""),"")</f>
        <v/>
      </c>
      <c r="K54" s="49">
        <f t="shared" si="1"/>
        <v>0</v>
      </c>
      <c r="L54" s="49" t="s">
        <v>255</v>
      </c>
      <c r="M54" s="49"/>
      <c r="N54" s="49"/>
      <c r="O54" s="49"/>
      <c r="P54" s="49"/>
      <c r="Q54" s="49"/>
      <c r="R54" s="49"/>
      <c r="S54" s="49"/>
      <c r="T54" s="49"/>
    </row>
    <row r="55">
      <c r="A55" s="49"/>
      <c r="B55" s="49"/>
      <c r="C55" s="51"/>
      <c r="D55" s="49"/>
      <c r="E55" s="49"/>
      <c r="F55" s="49"/>
      <c r="G55" s="49" t="str">
        <f>IFERROR(__xludf.DUMMYFUNCTION("""COMPUTED_VALUE"""),"#VALUE!")</f>
        <v>#VALUE!</v>
      </c>
      <c r="H55" s="49" t="str">
        <f>IFERROR(__xludf.DUMMYFUNCTION("""COMPUTED_VALUE"""),"")</f>
        <v/>
      </c>
      <c r="I55" s="49" t="str">
        <f>IFERROR(__xludf.DUMMYFUNCTION("""COMPUTED_VALUE"""),"#VALUE!")</f>
        <v>#VALUE!</v>
      </c>
      <c r="J55" s="49" t="str">
        <f>IFERROR(__xludf.DUMMYFUNCTION("""COMPUTED_VALUE"""),"")</f>
        <v/>
      </c>
      <c r="K55" s="49">
        <f t="shared" si="1"/>
        <v>0</v>
      </c>
      <c r="L55" s="49" t="s">
        <v>255</v>
      </c>
      <c r="M55" s="49"/>
      <c r="N55" s="49"/>
      <c r="O55" s="49"/>
      <c r="P55" s="49"/>
      <c r="Q55" s="49"/>
      <c r="R55" s="49"/>
      <c r="S55" s="49"/>
      <c r="T55" s="49"/>
    </row>
    <row r="56">
      <c r="A56" s="49"/>
      <c r="B56" s="49"/>
      <c r="C56" s="51"/>
      <c r="D56" s="49"/>
      <c r="E56" s="49"/>
      <c r="F56" s="49"/>
      <c r="G56" s="49" t="str">
        <f>IFERROR(__xludf.DUMMYFUNCTION("""COMPUTED_VALUE"""),"#VALUE!")</f>
        <v>#VALUE!</v>
      </c>
      <c r="H56" s="49" t="str">
        <f>IFERROR(__xludf.DUMMYFUNCTION("""COMPUTED_VALUE"""),"")</f>
        <v/>
      </c>
      <c r="I56" s="49" t="str">
        <f>IFERROR(__xludf.DUMMYFUNCTION("""COMPUTED_VALUE"""),"#VALUE!")</f>
        <v>#VALUE!</v>
      </c>
      <c r="J56" s="49" t="str">
        <f>IFERROR(__xludf.DUMMYFUNCTION("""COMPUTED_VALUE"""),"")</f>
        <v/>
      </c>
      <c r="K56" s="49">
        <f t="shared" si="1"/>
        <v>0</v>
      </c>
      <c r="L56" s="49" t="s">
        <v>255</v>
      </c>
      <c r="M56" s="49"/>
      <c r="N56" s="49"/>
      <c r="O56" s="49"/>
      <c r="P56" s="49"/>
      <c r="Q56" s="49"/>
      <c r="R56" s="49"/>
      <c r="S56" s="49"/>
      <c r="T56" s="49"/>
    </row>
    <row r="57">
      <c r="A57" s="49"/>
      <c r="B57" s="49"/>
      <c r="C57" s="51"/>
      <c r="D57" s="49"/>
      <c r="E57" s="49"/>
      <c r="F57" s="49"/>
      <c r="G57" s="49" t="str">
        <f>IFERROR(__xludf.DUMMYFUNCTION("""COMPUTED_VALUE"""),"#VALUE!")</f>
        <v>#VALUE!</v>
      </c>
      <c r="H57" s="49" t="str">
        <f>IFERROR(__xludf.DUMMYFUNCTION("""COMPUTED_VALUE"""),"")</f>
        <v/>
      </c>
      <c r="I57" s="49" t="str">
        <f>IFERROR(__xludf.DUMMYFUNCTION("""COMPUTED_VALUE"""),"#VALUE!")</f>
        <v>#VALUE!</v>
      </c>
      <c r="J57" s="49" t="str">
        <f>IFERROR(__xludf.DUMMYFUNCTION("""COMPUTED_VALUE"""),"")</f>
        <v/>
      </c>
      <c r="K57" s="49">
        <f t="shared" si="1"/>
        <v>0</v>
      </c>
      <c r="L57" s="49" t="s">
        <v>255</v>
      </c>
      <c r="M57" s="49"/>
      <c r="N57" s="49"/>
      <c r="O57" s="49"/>
      <c r="P57" s="49"/>
      <c r="Q57" s="49"/>
      <c r="R57" s="49"/>
      <c r="S57" s="49"/>
      <c r="T57" s="49"/>
    </row>
    <row r="58">
      <c r="A58" s="49"/>
      <c r="B58" s="49"/>
      <c r="C58" s="51"/>
      <c r="D58" s="49"/>
      <c r="E58" s="49"/>
      <c r="F58" s="49"/>
      <c r="G58" s="49" t="str">
        <f>IFERROR(__xludf.DUMMYFUNCTION("""COMPUTED_VALUE"""),"#VALUE!")</f>
        <v>#VALUE!</v>
      </c>
      <c r="H58" s="49" t="str">
        <f>IFERROR(__xludf.DUMMYFUNCTION("""COMPUTED_VALUE"""),"")</f>
        <v/>
      </c>
      <c r="I58" s="49" t="str">
        <f>IFERROR(__xludf.DUMMYFUNCTION("""COMPUTED_VALUE"""),"#VALUE!")</f>
        <v>#VALUE!</v>
      </c>
      <c r="J58" s="49" t="str">
        <f>IFERROR(__xludf.DUMMYFUNCTION("""COMPUTED_VALUE"""),"")</f>
        <v/>
      </c>
      <c r="K58" s="49">
        <f t="shared" si="1"/>
        <v>0</v>
      </c>
      <c r="L58" s="49" t="s">
        <v>255</v>
      </c>
      <c r="M58" s="49"/>
      <c r="N58" s="49"/>
      <c r="O58" s="49"/>
      <c r="P58" s="49"/>
      <c r="Q58" s="49"/>
      <c r="R58" s="49"/>
      <c r="S58" s="49"/>
      <c r="T58" s="49"/>
    </row>
    <row r="59">
      <c r="A59" s="49"/>
      <c r="B59" s="49"/>
      <c r="C59" s="51"/>
      <c r="D59" s="49"/>
      <c r="E59" s="49"/>
      <c r="F59" s="49"/>
      <c r="G59" s="49" t="str">
        <f>IFERROR(__xludf.DUMMYFUNCTION("""COMPUTED_VALUE"""),"#VALUE!")</f>
        <v>#VALUE!</v>
      </c>
      <c r="H59" s="49" t="str">
        <f>IFERROR(__xludf.DUMMYFUNCTION("""COMPUTED_VALUE"""),"")</f>
        <v/>
      </c>
      <c r="I59" s="49" t="str">
        <f>IFERROR(__xludf.DUMMYFUNCTION("""COMPUTED_VALUE"""),"#VALUE!")</f>
        <v>#VALUE!</v>
      </c>
      <c r="J59" s="49" t="str">
        <f>IFERROR(__xludf.DUMMYFUNCTION("""COMPUTED_VALUE"""),"")</f>
        <v/>
      </c>
      <c r="K59" s="49">
        <f t="shared" si="1"/>
        <v>0</v>
      </c>
      <c r="L59" s="49" t="s">
        <v>255</v>
      </c>
      <c r="M59" s="49"/>
      <c r="N59" s="49"/>
      <c r="O59" s="49"/>
      <c r="P59" s="49"/>
      <c r="Q59" s="49"/>
      <c r="R59" s="49"/>
      <c r="S59" s="49"/>
      <c r="T59" s="49"/>
    </row>
    <row r="60">
      <c r="A60" s="49"/>
      <c r="B60" s="49"/>
      <c r="C60" s="51"/>
      <c r="D60" s="49"/>
      <c r="E60" s="49"/>
      <c r="F60" s="49"/>
      <c r="G60" s="49" t="str">
        <f>IFERROR(__xludf.DUMMYFUNCTION("""COMPUTED_VALUE"""),"#VALUE!")</f>
        <v>#VALUE!</v>
      </c>
      <c r="H60" s="49" t="str">
        <f>IFERROR(__xludf.DUMMYFUNCTION("""COMPUTED_VALUE"""),"")</f>
        <v/>
      </c>
      <c r="I60" s="49" t="str">
        <f>IFERROR(__xludf.DUMMYFUNCTION("""COMPUTED_VALUE"""),"#VALUE!")</f>
        <v>#VALUE!</v>
      </c>
      <c r="J60" s="49" t="str">
        <f>IFERROR(__xludf.DUMMYFUNCTION("""COMPUTED_VALUE"""),"")</f>
        <v/>
      </c>
      <c r="K60" s="49">
        <f t="shared" si="1"/>
        <v>0</v>
      </c>
      <c r="L60" s="49" t="s">
        <v>255</v>
      </c>
      <c r="M60" s="49"/>
      <c r="N60" s="49"/>
      <c r="O60" s="49"/>
      <c r="P60" s="49"/>
      <c r="Q60" s="49"/>
      <c r="R60" s="49"/>
      <c r="S60" s="49"/>
      <c r="T60" s="49"/>
    </row>
    <row r="61">
      <c r="A61" s="49"/>
      <c r="B61" s="49"/>
      <c r="C61" s="51"/>
      <c r="D61" s="49"/>
      <c r="E61" s="49"/>
      <c r="F61" s="49"/>
      <c r="G61" s="49" t="str">
        <f>IFERROR(__xludf.DUMMYFUNCTION("""COMPUTED_VALUE"""),"#VALUE!")</f>
        <v>#VALUE!</v>
      </c>
      <c r="H61" s="49" t="str">
        <f>IFERROR(__xludf.DUMMYFUNCTION("""COMPUTED_VALUE"""),"")</f>
        <v/>
      </c>
      <c r="I61" s="49" t="str">
        <f>IFERROR(__xludf.DUMMYFUNCTION("""COMPUTED_VALUE"""),"#VALUE!")</f>
        <v>#VALUE!</v>
      </c>
      <c r="J61" s="49" t="str">
        <f>IFERROR(__xludf.DUMMYFUNCTION("""COMPUTED_VALUE"""),"")</f>
        <v/>
      </c>
      <c r="K61" s="49">
        <f t="shared" si="1"/>
        <v>0</v>
      </c>
      <c r="L61" s="49" t="s">
        <v>255</v>
      </c>
      <c r="M61" s="49"/>
      <c r="N61" s="49"/>
      <c r="O61" s="49"/>
      <c r="P61" s="49"/>
      <c r="Q61" s="49"/>
      <c r="R61" s="49"/>
      <c r="S61" s="49"/>
      <c r="T61" s="49"/>
    </row>
    <row r="62">
      <c r="A62" s="49"/>
      <c r="B62" s="49"/>
      <c r="C62" s="51"/>
      <c r="D62" s="49"/>
      <c r="E62" s="49"/>
      <c r="F62" s="49"/>
      <c r="G62" s="49" t="str">
        <f>IFERROR(__xludf.DUMMYFUNCTION("""COMPUTED_VALUE"""),"#VALUE!")</f>
        <v>#VALUE!</v>
      </c>
      <c r="H62" s="49" t="str">
        <f>IFERROR(__xludf.DUMMYFUNCTION("""COMPUTED_VALUE"""),"")</f>
        <v/>
      </c>
      <c r="I62" s="49" t="str">
        <f>IFERROR(__xludf.DUMMYFUNCTION("""COMPUTED_VALUE"""),"#VALUE!")</f>
        <v>#VALUE!</v>
      </c>
      <c r="J62" s="49" t="str">
        <f>IFERROR(__xludf.DUMMYFUNCTION("""COMPUTED_VALUE"""),"")</f>
        <v/>
      </c>
      <c r="K62" s="49">
        <f t="shared" si="1"/>
        <v>0</v>
      </c>
      <c r="L62" s="49" t="s">
        <v>255</v>
      </c>
      <c r="M62" s="49"/>
      <c r="N62" s="49"/>
      <c r="O62" s="49"/>
      <c r="P62" s="49"/>
      <c r="Q62" s="49"/>
      <c r="R62" s="49"/>
      <c r="S62" s="49"/>
      <c r="T62" s="49"/>
    </row>
    <row r="63">
      <c r="A63" s="49"/>
      <c r="B63" s="49"/>
      <c r="C63" s="51"/>
      <c r="D63" s="49"/>
      <c r="E63" s="49"/>
      <c r="F63" s="49"/>
      <c r="G63" s="49" t="str">
        <f>IFERROR(__xludf.DUMMYFUNCTION("""COMPUTED_VALUE"""),"#VALUE!")</f>
        <v>#VALUE!</v>
      </c>
      <c r="H63" s="49" t="str">
        <f>IFERROR(__xludf.DUMMYFUNCTION("""COMPUTED_VALUE"""),"")</f>
        <v/>
      </c>
      <c r="I63" s="49" t="str">
        <f>IFERROR(__xludf.DUMMYFUNCTION("""COMPUTED_VALUE"""),"#VALUE!")</f>
        <v>#VALUE!</v>
      </c>
      <c r="J63" s="49" t="str">
        <f>IFERROR(__xludf.DUMMYFUNCTION("""COMPUTED_VALUE"""),"")</f>
        <v/>
      </c>
      <c r="K63" s="49">
        <f t="shared" si="1"/>
        <v>0</v>
      </c>
      <c r="L63" s="49" t="s">
        <v>255</v>
      </c>
      <c r="M63" s="49"/>
      <c r="N63" s="49"/>
      <c r="O63" s="49"/>
      <c r="P63" s="49"/>
      <c r="Q63" s="49"/>
      <c r="R63" s="49"/>
      <c r="S63" s="49"/>
      <c r="T63" s="49"/>
    </row>
    <row r="64">
      <c r="A64" s="49"/>
      <c r="B64" s="49"/>
      <c r="C64" s="51"/>
      <c r="D64" s="49"/>
      <c r="E64" s="49"/>
      <c r="F64" s="49"/>
      <c r="G64" s="49" t="str">
        <f>IFERROR(__xludf.DUMMYFUNCTION("""COMPUTED_VALUE"""),"#VALUE!")</f>
        <v>#VALUE!</v>
      </c>
      <c r="H64" s="49" t="str">
        <f>IFERROR(__xludf.DUMMYFUNCTION("""COMPUTED_VALUE"""),"")</f>
        <v/>
      </c>
      <c r="I64" s="49" t="str">
        <f>IFERROR(__xludf.DUMMYFUNCTION("""COMPUTED_VALUE"""),"#VALUE!")</f>
        <v>#VALUE!</v>
      </c>
      <c r="J64" s="49" t="str">
        <f>IFERROR(__xludf.DUMMYFUNCTION("""COMPUTED_VALUE"""),"")</f>
        <v/>
      </c>
      <c r="K64" s="49"/>
      <c r="L64" s="49" t="s">
        <v>255</v>
      </c>
      <c r="M64" s="49"/>
      <c r="N64" s="49"/>
      <c r="O64" s="49"/>
      <c r="P64" s="49"/>
      <c r="Q64" s="49"/>
      <c r="R64" s="49"/>
      <c r="S64" s="49"/>
      <c r="T64" s="49"/>
    </row>
    <row r="65">
      <c r="A65" s="49"/>
      <c r="B65" s="49"/>
      <c r="C65" s="51"/>
      <c r="D65" s="49"/>
      <c r="E65" s="49"/>
      <c r="F65" s="49"/>
      <c r="G65" s="49" t="str">
        <f>IFERROR(__xludf.DUMMYFUNCTION("""COMPUTED_VALUE"""),"#VALUE!")</f>
        <v>#VALUE!</v>
      </c>
      <c r="H65" s="49" t="str">
        <f>IFERROR(__xludf.DUMMYFUNCTION("""COMPUTED_VALUE"""),"")</f>
        <v/>
      </c>
      <c r="I65" s="49" t="str">
        <f>IFERROR(__xludf.DUMMYFUNCTION("""COMPUTED_VALUE"""),"#VALUE!")</f>
        <v>#VALUE!</v>
      </c>
      <c r="J65" s="49" t="str">
        <f>IFERROR(__xludf.DUMMYFUNCTION("""COMPUTED_VALUE"""),"")</f>
        <v/>
      </c>
      <c r="K65" s="49"/>
      <c r="L65" s="49" t="s">
        <v>255</v>
      </c>
      <c r="M65" s="49"/>
      <c r="N65" s="49"/>
      <c r="O65" s="49"/>
      <c r="P65" s="49"/>
      <c r="Q65" s="49"/>
      <c r="R65" s="49"/>
      <c r="S65" s="49"/>
      <c r="T65" s="49"/>
    </row>
    <row r="66">
      <c r="A66" s="49"/>
      <c r="B66" s="49"/>
      <c r="C66" s="51"/>
      <c r="D66" s="49"/>
      <c r="E66" s="49"/>
      <c r="F66" s="49"/>
      <c r="G66" s="49" t="str">
        <f>IFERROR(__xludf.DUMMYFUNCTION("""COMPUTED_VALUE"""),"#VALUE!")</f>
        <v>#VALUE!</v>
      </c>
      <c r="H66" s="49" t="str">
        <f>IFERROR(__xludf.DUMMYFUNCTION("""COMPUTED_VALUE"""),"")</f>
        <v/>
      </c>
      <c r="I66" s="49" t="str">
        <f>IFERROR(__xludf.DUMMYFUNCTION("""COMPUTED_VALUE"""),"#VALUE!")</f>
        <v>#VALUE!</v>
      </c>
      <c r="J66" s="49" t="str">
        <f>IFERROR(__xludf.DUMMYFUNCTION("""COMPUTED_VALUE"""),"")</f>
        <v/>
      </c>
      <c r="K66" s="49"/>
      <c r="L66" s="49" t="s">
        <v>255</v>
      </c>
      <c r="M66" s="49"/>
      <c r="N66" s="49"/>
      <c r="O66" s="49"/>
      <c r="P66" s="49"/>
      <c r="Q66" s="49"/>
      <c r="R66" s="49"/>
      <c r="S66" s="49"/>
      <c r="T66" s="49"/>
    </row>
    <row r="67">
      <c r="A67" s="49"/>
      <c r="B67" s="49"/>
      <c r="C67" s="51"/>
      <c r="D67" s="49"/>
      <c r="E67" s="49"/>
      <c r="F67" s="49"/>
      <c r="G67" s="49" t="str">
        <f>IFERROR(__xludf.DUMMYFUNCTION("""COMPUTED_VALUE"""),"#VALUE!")</f>
        <v>#VALUE!</v>
      </c>
      <c r="H67" s="49" t="str">
        <f>IFERROR(__xludf.DUMMYFUNCTION("""COMPUTED_VALUE"""),"")</f>
        <v/>
      </c>
      <c r="I67" s="49" t="str">
        <f>IFERROR(__xludf.DUMMYFUNCTION("""COMPUTED_VALUE"""),"#VALUE!")</f>
        <v>#VALUE!</v>
      </c>
      <c r="J67" s="49" t="str">
        <f>IFERROR(__xludf.DUMMYFUNCTION("""COMPUTED_VALUE"""),"")</f>
        <v/>
      </c>
      <c r="K67" s="49"/>
      <c r="L67" s="49" t="s">
        <v>255</v>
      </c>
      <c r="M67" s="49"/>
      <c r="N67" s="49"/>
      <c r="O67" s="49"/>
      <c r="P67" s="49"/>
      <c r="Q67" s="49"/>
      <c r="R67" s="49"/>
      <c r="S67" s="49"/>
      <c r="T67" s="49"/>
    </row>
    <row r="68">
      <c r="A68" s="49"/>
      <c r="B68" s="49"/>
      <c r="C68" s="51"/>
      <c r="D68" s="49"/>
      <c r="E68" s="49"/>
      <c r="F68" s="49"/>
      <c r="G68" s="49" t="str">
        <f>IFERROR(__xludf.DUMMYFUNCTION("""COMPUTED_VALUE"""),"#VALUE!")</f>
        <v>#VALUE!</v>
      </c>
      <c r="H68" s="49" t="str">
        <f>IFERROR(__xludf.DUMMYFUNCTION("""COMPUTED_VALUE"""),"")</f>
        <v/>
      </c>
      <c r="I68" s="49" t="str">
        <f>IFERROR(__xludf.DUMMYFUNCTION("""COMPUTED_VALUE"""),"#VALUE!")</f>
        <v>#VALUE!</v>
      </c>
      <c r="J68" s="49" t="str">
        <f>IFERROR(__xludf.DUMMYFUNCTION("""COMPUTED_VALUE"""),"")</f>
        <v/>
      </c>
      <c r="K68" s="49"/>
      <c r="L68" s="49" t="s">
        <v>255</v>
      </c>
      <c r="M68" s="49"/>
      <c r="N68" s="49"/>
      <c r="O68" s="49"/>
      <c r="P68" s="49"/>
      <c r="Q68" s="49"/>
      <c r="R68" s="49"/>
      <c r="S68" s="49"/>
      <c r="T68" s="49"/>
    </row>
    <row r="69">
      <c r="A69" s="49"/>
      <c r="B69" s="49"/>
      <c r="C69" s="51"/>
      <c r="D69" s="49"/>
      <c r="E69" s="49"/>
      <c r="F69" s="49"/>
      <c r="G69" s="49" t="str">
        <f>IFERROR(__xludf.DUMMYFUNCTION("""COMPUTED_VALUE"""),"#VALUE!")</f>
        <v>#VALUE!</v>
      </c>
      <c r="H69" s="49" t="str">
        <f>IFERROR(__xludf.DUMMYFUNCTION("""COMPUTED_VALUE"""),"")</f>
        <v/>
      </c>
      <c r="I69" s="49" t="str">
        <f>IFERROR(__xludf.DUMMYFUNCTION("""COMPUTED_VALUE"""),"#VALUE!")</f>
        <v>#VALUE!</v>
      </c>
      <c r="J69" s="49" t="str">
        <f>IFERROR(__xludf.DUMMYFUNCTION("""COMPUTED_VALUE"""),"")</f>
        <v/>
      </c>
      <c r="K69" s="49"/>
      <c r="L69" s="49" t="s">
        <v>255</v>
      </c>
      <c r="M69" s="49"/>
      <c r="N69" s="49"/>
      <c r="O69" s="49"/>
      <c r="P69" s="49"/>
      <c r="Q69" s="49"/>
      <c r="R69" s="49"/>
      <c r="S69" s="49"/>
      <c r="T69" s="49"/>
    </row>
    <row r="70">
      <c r="A70" s="49"/>
      <c r="B70" s="49"/>
      <c r="C70" s="51"/>
      <c r="D70" s="49"/>
      <c r="E70" s="49"/>
      <c r="F70" s="49"/>
      <c r="G70" s="49" t="str">
        <f>IFERROR(__xludf.DUMMYFUNCTION("""COMPUTED_VALUE"""),"#VALUE!")</f>
        <v>#VALUE!</v>
      </c>
      <c r="H70" s="49" t="str">
        <f>IFERROR(__xludf.DUMMYFUNCTION("""COMPUTED_VALUE"""),"")</f>
        <v/>
      </c>
      <c r="I70" s="49" t="str">
        <f>IFERROR(__xludf.DUMMYFUNCTION("""COMPUTED_VALUE"""),"#VALUE!")</f>
        <v>#VALUE!</v>
      </c>
      <c r="J70" s="49" t="str">
        <f>IFERROR(__xludf.DUMMYFUNCTION("""COMPUTED_VALUE"""),"")</f>
        <v/>
      </c>
      <c r="K70" s="49"/>
      <c r="L70" s="49" t="s">
        <v>255</v>
      </c>
      <c r="M70" s="49"/>
      <c r="N70" s="49"/>
      <c r="O70" s="49"/>
      <c r="P70" s="49"/>
      <c r="Q70" s="49"/>
      <c r="R70" s="49"/>
      <c r="S70" s="49"/>
      <c r="T70" s="49"/>
    </row>
    <row r="71">
      <c r="A71" s="49"/>
      <c r="B71" s="49"/>
      <c r="C71" s="51"/>
      <c r="D71" s="49"/>
      <c r="E71" s="49"/>
      <c r="F71" s="49"/>
      <c r="G71" s="49" t="str">
        <f>IFERROR(__xludf.DUMMYFUNCTION("""COMPUTED_VALUE"""),"#VALUE!")</f>
        <v>#VALUE!</v>
      </c>
      <c r="H71" s="49" t="str">
        <f>IFERROR(__xludf.DUMMYFUNCTION("""COMPUTED_VALUE"""),"")</f>
        <v/>
      </c>
      <c r="I71" s="49" t="str">
        <f>IFERROR(__xludf.DUMMYFUNCTION("""COMPUTED_VALUE"""),"#VALUE!")</f>
        <v>#VALUE!</v>
      </c>
      <c r="J71" s="49" t="str">
        <f>IFERROR(__xludf.DUMMYFUNCTION("""COMPUTED_VALUE"""),"")</f>
        <v/>
      </c>
      <c r="K71" s="49"/>
      <c r="L71" s="49" t="s">
        <v>255</v>
      </c>
      <c r="M71" s="49"/>
      <c r="N71" s="49"/>
      <c r="O71" s="49"/>
      <c r="P71" s="49"/>
      <c r="Q71" s="49"/>
      <c r="R71" s="49"/>
      <c r="S71" s="49"/>
      <c r="T71" s="49"/>
    </row>
    <row r="72">
      <c r="A72" s="49"/>
      <c r="B72" s="49"/>
      <c r="C72" s="51"/>
      <c r="D72" s="49"/>
      <c r="E72" s="49"/>
      <c r="F72" s="49"/>
      <c r="G72" s="49" t="str">
        <f>IFERROR(__xludf.DUMMYFUNCTION("""COMPUTED_VALUE"""),"#VALUE!")</f>
        <v>#VALUE!</v>
      </c>
      <c r="H72" s="49" t="str">
        <f>IFERROR(__xludf.DUMMYFUNCTION("""COMPUTED_VALUE"""),"")</f>
        <v/>
      </c>
      <c r="I72" s="49" t="str">
        <f>IFERROR(__xludf.DUMMYFUNCTION("""COMPUTED_VALUE"""),"#VALUE!")</f>
        <v>#VALUE!</v>
      </c>
      <c r="J72" s="49" t="str">
        <f>IFERROR(__xludf.DUMMYFUNCTION("""COMPUTED_VALUE"""),"")</f>
        <v/>
      </c>
      <c r="K72" s="49"/>
      <c r="L72" s="49" t="s">
        <v>255</v>
      </c>
      <c r="M72" s="49"/>
      <c r="N72" s="49"/>
      <c r="O72" s="49"/>
      <c r="P72" s="49"/>
      <c r="Q72" s="49"/>
      <c r="R72" s="49"/>
      <c r="S72" s="49"/>
      <c r="T72" s="49"/>
    </row>
    <row r="73">
      <c r="A73" s="49"/>
      <c r="B73" s="49"/>
      <c r="C73" s="51"/>
      <c r="D73" s="49"/>
      <c r="E73" s="49"/>
      <c r="F73" s="49"/>
      <c r="G73" s="49" t="str">
        <f>IFERROR(__xludf.DUMMYFUNCTION("""COMPUTED_VALUE"""),"#VALUE!")</f>
        <v>#VALUE!</v>
      </c>
      <c r="H73" s="49" t="str">
        <f>IFERROR(__xludf.DUMMYFUNCTION("""COMPUTED_VALUE"""),"")</f>
        <v/>
      </c>
      <c r="I73" s="49" t="str">
        <f>IFERROR(__xludf.DUMMYFUNCTION("""COMPUTED_VALUE"""),"#VALUE!")</f>
        <v>#VALUE!</v>
      </c>
      <c r="J73" s="49" t="str">
        <f>IFERROR(__xludf.DUMMYFUNCTION("""COMPUTED_VALUE"""),"")</f>
        <v/>
      </c>
      <c r="K73" s="49"/>
      <c r="L73" s="49" t="s">
        <v>255</v>
      </c>
      <c r="M73" s="49"/>
      <c r="N73" s="49"/>
      <c r="O73" s="49"/>
      <c r="P73" s="49"/>
      <c r="Q73" s="49"/>
      <c r="R73" s="49"/>
      <c r="S73" s="49"/>
      <c r="T73" s="49"/>
    </row>
    <row r="74">
      <c r="A74" s="49"/>
      <c r="B74" s="49"/>
      <c r="C74" s="51"/>
      <c r="D74" s="49"/>
      <c r="E74" s="49"/>
      <c r="F74" s="49"/>
      <c r="G74" s="49" t="str">
        <f>IFERROR(__xludf.DUMMYFUNCTION("""COMPUTED_VALUE"""),"#VALUE!")</f>
        <v>#VALUE!</v>
      </c>
      <c r="H74" s="49" t="str">
        <f>IFERROR(__xludf.DUMMYFUNCTION("""COMPUTED_VALUE"""),"")</f>
        <v/>
      </c>
      <c r="I74" s="49" t="str">
        <f>IFERROR(__xludf.DUMMYFUNCTION("""COMPUTED_VALUE"""),"#VALUE!")</f>
        <v>#VALUE!</v>
      </c>
      <c r="J74" s="49" t="str">
        <f>IFERROR(__xludf.DUMMYFUNCTION("""COMPUTED_VALUE"""),"")</f>
        <v/>
      </c>
      <c r="K74" s="49"/>
      <c r="L74" s="49" t="s">
        <v>255</v>
      </c>
      <c r="M74" s="49"/>
      <c r="N74" s="49"/>
      <c r="O74" s="49"/>
      <c r="P74" s="49"/>
      <c r="Q74" s="49"/>
      <c r="R74" s="49"/>
      <c r="S74" s="49"/>
      <c r="T74" s="49"/>
    </row>
    <row r="75">
      <c r="A75" s="49"/>
      <c r="B75" s="49"/>
      <c r="C75" s="51"/>
      <c r="D75" s="49"/>
      <c r="E75" s="49"/>
      <c r="F75" s="49"/>
      <c r="G75" s="49" t="str">
        <f>IFERROR(__xludf.DUMMYFUNCTION("""COMPUTED_VALUE"""),"#VALUE!")</f>
        <v>#VALUE!</v>
      </c>
      <c r="H75" s="49" t="str">
        <f>IFERROR(__xludf.DUMMYFUNCTION("""COMPUTED_VALUE"""),"")</f>
        <v/>
      </c>
      <c r="I75" s="49" t="str">
        <f>IFERROR(__xludf.DUMMYFUNCTION("""COMPUTED_VALUE"""),"#VALUE!")</f>
        <v>#VALUE!</v>
      </c>
      <c r="J75" s="49" t="str">
        <f>IFERROR(__xludf.DUMMYFUNCTION("""COMPUTED_VALUE"""),"")</f>
        <v/>
      </c>
      <c r="K75" s="49"/>
      <c r="L75" s="49" t="s">
        <v>255</v>
      </c>
      <c r="M75" s="49"/>
      <c r="N75" s="49"/>
      <c r="O75" s="49"/>
      <c r="P75" s="49"/>
      <c r="Q75" s="49"/>
      <c r="R75" s="49"/>
      <c r="S75" s="49"/>
      <c r="T75" s="49"/>
    </row>
    <row r="76">
      <c r="A76" s="49"/>
      <c r="B76" s="49"/>
      <c r="C76" s="51"/>
      <c r="D76" s="49"/>
      <c r="E76" s="49"/>
      <c r="F76" s="49"/>
      <c r="G76" s="49" t="str">
        <f>IFERROR(__xludf.DUMMYFUNCTION("""COMPUTED_VALUE"""),"#VALUE!")</f>
        <v>#VALUE!</v>
      </c>
      <c r="H76" s="49" t="str">
        <f>IFERROR(__xludf.DUMMYFUNCTION("""COMPUTED_VALUE"""),"")</f>
        <v/>
      </c>
      <c r="I76" s="49" t="str">
        <f>IFERROR(__xludf.DUMMYFUNCTION("""COMPUTED_VALUE"""),"#VALUE!")</f>
        <v>#VALUE!</v>
      </c>
      <c r="J76" s="49" t="str">
        <f>IFERROR(__xludf.DUMMYFUNCTION("""COMPUTED_VALUE"""),"")</f>
        <v/>
      </c>
      <c r="K76" s="49"/>
      <c r="L76" s="49" t="s">
        <v>255</v>
      </c>
      <c r="M76" s="49"/>
      <c r="N76" s="49"/>
      <c r="O76" s="49"/>
      <c r="P76" s="49"/>
      <c r="Q76" s="49"/>
      <c r="R76" s="49"/>
      <c r="S76" s="49"/>
      <c r="T76" s="49"/>
    </row>
    <row r="77">
      <c r="A77" s="49"/>
      <c r="B77" s="49"/>
      <c r="C77" s="51"/>
      <c r="D77" s="49"/>
      <c r="E77" s="49"/>
      <c r="F77" s="49"/>
      <c r="G77" s="49" t="str">
        <f>IFERROR(__xludf.DUMMYFUNCTION("""COMPUTED_VALUE"""),"#VALUE!")</f>
        <v>#VALUE!</v>
      </c>
      <c r="H77" s="49" t="str">
        <f>IFERROR(__xludf.DUMMYFUNCTION("""COMPUTED_VALUE"""),"")</f>
        <v/>
      </c>
      <c r="I77" s="49" t="str">
        <f>IFERROR(__xludf.DUMMYFUNCTION("""COMPUTED_VALUE"""),"#VALUE!")</f>
        <v>#VALUE!</v>
      </c>
      <c r="J77" s="49" t="str">
        <f>IFERROR(__xludf.DUMMYFUNCTION("""COMPUTED_VALUE"""),"")</f>
        <v/>
      </c>
      <c r="K77" s="49"/>
      <c r="L77" s="49" t="s">
        <v>255</v>
      </c>
      <c r="M77" s="49"/>
      <c r="N77" s="49"/>
      <c r="O77" s="49"/>
      <c r="P77" s="49"/>
      <c r="Q77" s="49"/>
      <c r="R77" s="49"/>
      <c r="S77" s="49"/>
      <c r="T77" s="49"/>
    </row>
    <row r="78">
      <c r="A78" s="49"/>
      <c r="B78" s="49"/>
      <c r="C78" s="51"/>
      <c r="D78" s="49"/>
      <c r="E78" s="49"/>
      <c r="F78" s="49"/>
      <c r="G78" s="49" t="str">
        <f>IFERROR(__xludf.DUMMYFUNCTION("""COMPUTED_VALUE"""),"#VALUE!")</f>
        <v>#VALUE!</v>
      </c>
      <c r="H78" s="49" t="str">
        <f>IFERROR(__xludf.DUMMYFUNCTION("""COMPUTED_VALUE"""),"")</f>
        <v/>
      </c>
      <c r="I78" s="49" t="str">
        <f>IFERROR(__xludf.DUMMYFUNCTION("""COMPUTED_VALUE"""),"#VALUE!")</f>
        <v>#VALUE!</v>
      </c>
      <c r="J78" s="49" t="str">
        <f>IFERROR(__xludf.DUMMYFUNCTION("""COMPUTED_VALUE"""),"")</f>
        <v/>
      </c>
      <c r="K78" s="49"/>
      <c r="L78" s="49" t="s">
        <v>255</v>
      </c>
      <c r="M78" s="49"/>
      <c r="N78" s="49"/>
      <c r="O78" s="49"/>
      <c r="P78" s="49"/>
      <c r="Q78" s="49"/>
      <c r="R78" s="49"/>
      <c r="S78" s="49"/>
      <c r="T78" s="49"/>
    </row>
    <row r="79">
      <c r="A79" s="49"/>
      <c r="B79" s="49"/>
      <c r="C79" s="51"/>
      <c r="D79" s="49"/>
      <c r="E79" s="49"/>
      <c r="F79" s="49"/>
      <c r="G79" s="49" t="str">
        <f>IFERROR(__xludf.DUMMYFUNCTION("""COMPUTED_VALUE"""),"#VALUE!")</f>
        <v>#VALUE!</v>
      </c>
      <c r="H79" s="49" t="str">
        <f>IFERROR(__xludf.DUMMYFUNCTION("""COMPUTED_VALUE"""),"")</f>
        <v/>
      </c>
      <c r="I79" s="49" t="str">
        <f>IFERROR(__xludf.DUMMYFUNCTION("""COMPUTED_VALUE"""),"#VALUE!")</f>
        <v>#VALUE!</v>
      </c>
      <c r="J79" s="49" t="str">
        <f>IFERROR(__xludf.DUMMYFUNCTION("""COMPUTED_VALUE"""),"")</f>
        <v/>
      </c>
      <c r="K79" s="49"/>
      <c r="L79" s="49" t="s">
        <v>255</v>
      </c>
      <c r="M79" s="49"/>
      <c r="N79" s="49"/>
      <c r="O79" s="49"/>
      <c r="P79" s="49"/>
      <c r="Q79" s="49"/>
      <c r="R79" s="49"/>
      <c r="S79" s="49"/>
      <c r="T79" s="49"/>
    </row>
    <row r="80">
      <c r="A80" s="49"/>
      <c r="B80" s="49"/>
      <c r="C80" s="51"/>
      <c r="D80" s="49"/>
      <c r="E80" s="49"/>
      <c r="F80" s="49"/>
      <c r="G80" s="49" t="str">
        <f>IFERROR(__xludf.DUMMYFUNCTION("""COMPUTED_VALUE"""),"#VALUE!")</f>
        <v>#VALUE!</v>
      </c>
      <c r="H80" s="49" t="str">
        <f>IFERROR(__xludf.DUMMYFUNCTION("""COMPUTED_VALUE"""),"")</f>
        <v/>
      </c>
      <c r="I80" s="49" t="str">
        <f>IFERROR(__xludf.DUMMYFUNCTION("""COMPUTED_VALUE"""),"#VALUE!")</f>
        <v>#VALUE!</v>
      </c>
      <c r="J80" s="49" t="str">
        <f>IFERROR(__xludf.DUMMYFUNCTION("""COMPUTED_VALUE"""),"")</f>
        <v/>
      </c>
      <c r="K80" s="49"/>
      <c r="L80" s="49" t="s">
        <v>255</v>
      </c>
      <c r="M80" s="49"/>
      <c r="N80" s="49"/>
      <c r="O80" s="49"/>
      <c r="P80" s="49"/>
      <c r="Q80" s="49"/>
      <c r="R80" s="49"/>
      <c r="S80" s="49"/>
      <c r="T80" s="49"/>
    </row>
    <row r="81">
      <c r="A81" s="49"/>
      <c r="B81" s="49"/>
      <c r="C81" s="51"/>
      <c r="D81" s="49"/>
      <c r="E81" s="49"/>
      <c r="F81" s="49"/>
      <c r="G81" s="49" t="str">
        <f>IFERROR(__xludf.DUMMYFUNCTION("""COMPUTED_VALUE"""),"#VALUE!")</f>
        <v>#VALUE!</v>
      </c>
      <c r="H81" s="49" t="str">
        <f>IFERROR(__xludf.DUMMYFUNCTION("""COMPUTED_VALUE"""),"")</f>
        <v/>
      </c>
      <c r="I81" s="49" t="str">
        <f>IFERROR(__xludf.DUMMYFUNCTION("""COMPUTED_VALUE"""),"#VALUE!")</f>
        <v>#VALUE!</v>
      </c>
      <c r="J81" s="49" t="str">
        <f>IFERROR(__xludf.DUMMYFUNCTION("""COMPUTED_VALUE"""),"")</f>
        <v/>
      </c>
      <c r="K81" s="49"/>
      <c r="L81" s="49" t="s">
        <v>255</v>
      </c>
      <c r="M81" s="49"/>
      <c r="N81" s="49"/>
      <c r="O81" s="49"/>
      <c r="P81" s="49"/>
      <c r="Q81" s="49"/>
      <c r="R81" s="49"/>
      <c r="S81" s="49"/>
      <c r="T81" s="49"/>
    </row>
    <row r="82">
      <c r="A82" s="49"/>
      <c r="B82" s="49"/>
      <c r="C82" s="51"/>
      <c r="D82" s="49"/>
      <c r="E82" s="49"/>
      <c r="F82" s="49"/>
      <c r="G82" s="49" t="str">
        <f>IFERROR(__xludf.DUMMYFUNCTION("""COMPUTED_VALUE"""),"#VALUE!")</f>
        <v>#VALUE!</v>
      </c>
      <c r="H82" s="49" t="str">
        <f>IFERROR(__xludf.DUMMYFUNCTION("""COMPUTED_VALUE"""),"")</f>
        <v/>
      </c>
      <c r="I82" s="49" t="str">
        <f>IFERROR(__xludf.DUMMYFUNCTION("""COMPUTED_VALUE"""),"#VALUE!")</f>
        <v>#VALUE!</v>
      </c>
      <c r="J82" s="49" t="str">
        <f>IFERROR(__xludf.DUMMYFUNCTION("""COMPUTED_VALUE"""),"")</f>
        <v/>
      </c>
      <c r="K82" s="49"/>
      <c r="L82" s="49" t="s">
        <v>255</v>
      </c>
      <c r="M82" s="49"/>
      <c r="N82" s="49"/>
      <c r="O82" s="49"/>
      <c r="P82" s="49"/>
      <c r="Q82" s="49"/>
      <c r="R82" s="49"/>
      <c r="S82" s="49"/>
      <c r="T82" s="49"/>
    </row>
    <row r="83">
      <c r="A83" s="49"/>
      <c r="B83" s="49"/>
      <c r="C83" s="51"/>
      <c r="D83" s="49"/>
      <c r="E83" s="49"/>
      <c r="F83" s="49"/>
      <c r="G83" s="49" t="str">
        <f>IFERROR(__xludf.DUMMYFUNCTION("""COMPUTED_VALUE"""),"#VALUE!")</f>
        <v>#VALUE!</v>
      </c>
      <c r="H83" s="49" t="str">
        <f>IFERROR(__xludf.DUMMYFUNCTION("""COMPUTED_VALUE"""),"")</f>
        <v/>
      </c>
      <c r="I83" s="49" t="str">
        <f>IFERROR(__xludf.DUMMYFUNCTION("""COMPUTED_VALUE"""),"#VALUE!")</f>
        <v>#VALUE!</v>
      </c>
      <c r="J83" s="49" t="str">
        <f>IFERROR(__xludf.DUMMYFUNCTION("""COMPUTED_VALUE"""),"")</f>
        <v/>
      </c>
      <c r="K83" s="49"/>
      <c r="L83" s="49" t="s">
        <v>255</v>
      </c>
      <c r="M83" s="49"/>
      <c r="N83" s="49"/>
      <c r="O83" s="49"/>
      <c r="P83" s="49"/>
      <c r="Q83" s="49"/>
      <c r="R83" s="49"/>
      <c r="S83" s="49"/>
      <c r="T83" s="49"/>
    </row>
    <row r="84">
      <c r="A84" s="49"/>
      <c r="B84" s="49"/>
      <c r="C84" s="51"/>
      <c r="D84" s="49"/>
      <c r="E84" s="49"/>
      <c r="F84" s="49"/>
      <c r="G84" s="49" t="str">
        <f>IFERROR(__xludf.DUMMYFUNCTION("""COMPUTED_VALUE"""),"#VALUE!")</f>
        <v>#VALUE!</v>
      </c>
      <c r="H84" s="49" t="str">
        <f>IFERROR(__xludf.DUMMYFUNCTION("""COMPUTED_VALUE"""),"")</f>
        <v/>
      </c>
      <c r="I84" s="49" t="str">
        <f>IFERROR(__xludf.DUMMYFUNCTION("""COMPUTED_VALUE"""),"#VALUE!")</f>
        <v>#VALUE!</v>
      </c>
      <c r="J84" s="49" t="str">
        <f>IFERROR(__xludf.DUMMYFUNCTION("""COMPUTED_VALUE"""),"")</f>
        <v/>
      </c>
      <c r="K84" s="49"/>
      <c r="L84" s="49" t="s">
        <v>255</v>
      </c>
      <c r="M84" s="49"/>
      <c r="N84" s="49"/>
      <c r="O84" s="49"/>
      <c r="P84" s="49"/>
      <c r="Q84" s="49"/>
      <c r="R84" s="49"/>
      <c r="S84" s="49"/>
      <c r="T84" s="49"/>
    </row>
    <row r="85">
      <c r="A85" s="49"/>
      <c r="B85" s="49"/>
      <c r="C85" s="51"/>
      <c r="D85" s="49"/>
      <c r="E85" s="49"/>
      <c r="F85" s="49"/>
      <c r="G85" s="49" t="str">
        <f>IFERROR(__xludf.DUMMYFUNCTION("""COMPUTED_VALUE"""),"#VALUE!")</f>
        <v>#VALUE!</v>
      </c>
      <c r="H85" s="49" t="str">
        <f>IFERROR(__xludf.DUMMYFUNCTION("""COMPUTED_VALUE"""),"")</f>
        <v/>
      </c>
      <c r="I85" s="49" t="str">
        <f>IFERROR(__xludf.DUMMYFUNCTION("""COMPUTED_VALUE"""),"#VALUE!")</f>
        <v>#VALUE!</v>
      </c>
      <c r="J85" s="49" t="str">
        <f>IFERROR(__xludf.DUMMYFUNCTION("""COMPUTED_VALUE"""),"")</f>
        <v/>
      </c>
      <c r="K85" s="49"/>
      <c r="L85" s="49" t="s">
        <v>255</v>
      </c>
      <c r="M85" s="49"/>
      <c r="N85" s="49"/>
      <c r="O85" s="49"/>
      <c r="P85" s="49"/>
      <c r="Q85" s="49"/>
      <c r="R85" s="49"/>
      <c r="S85" s="49"/>
      <c r="T85" s="49"/>
    </row>
    <row r="86">
      <c r="A86" s="49"/>
      <c r="B86" s="49"/>
      <c r="C86" s="51"/>
      <c r="D86" s="49"/>
      <c r="E86" s="49"/>
      <c r="F86" s="49"/>
      <c r="G86" s="49" t="str">
        <f>IFERROR(__xludf.DUMMYFUNCTION("""COMPUTED_VALUE"""),"#VALUE!")</f>
        <v>#VALUE!</v>
      </c>
      <c r="H86" s="49" t="str">
        <f>IFERROR(__xludf.DUMMYFUNCTION("""COMPUTED_VALUE"""),"")</f>
        <v/>
      </c>
      <c r="I86" s="49" t="str">
        <f>IFERROR(__xludf.DUMMYFUNCTION("""COMPUTED_VALUE"""),"#VALUE!")</f>
        <v>#VALUE!</v>
      </c>
      <c r="J86" s="49" t="str">
        <f>IFERROR(__xludf.DUMMYFUNCTION("""COMPUTED_VALUE"""),"")</f>
        <v/>
      </c>
      <c r="K86" s="49"/>
      <c r="L86" s="49" t="s">
        <v>255</v>
      </c>
      <c r="M86" s="49"/>
      <c r="N86" s="49"/>
      <c r="O86" s="49"/>
      <c r="P86" s="49"/>
      <c r="Q86" s="49"/>
      <c r="R86" s="49"/>
      <c r="S86" s="49"/>
      <c r="T86" s="49"/>
    </row>
    <row r="87">
      <c r="A87" s="49"/>
      <c r="B87" s="49"/>
      <c r="C87" s="51"/>
      <c r="D87" s="49"/>
      <c r="E87" s="49"/>
      <c r="F87" s="49"/>
      <c r="G87" s="49" t="str">
        <f>IFERROR(__xludf.DUMMYFUNCTION("""COMPUTED_VALUE"""),"#VALUE!")</f>
        <v>#VALUE!</v>
      </c>
      <c r="H87" s="49" t="str">
        <f>IFERROR(__xludf.DUMMYFUNCTION("""COMPUTED_VALUE"""),"")</f>
        <v/>
      </c>
      <c r="I87" s="49" t="str">
        <f>IFERROR(__xludf.DUMMYFUNCTION("""COMPUTED_VALUE"""),"#VALUE!")</f>
        <v>#VALUE!</v>
      </c>
      <c r="J87" s="49" t="str">
        <f>IFERROR(__xludf.DUMMYFUNCTION("""COMPUTED_VALUE"""),"")</f>
        <v/>
      </c>
      <c r="K87" s="49"/>
      <c r="L87" s="49" t="s">
        <v>255</v>
      </c>
      <c r="M87" s="49"/>
      <c r="N87" s="49"/>
      <c r="O87" s="49"/>
      <c r="P87" s="49"/>
      <c r="Q87" s="49"/>
      <c r="R87" s="49"/>
      <c r="S87" s="49"/>
      <c r="T87" s="49"/>
    </row>
    <row r="88">
      <c r="A88" s="49"/>
      <c r="B88" s="49"/>
      <c r="C88" s="51"/>
      <c r="D88" s="49"/>
      <c r="E88" s="49"/>
      <c r="F88" s="49"/>
      <c r="G88" s="49" t="str">
        <f>IFERROR(__xludf.DUMMYFUNCTION("""COMPUTED_VALUE"""),"#VALUE!")</f>
        <v>#VALUE!</v>
      </c>
      <c r="H88" s="49" t="str">
        <f>IFERROR(__xludf.DUMMYFUNCTION("""COMPUTED_VALUE"""),"")</f>
        <v/>
      </c>
      <c r="I88" s="49" t="str">
        <f>IFERROR(__xludf.DUMMYFUNCTION("""COMPUTED_VALUE"""),"#VALUE!")</f>
        <v>#VALUE!</v>
      </c>
      <c r="J88" s="49" t="str">
        <f>IFERROR(__xludf.DUMMYFUNCTION("""COMPUTED_VALUE"""),"")</f>
        <v/>
      </c>
      <c r="K88" s="49"/>
      <c r="L88" s="49" t="s">
        <v>255</v>
      </c>
      <c r="M88" s="49"/>
      <c r="N88" s="49"/>
      <c r="O88" s="49"/>
      <c r="P88" s="49"/>
      <c r="Q88" s="49"/>
      <c r="R88" s="49"/>
      <c r="S88" s="49"/>
      <c r="T88" s="49"/>
    </row>
    <row r="89">
      <c r="A89" s="49"/>
      <c r="B89" s="49"/>
      <c r="C89" s="51"/>
      <c r="D89" s="49"/>
      <c r="E89" s="49"/>
      <c r="F89" s="49"/>
      <c r="G89" s="49" t="str">
        <f>IFERROR(__xludf.DUMMYFUNCTION("""COMPUTED_VALUE"""),"#VALUE!")</f>
        <v>#VALUE!</v>
      </c>
      <c r="H89" s="49" t="str">
        <f>IFERROR(__xludf.DUMMYFUNCTION("""COMPUTED_VALUE"""),"")</f>
        <v/>
      </c>
      <c r="I89" s="49" t="str">
        <f>IFERROR(__xludf.DUMMYFUNCTION("""COMPUTED_VALUE"""),"#VALUE!")</f>
        <v>#VALUE!</v>
      </c>
      <c r="J89" s="49" t="str">
        <f>IFERROR(__xludf.DUMMYFUNCTION("""COMPUTED_VALUE"""),"")</f>
        <v/>
      </c>
      <c r="K89" s="49"/>
      <c r="L89" s="49" t="s">
        <v>255</v>
      </c>
      <c r="M89" s="49"/>
      <c r="N89" s="49"/>
      <c r="O89" s="49"/>
      <c r="P89" s="49"/>
      <c r="Q89" s="49"/>
      <c r="R89" s="49"/>
      <c r="S89" s="49"/>
      <c r="T89" s="49"/>
    </row>
    <row r="90">
      <c r="A90" s="49"/>
      <c r="B90" s="49"/>
      <c r="C90" s="51"/>
      <c r="D90" s="49"/>
      <c r="E90" s="49"/>
      <c r="F90" s="49"/>
      <c r="G90" s="49" t="str">
        <f>IFERROR(__xludf.DUMMYFUNCTION("""COMPUTED_VALUE"""),"#VALUE!")</f>
        <v>#VALUE!</v>
      </c>
      <c r="H90" s="49" t="str">
        <f>IFERROR(__xludf.DUMMYFUNCTION("""COMPUTED_VALUE"""),"")</f>
        <v/>
      </c>
      <c r="I90" s="49" t="str">
        <f>IFERROR(__xludf.DUMMYFUNCTION("""COMPUTED_VALUE"""),"#VALUE!")</f>
        <v>#VALUE!</v>
      </c>
      <c r="J90" s="49" t="str">
        <f>IFERROR(__xludf.DUMMYFUNCTION("""COMPUTED_VALUE"""),"")</f>
        <v/>
      </c>
      <c r="K90" s="49"/>
      <c r="L90" s="49" t="s">
        <v>255</v>
      </c>
      <c r="M90" s="49"/>
      <c r="N90" s="49"/>
      <c r="O90" s="49"/>
      <c r="P90" s="49"/>
      <c r="Q90" s="49"/>
      <c r="R90" s="49"/>
      <c r="S90" s="49"/>
      <c r="T90" s="49"/>
    </row>
    <row r="91">
      <c r="A91" s="49"/>
      <c r="B91" s="49"/>
      <c r="C91" s="51"/>
      <c r="D91" s="49"/>
      <c r="E91" s="49"/>
      <c r="F91" s="49"/>
      <c r="G91" s="49" t="str">
        <f>IFERROR(__xludf.DUMMYFUNCTION("""COMPUTED_VALUE"""),"#VALUE!")</f>
        <v>#VALUE!</v>
      </c>
      <c r="H91" s="49" t="str">
        <f>IFERROR(__xludf.DUMMYFUNCTION("""COMPUTED_VALUE"""),"")</f>
        <v/>
      </c>
      <c r="I91" s="49" t="str">
        <f>IFERROR(__xludf.DUMMYFUNCTION("""COMPUTED_VALUE"""),"#VALUE!")</f>
        <v>#VALUE!</v>
      </c>
      <c r="J91" s="49" t="str">
        <f>IFERROR(__xludf.DUMMYFUNCTION("""COMPUTED_VALUE"""),"")</f>
        <v/>
      </c>
      <c r="K91" s="49"/>
      <c r="L91" s="49" t="s">
        <v>255</v>
      </c>
      <c r="M91" s="49"/>
      <c r="N91" s="49"/>
      <c r="O91" s="49"/>
      <c r="P91" s="49"/>
      <c r="Q91" s="49"/>
      <c r="R91" s="49"/>
      <c r="S91" s="49"/>
      <c r="T91" s="49"/>
    </row>
    <row r="92">
      <c r="A92" s="49"/>
      <c r="B92" s="49"/>
      <c r="C92" s="51"/>
      <c r="D92" s="49"/>
      <c r="E92" s="49"/>
      <c r="F92" s="49"/>
      <c r="G92" s="49" t="str">
        <f>IFERROR(__xludf.DUMMYFUNCTION("""COMPUTED_VALUE"""),"#VALUE!")</f>
        <v>#VALUE!</v>
      </c>
      <c r="H92" s="49" t="str">
        <f>IFERROR(__xludf.DUMMYFUNCTION("""COMPUTED_VALUE"""),"")</f>
        <v/>
      </c>
      <c r="I92" s="49" t="str">
        <f>IFERROR(__xludf.DUMMYFUNCTION("""COMPUTED_VALUE"""),"#VALUE!")</f>
        <v>#VALUE!</v>
      </c>
      <c r="J92" s="49" t="str">
        <f>IFERROR(__xludf.DUMMYFUNCTION("""COMPUTED_VALUE"""),"")</f>
        <v/>
      </c>
      <c r="K92" s="49"/>
      <c r="L92" s="49" t="s">
        <v>255</v>
      </c>
      <c r="M92" s="49"/>
      <c r="N92" s="49"/>
      <c r="O92" s="49"/>
      <c r="P92" s="49"/>
      <c r="Q92" s="49"/>
      <c r="R92" s="49"/>
      <c r="S92" s="49"/>
      <c r="T92" s="49"/>
    </row>
    <row r="93">
      <c r="A93" s="49"/>
      <c r="B93" s="49"/>
      <c r="C93" s="51"/>
      <c r="D93" s="49"/>
      <c r="E93" s="49"/>
      <c r="F93" s="49"/>
      <c r="G93" s="49" t="str">
        <f>IFERROR(__xludf.DUMMYFUNCTION("""COMPUTED_VALUE"""),"#VALUE!")</f>
        <v>#VALUE!</v>
      </c>
      <c r="H93" s="49" t="str">
        <f>IFERROR(__xludf.DUMMYFUNCTION("""COMPUTED_VALUE"""),"")</f>
        <v/>
      </c>
      <c r="I93" s="49" t="str">
        <f>IFERROR(__xludf.DUMMYFUNCTION("""COMPUTED_VALUE"""),"#VALUE!")</f>
        <v>#VALUE!</v>
      </c>
      <c r="J93" s="49" t="str">
        <f>IFERROR(__xludf.DUMMYFUNCTION("""COMPUTED_VALUE"""),"")</f>
        <v/>
      </c>
      <c r="K93" s="49"/>
      <c r="L93" s="49" t="s">
        <v>255</v>
      </c>
      <c r="M93" s="49"/>
      <c r="N93" s="49"/>
      <c r="O93" s="49"/>
      <c r="P93" s="49"/>
      <c r="Q93" s="49"/>
      <c r="R93" s="49"/>
      <c r="S93" s="49"/>
      <c r="T93" s="49"/>
    </row>
    <row r="94">
      <c r="A94" s="49"/>
      <c r="B94" s="49"/>
      <c r="C94" s="51"/>
      <c r="D94" s="49"/>
      <c r="E94" s="49"/>
      <c r="F94" s="49"/>
      <c r="G94" s="49" t="str">
        <f>IFERROR(__xludf.DUMMYFUNCTION("""COMPUTED_VALUE"""),"#VALUE!")</f>
        <v>#VALUE!</v>
      </c>
      <c r="H94" s="49" t="str">
        <f>IFERROR(__xludf.DUMMYFUNCTION("""COMPUTED_VALUE"""),"")</f>
        <v/>
      </c>
      <c r="I94" s="49" t="str">
        <f>IFERROR(__xludf.DUMMYFUNCTION("""COMPUTED_VALUE"""),"#VALUE!")</f>
        <v>#VALUE!</v>
      </c>
      <c r="J94" s="49" t="str">
        <f>IFERROR(__xludf.DUMMYFUNCTION("""COMPUTED_VALUE"""),"")</f>
        <v/>
      </c>
      <c r="K94" s="49"/>
      <c r="L94" s="49" t="s">
        <v>255</v>
      </c>
      <c r="M94" s="49"/>
      <c r="N94" s="49"/>
      <c r="O94" s="49"/>
      <c r="P94" s="49"/>
      <c r="Q94" s="49"/>
      <c r="R94" s="49"/>
      <c r="S94" s="49"/>
      <c r="T94" s="49"/>
    </row>
    <row r="95">
      <c r="A95" s="49"/>
      <c r="B95" s="49"/>
      <c r="C95" s="51"/>
      <c r="D95" s="49"/>
      <c r="E95" s="49"/>
      <c r="F95" s="49"/>
      <c r="G95" s="49" t="str">
        <f>IFERROR(__xludf.DUMMYFUNCTION("""COMPUTED_VALUE"""),"#VALUE!")</f>
        <v>#VALUE!</v>
      </c>
      <c r="H95" s="49" t="str">
        <f>IFERROR(__xludf.DUMMYFUNCTION("""COMPUTED_VALUE"""),"")</f>
        <v/>
      </c>
      <c r="I95" s="49" t="str">
        <f>IFERROR(__xludf.DUMMYFUNCTION("""COMPUTED_VALUE"""),"#VALUE!")</f>
        <v>#VALUE!</v>
      </c>
      <c r="J95" s="49" t="str">
        <f>IFERROR(__xludf.DUMMYFUNCTION("""COMPUTED_VALUE"""),"")</f>
        <v/>
      </c>
      <c r="K95" s="49"/>
      <c r="L95" s="49" t="s">
        <v>255</v>
      </c>
      <c r="M95" s="49"/>
      <c r="N95" s="49"/>
      <c r="O95" s="49"/>
      <c r="P95" s="49"/>
      <c r="Q95" s="49"/>
      <c r="R95" s="49"/>
      <c r="S95" s="49"/>
      <c r="T95" s="49"/>
    </row>
    <row r="96">
      <c r="A96" s="49"/>
      <c r="B96" s="49"/>
      <c r="C96" s="51"/>
      <c r="D96" s="49"/>
      <c r="E96" s="49"/>
      <c r="F96" s="49"/>
      <c r="G96" s="49" t="str">
        <f>IFERROR(__xludf.DUMMYFUNCTION("""COMPUTED_VALUE"""),"#VALUE!")</f>
        <v>#VALUE!</v>
      </c>
      <c r="H96" s="49" t="str">
        <f>IFERROR(__xludf.DUMMYFUNCTION("""COMPUTED_VALUE"""),"")</f>
        <v/>
      </c>
      <c r="I96" s="49" t="str">
        <f>IFERROR(__xludf.DUMMYFUNCTION("""COMPUTED_VALUE"""),"#VALUE!")</f>
        <v>#VALUE!</v>
      </c>
      <c r="J96" s="49" t="str">
        <f>IFERROR(__xludf.DUMMYFUNCTION("""COMPUTED_VALUE"""),"")</f>
        <v/>
      </c>
      <c r="K96" s="49"/>
      <c r="L96" s="49" t="s">
        <v>255</v>
      </c>
      <c r="M96" s="49"/>
      <c r="N96" s="49"/>
      <c r="O96" s="49"/>
      <c r="P96" s="49"/>
      <c r="Q96" s="49"/>
      <c r="R96" s="49"/>
      <c r="S96" s="49"/>
      <c r="T96" s="49"/>
    </row>
    <row r="97">
      <c r="A97" s="49"/>
      <c r="B97" s="49"/>
      <c r="C97" s="51"/>
      <c r="D97" s="49"/>
      <c r="E97" s="49"/>
      <c r="F97" s="49"/>
      <c r="G97" s="49" t="str">
        <f>IFERROR(__xludf.DUMMYFUNCTION("""COMPUTED_VALUE"""),"#VALUE!")</f>
        <v>#VALUE!</v>
      </c>
      <c r="H97" s="49" t="str">
        <f>IFERROR(__xludf.DUMMYFUNCTION("""COMPUTED_VALUE"""),"")</f>
        <v/>
      </c>
      <c r="I97" s="49" t="str">
        <f>IFERROR(__xludf.DUMMYFUNCTION("""COMPUTED_VALUE"""),"#VALUE!")</f>
        <v>#VALUE!</v>
      </c>
      <c r="J97" s="49" t="str">
        <f>IFERROR(__xludf.DUMMYFUNCTION("""COMPUTED_VALUE"""),"")</f>
        <v/>
      </c>
      <c r="K97" s="49"/>
      <c r="L97" s="49" t="s">
        <v>255</v>
      </c>
      <c r="M97" s="49"/>
      <c r="N97" s="49"/>
      <c r="O97" s="49"/>
      <c r="P97" s="49"/>
      <c r="Q97" s="49"/>
      <c r="R97" s="49"/>
      <c r="S97" s="49"/>
      <c r="T97" s="49"/>
    </row>
    <row r="98">
      <c r="A98" s="49"/>
      <c r="B98" s="49"/>
      <c r="C98" s="51"/>
      <c r="D98" s="49"/>
      <c r="E98" s="49"/>
      <c r="F98" s="49"/>
      <c r="G98" s="49" t="str">
        <f>IFERROR(__xludf.DUMMYFUNCTION("""COMPUTED_VALUE"""),"#VALUE!")</f>
        <v>#VALUE!</v>
      </c>
      <c r="H98" s="49" t="str">
        <f>IFERROR(__xludf.DUMMYFUNCTION("""COMPUTED_VALUE"""),"")</f>
        <v/>
      </c>
      <c r="I98" s="49" t="str">
        <f>IFERROR(__xludf.DUMMYFUNCTION("""COMPUTED_VALUE"""),"#VALUE!")</f>
        <v>#VALUE!</v>
      </c>
      <c r="J98" s="49" t="str">
        <f>IFERROR(__xludf.DUMMYFUNCTION("""COMPUTED_VALUE"""),"")</f>
        <v/>
      </c>
      <c r="K98" s="49"/>
      <c r="L98" s="49" t="s">
        <v>255</v>
      </c>
      <c r="M98" s="49"/>
      <c r="N98" s="49"/>
      <c r="O98" s="49"/>
      <c r="P98" s="49"/>
      <c r="Q98" s="49"/>
      <c r="R98" s="49"/>
      <c r="S98" s="49"/>
      <c r="T98" s="49"/>
    </row>
    <row r="99">
      <c r="A99" s="49"/>
      <c r="B99" s="49"/>
      <c r="C99" s="51"/>
      <c r="D99" s="49"/>
      <c r="E99" s="49"/>
      <c r="F99" s="49"/>
      <c r="G99" s="49" t="str">
        <f>IFERROR(__xludf.DUMMYFUNCTION("""COMPUTED_VALUE"""),"#VALUE!")</f>
        <v>#VALUE!</v>
      </c>
      <c r="H99" s="49" t="str">
        <f>IFERROR(__xludf.DUMMYFUNCTION("""COMPUTED_VALUE"""),"")</f>
        <v/>
      </c>
      <c r="I99" s="49" t="str">
        <f>IFERROR(__xludf.DUMMYFUNCTION("""COMPUTED_VALUE"""),"#VALUE!")</f>
        <v>#VALUE!</v>
      </c>
      <c r="J99" s="49" t="str">
        <f>IFERROR(__xludf.DUMMYFUNCTION("""COMPUTED_VALUE"""),"")</f>
        <v/>
      </c>
      <c r="K99" s="49"/>
      <c r="L99" s="49" t="s">
        <v>255</v>
      </c>
      <c r="M99" s="49"/>
      <c r="N99" s="49"/>
      <c r="O99" s="49"/>
      <c r="P99" s="49"/>
      <c r="Q99" s="49"/>
      <c r="R99" s="49"/>
      <c r="S99" s="49"/>
      <c r="T99" s="49"/>
    </row>
    <row r="100">
      <c r="A100" s="49"/>
      <c r="B100" s="49"/>
      <c r="C100" s="51"/>
      <c r="D100" s="49"/>
      <c r="E100" s="49"/>
      <c r="F100" s="49"/>
      <c r="G100" s="49" t="str">
        <f>IFERROR(__xludf.DUMMYFUNCTION("""COMPUTED_VALUE"""),"#VALUE!")</f>
        <v>#VALUE!</v>
      </c>
      <c r="H100" s="49" t="str">
        <f>IFERROR(__xludf.DUMMYFUNCTION("""COMPUTED_VALUE"""),"")</f>
        <v/>
      </c>
      <c r="I100" s="49" t="str">
        <f>IFERROR(__xludf.DUMMYFUNCTION("""COMPUTED_VALUE"""),"#VALUE!")</f>
        <v>#VALUE!</v>
      </c>
      <c r="J100" s="49" t="str">
        <f>IFERROR(__xludf.DUMMYFUNCTION("""COMPUTED_VALUE"""),"")</f>
        <v/>
      </c>
      <c r="K100" s="49"/>
      <c r="L100" s="49" t="s">
        <v>255</v>
      </c>
      <c r="M100" s="49"/>
      <c r="N100" s="49"/>
      <c r="O100" s="49"/>
      <c r="P100" s="49"/>
      <c r="Q100" s="49"/>
      <c r="R100" s="49"/>
      <c r="S100" s="49"/>
      <c r="T100" s="49"/>
    </row>
    <row r="101">
      <c r="A101" s="49"/>
      <c r="B101" s="49"/>
      <c r="C101" s="51"/>
      <c r="D101" s="49"/>
      <c r="E101" s="49"/>
      <c r="F101" s="49"/>
      <c r="G101" s="49" t="str">
        <f>IFERROR(__xludf.DUMMYFUNCTION("""COMPUTED_VALUE"""),"#VALUE!")</f>
        <v>#VALUE!</v>
      </c>
      <c r="H101" s="49" t="str">
        <f>IFERROR(__xludf.DUMMYFUNCTION("""COMPUTED_VALUE"""),"")</f>
        <v/>
      </c>
      <c r="I101" s="49" t="str">
        <f>IFERROR(__xludf.DUMMYFUNCTION("""COMPUTED_VALUE"""),"#VALUE!")</f>
        <v>#VALUE!</v>
      </c>
      <c r="J101" s="49" t="str">
        <f>IFERROR(__xludf.DUMMYFUNCTION("""COMPUTED_VALUE"""),"")</f>
        <v/>
      </c>
      <c r="K101" s="49"/>
      <c r="L101" s="49" t="s">
        <v>255</v>
      </c>
      <c r="M101" s="49"/>
      <c r="N101" s="49"/>
      <c r="O101" s="49"/>
      <c r="P101" s="49"/>
      <c r="Q101" s="49"/>
      <c r="R101" s="49"/>
      <c r="S101" s="49"/>
      <c r="T101" s="49"/>
    </row>
    <row r="102">
      <c r="A102" s="49"/>
      <c r="B102" s="49"/>
      <c r="C102" s="51"/>
      <c r="D102" s="49"/>
      <c r="E102" s="49"/>
      <c r="F102" s="49"/>
      <c r="G102" s="49" t="str">
        <f>IFERROR(__xludf.DUMMYFUNCTION("""COMPUTED_VALUE"""),"#VALUE!")</f>
        <v>#VALUE!</v>
      </c>
      <c r="H102" s="49" t="str">
        <f>IFERROR(__xludf.DUMMYFUNCTION("""COMPUTED_VALUE"""),"")</f>
        <v/>
      </c>
      <c r="I102" s="49" t="str">
        <f>IFERROR(__xludf.DUMMYFUNCTION("""COMPUTED_VALUE"""),"#VALUE!")</f>
        <v>#VALUE!</v>
      </c>
      <c r="J102" s="49" t="str">
        <f>IFERROR(__xludf.DUMMYFUNCTION("""COMPUTED_VALUE"""),"")</f>
        <v/>
      </c>
      <c r="K102" s="49"/>
      <c r="L102" s="49" t="s">
        <v>255</v>
      </c>
      <c r="M102" s="49"/>
      <c r="N102" s="49"/>
      <c r="O102" s="49"/>
      <c r="P102" s="49"/>
      <c r="Q102" s="49"/>
      <c r="R102" s="49"/>
      <c r="S102" s="49"/>
      <c r="T102" s="49"/>
    </row>
    <row r="103">
      <c r="A103" s="49"/>
      <c r="B103" s="49"/>
      <c r="C103" s="51"/>
      <c r="D103" s="49"/>
      <c r="E103" s="49"/>
      <c r="F103" s="49"/>
      <c r="G103" s="49" t="str">
        <f>IFERROR(__xludf.DUMMYFUNCTION("""COMPUTED_VALUE"""),"#VALUE!")</f>
        <v>#VALUE!</v>
      </c>
      <c r="H103" s="49" t="str">
        <f>IFERROR(__xludf.DUMMYFUNCTION("""COMPUTED_VALUE"""),"")</f>
        <v/>
      </c>
      <c r="I103" s="49" t="str">
        <f>IFERROR(__xludf.DUMMYFUNCTION("""COMPUTED_VALUE"""),"#VALUE!")</f>
        <v>#VALUE!</v>
      </c>
      <c r="J103" s="49" t="str">
        <f>IFERROR(__xludf.DUMMYFUNCTION("""COMPUTED_VALUE"""),"")</f>
        <v/>
      </c>
      <c r="K103" s="49"/>
      <c r="L103" s="49" t="s">
        <v>255</v>
      </c>
      <c r="M103" s="49"/>
      <c r="N103" s="49"/>
      <c r="O103" s="49"/>
      <c r="P103" s="49"/>
      <c r="Q103" s="49"/>
      <c r="R103" s="49"/>
      <c r="S103" s="49"/>
      <c r="T103" s="49"/>
    </row>
    <row r="104">
      <c r="A104" s="49"/>
      <c r="B104" s="49"/>
      <c r="C104" s="51"/>
      <c r="D104" s="49"/>
      <c r="E104" s="49"/>
      <c r="F104" s="49"/>
      <c r="G104" s="49" t="str">
        <f>IFERROR(__xludf.DUMMYFUNCTION("""COMPUTED_VALUE"""),"#VALUE!")</f>
        <v>#VALUE!</v>
      </c>
      <c r="H104" s="49" t="str">
        <f>IFERROR(__xludf.DUMMYFUNCTION("""COMPUTED_VALUE"""),"")</f>
        <v/>
      </c>
      <c r="I104" s="49" t="str">
        <f>IFERROR(__xludf.DUMMYFUNCTION("""COMPUTED_VALUE"""),"#VALUE!")</f>
        <v>#VALUE!</v>
      </c>
      <c r="J104" s="49" t="str">
        <f>IFERROR(__xludf.DUMMYFUNCTION("""COMPUTED_VALUE"""),"")</f>
        <v/>
      </c>
      <c r="K104" s="49"/>
      <c r="L104" s="49" t="s">
        <v>255</v>
      </c>
      <c r="M104" s="49"/>
      <c r="N104" s="49"/>
      <c r="O104" s="49"/>
      <c r="P104" s="49"/>
      <c r="Q104" s="49"/>
      <c r="R104" s="49"/>
      <c r="S104" s="49"/>
      <c r="T104" s="49"/>
    </row>
    <row r="105">
      <c r="A105" s="49"/>
      <c r="B105" s="49"/>
      <c r="C105" s="51"/>
      <c r="D105" s="49"/>
      <c r="E105" s="49"/>
      <c r="F105" s="49"/>
      <c r="G105" s="49" t="str">
        <f>IFERROR(__xludf.DUMMYFUNCTION("""COMPUTED_VALUE"""),"#VALUE!")</f>
        <v>#VALUE!</v>
      </c>
      <c r="H105" s="49" t="str">
        <f>IFERROR(__xludf.DUMMYFUNCTION("""COMPUTED_VALUE"""),"")</f>
        <v/>
      </c>
      <c r="I105" s="49" t="str">
        <f>IFERROR(__xludf.DUMMYFUNCTION("""COMPUTED_VALUE"""),"#VALUE!")</f>
        <v>#VALUE!</v>
      </c>
      <c r="J105" s="49" t="str">
        <f>IFERROR(__xludf.DUMMYFUNCTION("""COMPUTED_VALUE"""),"")</f>
        <v/>
      </c>
      <c r="K105" s="49"/>
      <c r="L105" s="49" t="s">
        <v>255</v>
      </c>
      <c r="M105" s="49"/>
      <c r="N105" s="49"/>
      <c r="O105" s="49"/>
      <c r="P105" s="49"/>
      <c r="Q105" s="49"/>
      <c r="R105" s="49"/>
      <c r="S105" s="49"/>
      <c r="T105" s="49"/>
    </row>
    <row r="106">
      <c r="A106" s="49"/>
      <c r="B106" s="49"/>
      <c r="C106" s="51"/>
      <c r="D106" s="49"/>
      <c r="E106" s="49"/>
      <c r="F106" s="49"/>
      <c r="G106" s="49" t="str">
        <f>IFERROR(__xludf.DUMMYFUNCTION("""COMPUTED_VALUE"""),"#VALUE!")</f>
        <v>#VALUE!</v>
      </c>
      <c r="H106" s="49" t="str">
        <f>IFERROR(__xludf.DUMMYFUNCTION("""COMPUTED_VALUE"""),"")</f>
        <v/>
      </c>
      <c r="I106" s="49" t="str">
        <f>IFERROR(__xludf.DUMMYFUNCTION("""COMPUTED_VALUE"""),"#VALUE!")</f>
        <v>#VALUE!</v>
      </c>
      <c r="J106" s="49" t="str">
        <f>IFERROR(__xludf.DUMMYFUNCTION("""COMPUTED_VALUE"""),"")</f>
        <v/>
      </c>
      <c r="K106" s="49"/>
      <c r="L106" s="49" t="s">
        <v>255</v>
      </c>
      <c r="M106" s="49"/>
      <c r="N106" s="49"/>
      <c r="O106" s="49"/>
      <c r="P106" s="49"/>
      <c r="Q106" s="49"/>
      <c r="R106" s="49"/>
      <c r="S106" s="49"/>
      <c r="T106" s="49"/>
    </row>
    <row r="107">
      <c r="A107" s="49"/>
      <c r="B107" s="49"/>
      <c r="C107" s="51"/>
      <c r="D107" s="49"/>
      <c r="E107" s="49"/>
      <c r="F107" s="49"/>
      <c r="G107" s="49" t="str">
        <f>IFERROR(__xludf.DUMMYFUNCTION("""COMPUTED_VALUE"""),"#VALUE!")</f>
        <v>#VALUE!</v>
      </c>
      <c r="H107" s="49" t="str">
        <f>IFERROR(__xludf.DUMMYFUNCTION("""COMPUTED_VALUE"""),"")</f>
        <v/>
      </c>
      <c r="I107" s="49" t="str">
        <f>IFERROR(__xludf.DUMMYFUNCTION("""COMPUTED_VALUE"""),"#VALUE!")</f>
        <v>#VALUE!</v>
      </c>
      <c r="J107" s="49" t="str">
        <f>IFERROR(__xludf.DUMMYFUNCTION("""COMPUTED_VALUE"""),"")</f>
        <v/>
      </c>
      <c r="K107" s="49"/>
      <c r="L107" s="49" t="s">
        <v>255</v>
      </c>
      <c r="M107" s="49"/>
      <c r="N107" s="49"/>
      <c r="O107" s="49"/>
      <c r="P107" s="49"/>
      <c r="Q107" s="49"/>
      <c r="R107" s="49"/>
      <c r="S107" s="49"/>
      <c r="T107" s="49"/>
    </row>
    <row r="108">
      <c r="A108" s="49"/>
      <c r="B108" s="49"/>
      <c r="C108" s="51"/>
      <c r="D108" s="49"/>
      <c r="E108" s="49"/>
      <c r="F108" s="49"/>
      <c r="G108" s="49" t="str">
        <f>IFERROR(__xludf.DUMMYFUNCTION("""COMPUTED_VALUE"""),"#VALUE!")</f>
        <v>#VALUE!</v>
      </c>
      <c r="H108" s="49" t="str">
        <f>IFERROR(__xludf.DUMMYFUNCTION("""COMPUTED_VALUE"""),"")</f>
        <v/>
      </c>
      <c r="I108" s="49" t="str">
        <f>IFERROR(__xludf.DUMMYFUNCTION("""COMPUTED_VALUE"""),"#VALUE!")</f>
        <v>#VALUE!</v>
      </c>
      <c r="J108" s="49" t="str">
        <f>IFERROR(__xludf.DUMMYFUNCTION("""COMPUTED_VALUE"""),"")</f>
        <v/>
      </c>
      <c r="K108" s="49"/>
      <c r="L108" s="49" t="s">
        <v>255</v>
      </c>
      <c r="M108" s="49"/>
      <c r="N108" s="49"/>
      <c r="O108" s="49"/>
      <c r="P108" s="49"/>
      <c r="Q108" s="49"/>
      <c r="R108" s="49"/>
      <c r="S108" s="49"/>
      <c r="T108" s="49"/>
    </row>
    <row r="109">
      <c r="A109" s="49"/>
      <c r="B109" s="49"/>
      <c r="C109" s="51"/>
      <c r="D109" s="49"/>
      <c r="E109" s="49"/>
      <c r="F109" s="49"/>
      <c r="G109" s="49" t="str">
        <f>IFERROR(__xludf.DUMMYFUNCTION("""COMPUTED_VALUE"""),"#VALUE!")</f>
        <v>#VALUE!</v>
      </c>
      <c r="H109" s="49" t="str">
        <f>IFERROR(__xludf.DUMMYFUNCTION("""COMPUTED_VALUE"""),"")</f>
        <v/>
      </c>
      <c r="I109" s="49" t="str">
        <f>IFERROR(__xludf.DUMMYFUNCTION("""COMPUTED_VALUE"""),"#VALUE!")</f>
        <v>#VALUE!</v>
      </c>
      <c r="J109" s="49" t="str">
        <f>IFERROR(__xludf.DUMMYFUNCTION("""COMPUTED_VALUE"""),"")</f>
        <v/>
      </c>
      <c r="K109" s="49"/>
      <c r="L109" s="49" t="s">
        <v>255</v>
      </c>
      <c r="M109" s="49"/>
      <c r="N109" s="49"/>
      <c r="O109" s="49"/>
      <c r="P109" s="49"/>
      <c r="Q109" s="49"/>
      <c r="R109" s="49"/>
      <c r="S109" s="49"/>
      <c r="T109" s="49"/>
    </row>
    <row r="110">
      <c r="A110" s="49"/>
      <c r="B110" s="49"/>
      <c r="C110" s="51"/>
      <c r="D110" s="49"/>
      <c r="E110" s="49"/>
      <c r="F110" s="49"/>
      <c r="G110" s="49" t="str">
        <f>IFERROR(__xludf.DUMMYFUNCTION("""COMPUTED_VALUE"""),"#VALUE!")</f>
        <v>#VALUE!</v>
      </c>
      <c r="H110" s="49" t="str">
        <f>IFERROR(__xludf.DUMMYFUNCTION("""COMPUTED_VALUE"""),"")</f>
        <v/>
      </c>
      <c r="I110" s="49" t="str">
        <f>IFERROR(__xludf.DUMMYFUNCTION("""COMPUTED_VALUE"""),"#VALUE!")</f>
        <v>#VALUE!</v>
      </c>
      <c r="J110" s="49" t="str">
        <f>IFERROR(__xludf.DUMMYFUNCTION("""COMPUTED_VALUE"""),"")</f>
        <v/>
      </c>
      <c r="K110" s="49"/>
      <c r="L110" s="49" t="s">
        <v>255</v>
      </c>
      <c r="M110" s="49"/>
      <c r="N110" s="49"/>
      <c r="O110" s="49"/>
      <c r="P110" s="49"/>
      <c r="Q110" s="49"/>
      <c r="R110" s="49"/>
      <c r="S110" s="49"/>
      <c r="T110" s="49"/>
    </row>
    <row r="111">
      <c r="A111" s="49"/>
      <c r="B111" s="49"/>
      <c r="C111" s="51"/>
      <c r="D111" s="49"/>
      <c r="E111" s="49"/>
      <c r="F111" s="49"/>
      <c r="G111" s="49" t="str">
        <f>IFERROR(__xludf.DUMMYFUNCTION("""COMPUTED_VALUE"""),"#VALUE!")</f>
        <v>#VALUE!</v>
      </c>
      <c r="H111" s="49" t="str">
        <f>IFERROR(__xludf.DUMMYFUNCTION("""COMPUTED_VALUE"""),"")</f>
        <v/>
      </c>
      <c r="I111" s="49" t="str">
        <f>IFERROR(__xludf.DUMMYFUNCTION("""COMPUTED_VALUE"""),"#VALUE!")</f>
        <v>#VALUE!</v>
      </c>
      <c r="J111" s="49" t="str">
        <f>IFERROR(__xludf.DUMMYFUNCTION("""COMPUTED_VALUE"""),"")</f>
        <v/>
      </c>
      <c r="K111" s="49"/>
      <c r="L111" s="49" t="s">
        <v>255</v>
      </c>
      <c r="M111" s="49"/>
      <c r="N111" s="49"/>
      <c r="O111" s="49"/>
      <c r="P111" s="49"/>
      <c r="Q111" s="49"/>
      <c r="R111" s="49"/>
      <c r="S111" s="49"/>
      <c r="T111" s="49"/>
    </row>
    <row r="112">
      <c r="A112" s="49"/>
      <c r="B112" s="49"/>
      <c r="C112" s="51"/>
      <c r="D112" s="49"/>
      <c r="E112" s="49"/>
      <c r="F112" s="49"/>
      <c r="G112" s="49" t="str">
        <f>IFERROR(__xludf.DUMMYFUNCTION("""COMPUTED_VALUE"""),"#VALUE!")</f>
        <v>#VALUE!</v>
      </c>
      <c r="H112" s="49" t="str">
        <f>IFERROR(__xludf.DUMMYFUNCTION("""COMPUTED_VALUE"""),"")</f>
        <v/>
      </c>
      <c r="I112" s="49" t="str">
        <f>IFERROR(__xludf.DUMMYFUNCTION("""COMPUTED_VALUE"""),"#VALUE!")</f>
        <v>#VALUE!</v>
      </c>
      <c r="J112" s="49" t="str">
        <f>IFERROR(__xludf.DUMMYFUNCTION("""COMPUTED_VALUE"""),"")</f>
        <v/>
      </c>
      <c r="K112" s="49"/>
      <c r="L112" s="49" t="s">
        <v>255</v>
      </c>
      <c r="M112" s="49"/>
      <c r="N112" s="49"/>
      <c r="O112" s="49"/>
      <c r="P112" s="49"/>
      <c r="Q112" s="49"/>
      <c r="R112" s="49"/>
      <c r="S112" s="49"/>
      <c r="T112" s="49"/>
    </row>
    <row r="113">
      <c r="A113" s="49"/>
      <c r="B113" s="49"/>
      <c r="C113" s="51"/>
      <c r="D113" s="49"/>
      <c r="E113" s="49"/>
      <c r="F113" s="49"/>
      <c r="G113" s="49" t="str">
        <f>IFERROR(__xludf.DUMMYFUNCTION("""COMPUTED_VALUE"""),"#VALUE!")</f>
        <v>#VALUE!</v>
      </c>
      <c r="H113" s="49" t="str">
        <f>IFERROR(__xludf.DUMMYFUNCTION("""COMPUTED_VALUE"""),"")</f>
        <v/>
      </c>
      <c r="I113" s="49" t="str">
        <f>IFERROR(__xludf.DUMMYFUNCTION("""COMPUTED_VALUE"""),"#VALUE!")</f>
        <v>#VALUE!</v>
      </c>
      <c r="J113" s="49" t="str">
        <f>IFERROR(__xludf.DUMMYFUNCTION("""COMPUTED_VALUE"""),"")</f>
        <v/>
      </c>
      <c r="K113" s="49"/>
      <c r="L113" s="49" t="s">
        <v>255</v>
      </c>
      <c r="M113" s="49"/>
      <c r="N113" s="49"/>
      <c r="O113" s="49"/>
      <c r="P113" s="49"/>
      <c r="Q113" s="49"/>
      <c r="R113" s="49"/>
      <c r="S113" s="49"/>
      <c r="T113" s="49"/>
    </row>
    <row r="114">
      <c r="A114" s="49"/>
      <c r="B114" s="49"/>
      <c r="C114" s="51"/>
      <c r="D114" s="49"/>
      <c r="E114" s="49"/>
      <c r="F114" s="49"/>
      <c r="G114" s="49" t="str">
        <f>IFERROR(__xludf.DUMMYFUNCTION("""COMPUTED_VALUE"""),"#VALUE!")</f>
        <v>#VALUE!</v>
      </c>
      <c r="H114" s="49" t="str">
        <f>IFERROR(__xludf.DUMMYFUNCTION("""COMPUTED_VALUE"""),"")</f>
        <v/>
      </c>
      <c r="I114" s="49" t="str">
        <f>IFERROR(__xludf.DUMMYFUNCTION("""COMPUTED_VALUE"""),"#VALUE!")</f>
        <v>#VALUE!</v>
      </c>
      <c r="J114" s="49" t="str">
        <f>IFERROR(__xludf.DUMMYFUNCTION("""COMPUTED_VALUE"""),"")</f>
        <v/>
      </c>
      <c r="K114" s="49"/>
      <c r="L114" s="49" t="s">
        <v>255</v>
      </c>
      <c r="M114" s="49"/>
      <c r="N114" s="49"/>
      <c r="O114" s="49"/>
      <c r="P114" s="49"/>
      <c r="Q114" s="49"/>
      <c r="R114" s="49"/>
      <c r="S114" s="49"/>
      <c r="T114" s="49"/>
    </row>
    <row r="115">
      <c r="A115" s="49"/>
      <c r="B115" s="49"/>
      <c r="C115" s="51"/>
      <c r="D115" s="49"/>
      <c r="E115" s="49"/>
      <c r="F115" s="49"/>
      <c r="G115" s="49" t="str">
        <f>IFERROR(__xludf.DUMMYFUNCTION("""COMPUTED_VALUE"""),"#VALUE!")</f>
        <v>#VALUE!</v>
      </c>
      <c r="H115" s="49" t="str">
        <f>IFERROR(__xludf.DUMMYFUNCTION("""COMPUTED_VALUE"""),"")</f>
        <v/>
      </c>
      <c r="I115" s="49" t="str">
        <f>IFERROR(__xludf.DUMMYFUNCTION("""COMPUTED_VALUE"""),"#VALUE!")</f>
        <v>#VALUE!</v>
      </c>
      <c r="J115" s="49" t="str">
        <f>IFERROR(__xludf.DUMMYFUNCTION("""COMPUTED_VALUE"""),"")</f>
        <v/>
      </c>
      <c r="K115" s="49"/>
      <c r="L115" s="49" t="s">
        <v>255</v>
      </c>
      <c r="M115" s="49"/>
      <c r="N115" s="49"/>
      <c r="O115" s="49"/>
      <c r="P115" s="49"/>
      <c r="Q115" s="49"/>
      <c r="R115" s="49"/>
      <c r="S115" s="49"/>
      <c r="T115" s="49"/>
    </row>
    <row r="116">
      <c r="A116" s="49"/>
      <c r="B116" s="49"/>
      <c r="C116" s="51"/>
      <c r="D116" s="49"/>
      <c r="E116" s="49"/>
      <c r="F116" s="49"/>
      <c r="G116" s="49" t="str">
        <f>IFERROR(__xludf.DUMMYFUNCTION("""COMPUTED_VALUE"""),"#VALUE!")</f>
        <v>#VALUE!</v>
      </c>
      <c r="H116" s="49" t="str">
        <f>IFERROR(__xludf.DUMMYFUNCTION("""COMPUTED_VALUE"""),"")</f>
        <v/>
      </c>
      <c r="I116" s="49" t="str">
        <f>IFERROR(__xludf.DUMMYFUNCTION("""COMPUTED_VALUE"""),"#VALUE!")</f>
        <v>#VALUE!</v>
      </c>
      <c r="J116" s="49" t="str">
        <f>IFERROR(__xludf.DUMMYFUNCTION("""COMPUTED_VALUE"""),"")</f>
        <v/>
      </c>
      <c r="K116" s="49"/>
      <c r="L116" s="49" t="s">
        <v>255</v>
      </c>
      <c r="M116" s="49"/>
      <c r="N116" s="49"/>
      <c r="O116" s="49"/>
      <c r="P116" s="49"/>
      <c r="Q116" s="49"/>
      <c r="R116" s="49"/>
      <c r="S116" s="49"/>
      <c r="T116" s="49"/>
    </row>
    <row r="117">
      <c r="A117" s="49"/>
      <c r="B117" s="49"/>
      <c r="C117" s="51"/>
      <c r="D117" s="49"/>
      <c r="E117" s="49"/>
      <c r="F117" s="49"/>
      <c r="G117" s="49" t="str">
        <f>IFERROR(__xludf.DUMMYFUNCTION("""COMPUTED_VALUE"""),"#VALUE!")</f>
        <v>#VALUE!</v>
      </c>
      <c r="H117" s="49" t="str">
        <f>IFERROR(__xludf.DUMMYFUNCTION("""COMPUTED_VALUE"""),"")</f>
        <v/>
      </c>
      <c r="I117" s="49" t="str">
        <f>IFERROR(__xludf.DUMMYFUNCTION("""COMPUTED_VALUE"""),"#VALUE!")</f>
        <v>#VALUE!</v>
      </c>
      <c r="J117" s="49" t="str">
        <f>IFERROR(__xludf.DUMMYFUNCTION("""COMPUTED_VALUE"""),"")</f>
        <v/>
      </c>
      <c r="K117" s="49"/>
      <c r="L117" s="49" t="s">
        <v>255</v>
      </c>
      <c r="M117" s="49"/>
      <c r="N117" s="49"/>
      <c r="O117" s="49"/>
      <c r="P117" s="49"/>
      <c r="Q117" s="49"/>
      <c r="R117" s="49"/>
      <c r="S117" s="49"/>
      <c r="T117" s="49"/>
    </row>
    <row r="118">
      <c r="A118" s="49"/>
      <c r="B118" s="49"/>
      <c r="C118" s="51"/>
      <c r="D118" s="49"/>
      <c r="E118" s="49"/>
      <c r="F118" s="49"/>
      <c r="G118" s="49" t="str">
        <f>IFERROR(__xludf.DUMMYFUNCTION("""COMPUTED_VALUE"""),"#VALUE!")</f>
        <v>#VALUE!</v>
      </c>
      <c r="H118" s="49" t="str">
        <f>IFERROR(__xludf.DUMMYFUNCTION("""COMPUTED_VALUE"""),"")</f>
        <v/>
      </c>
      <c r="I118" s="49" t="str">
        <f>IFERROR(__xludf.DUMMYFUNCTION("""COMPUTED_VALUE"""),"#VALUE!")</f>
        <v>#VALUE!</v>
      </c>
      <c r="J118" s="49" t="str">
        <f>IFERROR(__xludf.DUMMYFUNCTION("""COMPUTED_VALUE"""),"")</f>
        <v/>
      </c>
      <c r="K118" s="49"/>
      <c r="L118" s="49" t="s">
        <v>255</v>
      </c>
      <c r="M118" s="49"/>
      <c r="N118" s="49"/>
      <c r="O118" s="49"/>
      <c r="P118" s="49"/>
      <c r="Q118" s="49"/>
      <c r="R118" s="49"/>
      <c r="S118" s="49"/>
      <c r="T118" s="49"/>
    </row>
    <row r="119">
      <c r="A119" s="49"/>
      <c r="B119" s="49"/>
      <c r="C119" s="51"/>
      <c r="D119" s="49"/>
      <c r="E119" s="49"/>
      <c r="F119" s="49"/>
      <c r="G119" s="49" t="str">
        <f>IFERROR(__xludf.DUMMYFUNCTION("""COMPUTED_VALUE"""),"#VALUE!")</f>
        <v>#VALUE!</v>
      </c>
      <c r="H119" s="49" t="str">
        <f>IFERROR(__xludf.DUMMYFUNCTION("""COMPUTED_VALUE"""),"")</f>
        <v/>
      </c>
      <c r="I119" s="49" t="str">
        <f>IFERROR(__xludf.DUMMYFUNCTION("""COMPUTED_VALUE"""),"#VALUE!")</f>
        <v>#VALUE!</v>
      </c>
      <c r="J119" s="49" t="str">
        <f>IFERROR(__xludf.DUMMYFUNCTION("""COMPUTED_VALUE"""),"")</f>
        <v/>
      </c>
      <c r="K119" s="49"/>
      <c r="L119" s="49" t="s">
        <v>255</v>
      </c>
      <c r="M119" s="49"/>
      <c r="N119" s="49"/>
      <c r="O119" s="49"/>
      <c r="P119" s="49"/>
      <c r="Q119" s="49"/>
      <c r="R119" s="49"/>
      <c r="S119" s="49"/>
      <c r="T119" s="49"/>
    </row>
    <row r="120">
      <c r="A120" s="49"/>
      <c r="B120" s="49"/>
      <c r="C120" s="51"/>
      <c r="D120" s="49"/>
      <c r="E120" s="49"/>
      <c r="F120" s="49"/>
      <c r="G120" s="49" t="str">
        <f>IFERROR(__xludf.DUMMYFUNCTION("""COMPUTED_VALUE"""),"#VALUE!")</f>
        <v>#VALUE!</v>
      </c>
      <c r="H120" s="49" t="str">
        <f>IFERROR(__xludf.DUMMYFUNCTION("""COMPUTED_VALUE"""),"")</f>
        <v/>
      </c>
      <c r="I120" s="49" t="str">
        <f>IFERROR(__xludf.DUMMYFUNCTION("""COMPUTED_VALUE"""),"#VALUE!")</f>
        <v>#VALUE!</v>
      </c>
      <c r="J120" s="49" t="str">
        <f>IFERROR(__xludf.DUMMYFUNCTION("""COMPUTED_VALUE"""),"")</f>
        <v/>
      </c>
      <c r="K120" s="49"/>
      <c r="L120" s="49" t="s">
        <v>255</v>
      </c>
      <c r="M120" s="49"/>
      <c r="N120" s="49"/>
      <c r="O120" s="49"/>
      <c r="P120" s="49"/>
      <c r="Q120" s="49"/>
      <c r="R120" s="49"/>
      <c r="S120" s="49"/>
      <c r="T120" s="49"/>
    </row>
    <row r="121">
      <c r="A121" s="49"/>
      <c r="B121" s="49"/>
      <c r="C121" s="51"/>
      <c r="D121" s="49"/>
      <c r="E121" s="49"/>
      <c r="F121" s="49"/>
      <c r="G121" s="49" t="str">
        <f>IFERROR(__xludf.DUMMYFUNCTION("""COMPUTED_VALUE"""),"#VALUE!")</f>
        <v>#VALUE!</v>
      </c>
      <c r="H121" s="49" t="str">
        <f>IFERROR(__xludf.DUMMYFUNCTION("""COMPUTED_VALUE"""),"")</f>
        <v/>
      </c>
      <c r="I121" s="49" t="str">
        <f>IFERROR(__xludf.DUMMYFUNCTION("""COMPUTED_VALUE"""),"#VALUE!")</f>
        <v>#VALUE!</v>
      </c>
      <c r="J121" s="49" t="str">
        <f>IFERROR(__xludf.DUMMYFUNCTION("""COMPUTED_VALUE"""),"")</f>
        <v/>
      </c>
      <c r="K121" s="49"/>
      <c r="L121" s="49" t="s">
        <v>255</v>
      </c>
      <c r="M121" s="49"/>
      <c r="N121" s="49"/>
      <c r="O121" s="49"/>
      <c r="P121" s="49"/>
      <c r="Q121" s="49"/>
      <c r="R121" s="49"/>
      <c r="S121" s="49"/>
      <c r="T121" s="49"/>
    </row>
    <row r="122">
      <c r="A122" s="49"/>
      <c r="B122" s="49"/>
      <c r="C122" s="51"/>
      <c r="D122" s="49"/>
      <c r="E122" s="49"/>
      <c r="F122" s="49"/>
      <c r="G122" s="49" t="str">
        <f>IFERROR(__xludf.DUMMYFUNCTION("""COMPUTED_VALUE"""),"#VALUE!")</f>
        <v>#VALUE!</v>
      </c>
      <c r="H122" s="49" t="str">
        <f>IFERROR(__xludf.DUMMYFUNCTION("""COMPUTED_VALUE"""),"")</f>
        <v/>
      </c>
      <c r="I122" s="49" t="str">
        <f>IFERROR(__xludf.DUMMYFUNCTION("""COMPUTED_VALUE"""),"#VALUE!")</f>
        <v>#VALUE!</v>
      </c>
      <c r="J122" s="49" t="str">
        <f>IFERROR(__xludf.DUMMYFUNCTION("""COMPUTED_VALUE"""),"")</f>
        <v/>
      </c>
      <c r="K122" s="49"/>
      <c r="L122" s="49" t="s">
        <v>255</v>
      </c>
      <c r="M122" s="49"/>
      <c r="N122" s="49"/>
      <c r="O122" s="49"/>
      <c r="P122" s="49"/>
      <c r="Q122" s="49"/>
      <c r="R122" s="49"/>
      <c r="S122" s="49"/>
      <c r="T122" s="49"/>
    </row>
    <row r="123">
      <c r="A123" s="49"/>
      <c r="B123" s="49"/>
      <c r="C123" s="51"/>
      <c r="D123" s="49"/>
      <c r="E123" s="49"/>
      <c r="F123" s="49"/>
      <c r="G123" s="49" t="str">
        <f>IFERROR(__xludf.DUMMYFUNCTION("""COMPUTED_VALUE"""),"#VALUE!")</f>
        <v>#VALUE!</v>
      </c>
      <c r="H123" s="49" t="str">
        <f>IFERROR(__xludf.DUMMYFUNCTION("""COMPUTED_VALUE"""),"")</f>
        <v/>
      </c>
      <c r="I123" s="49" t="str">
        <f>IFERROR(__xludf.DUMMYFUNCTION("""COMPUTED_VALUE"""),"#VALUE!")</f>
        <v>#VALUE!</v>
      </c>
      <c r="J123" s="49" t="str">
        <f>IFERROR(__xludf.DUMMYFUNCTION("""COMPUTED_VALUE"""),"")</f>
        <v/>
      </c>
      <c r="K123" s="49"/>
      <c r="L123" s="49" t="s">
        <v>255</v>
      </c>
      <c r="M123" s="49"/>
      <c r="N123" s="49"/>
      <c r="O123" s="49"/>
      <c r="P123" s="49"/>
      <c r="Q123" s="49"/>
      <c r="R123" s="49"/>
      <c r="S123" s="49"/>
      <c r="T123" s="49"/>
    </row>
    <row r="124">
      <c r="A124" s="49"/>
      <c r="B124" s="49"/>
      <c r="C124" s="51"/>
      <c r="D124" s="49"/>
      <c r="E124" s="49"/>
      <c r="F124" s="49"/>
      <c r="G124" s="49" t="str">
        <f>IFERROR(__xludf.DUMMYFUNCTION("""COMPUTED_VALUE"""),"#VALUE!")</f>
        <v>#VALUE!</v>
      </c>
      <c r="H124" s="49" t="str">
        <f>IFERROR(__xludf.DUMMYFUNCTION("""COMPUTED_VALUE"""),"")</f>
        <v/>
      </c>
      <c r="I124" s="49" t="str">
        <f>IFERROR(__xludf.DUMMYFUNCTION("""COMPUTED_VALUE"""),"#VALUE!")</f>
        <v>#VALUE!</v>
      </c>
      <c r="J124" s="49" t="str">
        <f>IFERROR(__xludf.DUMMYFUNCTION("""COMPUTED_VALUE"""),"")</f>
        <v/>
      </c>
      <c r="K124" s="49"/>
      <c r="L124" s="49" t="s">
        <v>255</v>
      </c>
      <c r="M124" s="49"/>
      <c r="N124" s="49"/>
      <c r="O124" s="49"/>
      <c r="P124" s="49"/>
      <c r="Q124" s="49"/>
      <c r="R124" s="49"/>
      <c r="S124" s="49"/>
      <c r="T124" s="49"/>
    </row>
    <row r="125">
      <c r="A125" s="49"/>
      <c r="B125" s="49"/>
      <c r="C125" s="51"/>
      <c r="D125" s="49"/>
      <c r="E125" s="49"/>
      <c r="F125" s="49"/>
      <c r="G125" s="49" t="str">
        <f>IFERROR(__xludf.DUMMYFUNCTION("""COMPUTED_VALUE"""),"#VALUE!")</f>
        <v>#VALUE!</v>
      </c>
      <c r="H125" s="49" t="str">
        <f>IFERROR(__xludf.DUMMYFUNCTION("""COMPUTED_VALUE"""),"")</f>
        <v/>
      </c>
      <c r="I125" s="49" t="str">
        <f>IFERROR(__xludf.DUMMYFUNCTION("""COMPUTED_VALUE"""),"#VALUE!")</f>
        <v>#VALUE!</v>
      </c>
      <c r="J125" s="49" t="str">
        <f>IFERROR(__xludf.DUMMYFUNCTION("""COMPUTED_VALUE"""),"")</f>
        <v/>
      </c>
      <c r="K125" s="49"/>
      <c r="L125" s="49" t="s">
        <v>255</v>
      </c>
      <c r="M125" s="49"/>
      <c r="N125" s="49"/>
      <c r="O125" s="49"/>
      <c r="P125" s="49"/>
      <c r="Q125" s="49"/>
      <c r="R125" s="49"/>
      <c r="S125" s="49"/>
      <c r="T125" s="49"/>
    </row>
    <row r="126">
      <c r="A126" s="49"/>
      <c r="B126" s="49"/>
      <c r="C126" s="51"/>
      <c r="D126" s="49"/>
      <c r="E126" s="49"/>
      <c r="F126" s="49"/>
      <c r="G126" s="49" t="str">
        <f>IFERROR(__xludf.DUMMYFUNCTION("""COMPUTED_VALUE"""),"#VALUE!")</f>
        <v>#VALUE!</v>
      </c>
      <c r="H126" s="49" t="str">
        <f>IFERROR(__xludf.DUMMYFUNCTION("""COMPUTED_VALUE"""),"")</f>
        <v/>
      </c>
      <c r="I126" s="49" t="str">
        <f>IFERROR(__xludf.DUMMYFUNCTION("""COMPUTED_VALUE"""),"#VALUE!")</f>
        <v>#VALUE!</v>
      </c>
      <c r="J126" s="49" t="str">
        <f>IFERROR(__xludf.DUMMYFUNCTION("""COMPUTED_VALUE"""),"")</f>
        <v/>
      </c>
      <c r="K126" s="49"/>
      <c r="L126" s="49" t="s">
        <v>255</v>
      </c>
      <c r="M126" s="49"/>
      <c r="N126" s="49"/>
      <c r="O126" s="49"/>
      <c r="P126" s="49"/>
      <c r="Q126" s="49"/>
      <c r="R126" s="49"/>
      <c r="S126" s="49"/>
      <c r="T126" s="49"/>
    </row>
    <row r="127">
      <c r="A127" s="49"/>
      <c r="B127" s="49"/>
      <c r="C127" s="51"/>
      <c r="D127" s="49"/>
      <c r="E127" s="49"/>
      <c r="F127" s="49"/>
      <c r="G127" s="49" t="str">
        <f>IFERROR(__xludf.DUMMYFUNCTION("""COMPUTED_VALUE"""),"#VALUE!")</f>
        <v>#VALUE!</v>
      </c>
      <c r="H127" s="49" t="str">
        <f>IFERROR(__xludf.DUMMYFUNCTION("""COMPUTED_VALUE"""),"")</f>
        <v/>
      </c>
      <c r="I127" s="49" t="str">
        <f>IFERROR(__xludf.DUMMYFUNCTION("""COMPUTED_VALUE"""),"#VALUE!")</f>
        <v>#VALUE!</v>
      </c>
      <c r="J127" s="49" t="str">
        <f>IFERROR(__xludf.DUMMYFUNCTION("""COMPUTED_VALUE"""),"")</f>
        <v/>
      </c>
      <c r="K127" s="49"/>
      <c r="L127" s="49" t="s">
        <v>255</v>
      </c>
      <c r="M127" s="49"/>
      <c r="N127" s="49"/>
      <c r="O127" s="49"/>
      <c r="P127" s="49"/>
      <c r="Q127" s="49"/>
      <c r="R127" s="49"/>
      <c r="S127" s="49"/>
      <c r="T127" s="49"/>
    </row>
    <row r="128">
      <c r="A128" s="49"/>
      <c r="B128" s="49"/>
      <c r="C128" s="51"/>
      <c r="D128" s="49"/>
      <c r="E128" s="49"/>
      <c r="F128" s="49"/>
      <c r="G128" s="49" t="str">
        <f>IFERROR(__xludf.DUMMYFUNCTION("""COMPUTED_VALUE"""),"#VALUE!")</f>
        <v>#VALUE!</v>
      </c>
      <c r="H128" s="49" t="str">
        <f>IFERROR(__xludf.DUMMYFUNCTION("""COMPUTED_VALUE"""),"")</f>
        <v/>
      </c>
      <c r="I128" s="49" t="str">
        <f>IFERROR(__xludf.DUMMYFUNCTION("""COMPUTED_VALUE"""),"#VALUE!")</f>
        <v>#VALUE!</v>
      </c>
      <c r="J128" s="49" t="str">
        <f>IFERROR(__xludf.DUMMYFUNCTION("""COMPUTED_VALUE"""),"")</f>
        <v/>
      </c>
      <c r="K128" s="49"/>
      <c r="L128" s="49" t="s">
        <v>255</v>
      </c>
      <c r="M128" s="49"/>
      <c r="N128" s="49"/>
      <c r="O128" s="49"/>
      <c r="P128" s="49"/>
      <c r="Q128" s="49"/>
      <c r="R128" s="49"/>
      <c r="S128" s="49"/>
      <c r="T128" s="49"/>
    </row>
    <row r="129">
      <c r="A129" s="49"/>
      <c r="B129" s="49"/>
      <c r="C129" s="51"/>
      <c r="D129" s="49"/>
      <c r="E129" s="49"/>
      <c r="F129" s="49"/>
      <c r="G129" s="49" t="str">
        <f>IFERROR(__xludf.DUMMYFUNCTION("""COMPUTED_VALUE"""),"#VALUE!")</f>
        <v>#VALUE!</v>
      </c>
      <c r="H129" s="49" t="str">
        <f>IFERROR(__xludf.DUMMYFUNCTION("""COMPUTED_VALUE"""),"")</f>
        <v/>
      </c>
      <c r="I129" s="49" t="str">
        <f>IFERROR(__xludf.DUMMYFUNCTION("""COMPUTED_VALUE"""),"#VALUE!")</f>
        <v>#VALUE!</v>
      </c>
      <c r="J129" s="49" t="str">
        <f>IFERROR(__xludf.DUMMYFUNCTION("""COMPUTED_VALUE"""),"")</f>
        <v/>
      </c>
      <c r="K129" s="49"/>
      <c r="L129" s="49" t="s">
        <v>255</v>
      </c>
      <c r="M129" s="49"/>
      <c r="N129" s="49"/>
      <c r="O129" s="49"/>
      <c r="P129" s="49"/>
      <c r="Q129" s="49"/>
      <c r="R129" s="49"/>
      <c r="S129" s="49"/>
      <c r="T129" s="49"/>
    </row>
    <row r="130">
      <c r="A130" s="49"/>
      <c r="B130" s="49"/>
      <c r="C130" s="51"/>
      <c r="D130" s="49"/>
      <c r="E130" s="49"/>
      <c r="F130" s="49"/>
      <c r="G130" s="49" t="str">
        <f>IFERROR(__xludf.DUMMYFUNCTION("""COMPUTED_VALUE"""),"#VALUE!")</f>
        <v>#VALUE!</v>
      </c>
      <c r="H130" s="49" t="str">
        <f>IFERROR(__xludf.DUMMYFUNCTION("""COMPUTED_VALUE"""),"")</f>
        <v/>
      </c>
      <c r="I130" s="49" t="str">
        <f>IFERROR(__xludf.DUMMYFUNCTION("""COMPUTED_VALUE"""),"#VALUE!")</f>
        <v>#VALUE!</v>
      </c>
      <c r="J130" s="49" t="str">
        <f>IFERROR(__xludf.DUMMYFUNCTION("""COMPUTED_VALUE"""),"")</f>
        <v/>
      </c>
      <c r="K130" s="49"/>
      <c r="L130" s="49" t="s">
        <v>255</v>
      </c>
      <c r="M130" s="49"/>
      <c r="N130" s="49"/>
      <c r="O130" s="49"/>
      <c r="P130" s="49"/>
      <c r="Q130" s="49"/>
      <c r="R130" s="49"/>
      <c r="S130" s="49"/>
      <c r="T130" s="49"/>
    </row>
    <row r="131">
      <c r="A131" s="49"/>
      <c r="B131" s="49"/>
      <c r="C131" s="51"/>
      <c r="D131" s="49"/>
      <c r="E131" s="49"/>
      <c r="F131" s="49"/>
      <c r="G131" s="49" t="str">
        <f>IFERROR(__xludf.DUMMYFUNCTION("""COMPUTED_VALUE"""),"#VALUE!")</f>
        <v>#VALUE!</v>
      </c>
      <c r="H131" s="49" t="str">
        <f>IFERROR(__xludf.DUMMYFUNCTION("""COMPUTED_VALUE"""),"")</f>
        <v/>
      </c>
      <c r="I131" s="49" t="str">
        <f>IFERROR(__xludf.DUMMYFUNCTION("""COMPUTED_VALUE"""),"#VALUE!")</f>
        <v>#VALUE!</v>
      </c>
      <c r="J131" s="49" t="str">
        <f>IFERROR(__xludf.DUMMYFUNCTION("""COMPUTED_VALUE"""),"")</f>
        <v/>
      </c>
      <c r="K131" s="49"/>
      <c r="L131" s="49" t="s">
        <v>255</v>
      </c>
      <c r="M131" s="49"/>
      <c r="N131" s="49"/>
      <c r="O131" s="49"/>
      <c r="P131" s="49"/>
      <c r="Q131" s="49"/>
      <c r="R131" s="49"/>
      <c r="S131" s="49"/>
      <c r="T131" s="49"/>
    </row>
    <row r="132">
      <c r="A132" s="49"/>
      <c r="B132" s="49"/>
      <c r="C132" s="51"/>
      <c r="D132" s="49"/>
      <c r="E132" s="49"/>
      <c r="F132" s="49"/>
      <c r="G132" s="49" t="str">
        <f>IFERROR(__xludf.DUMMYFUNCTION("""COMPUTED_VALUE"""),"#VALUE!")</f>
        <v>#VALUE!</v>
      </c>
      <c r="H132" s="49" t="str">
        <f>IFERROR(__xludf.DUMMYFUNCTION("""COMPUTED_VALUE"""),"")</f>
        <v/>
      </c>
      <c r="I132" s="49" t="str">
        <f>IFERROR(__xludf.DUMMYFUNCTION("""COMPUTED_VALUE"""),"#VALUE!")</f>
        <v>#VALUE!</v>
      </c>
      <c r="J132" s="49" t="str">
        <f>IFERROR(__xludf.DUMMYFUNCTION("""COMPUTED_VALUE"""),"")</f>
        <v/>
      </c>
      <c r="K132" s="49"/>
      <c r="L132" s="49" t="s">
        <v>255</v>
      </c>
      <c r="M132" s="49"/>
      <c r="N132" s="49"/>
      <c r="O132" s="49"/>
      <c r="P132" s="49"/>
      <c r="Q132" s="49"/>
      <c r="R132" s="49"/>
      <c r="S132" s="49"/>
      <c r="T132" s="49"/>
    </row>
    <row r="133">
      <c r="A133" s="49"/>
      <c r="B133" s="49"/>
      <c r="C133" s="51"/>
      <c r="D133" s="49"/>
      <c r="E133" s="49"/>
      <c r="F133" s="49"/>
      <c r="G133" s="49" t="str">
        <f>IFERROR(__xludf.DUMMYFUNCTION("""COMPUTED_VALUE"""),"#VALUE!")</f>
        <v>#VALUE!</v>
      </c>
      <c r="H133" s="49" t="str">
        <f>IFERROR(__xludf.DUMMYFUNCTION("""COMPUTED_VALUE"""),"")</f>
        <v/>
      </c>
      <c r="I133" s="49" t="str">
        <f>IFERROR(__xludf.DUMMYFUNCTION("""COMPUTED_VALUE"""),"#VALUE!")</f>
        <v>#VALUE!</v>
      </c>
      <c r="J133" s="49" t="str">
        <f>IFERROR(__xludf.DUMMYFUNCTION("""COMPUTED_VALUE"""),"")</f>
        <v/>
      </c>
      <c r="K133" s="49"/>
      <c r="L133" s="49" t="s">
        <v>255</v>
      </c>
      <c r="M133" s="49"/>
      <c r="N133" s="49"/>
      <c r="O133" s="49"/>
      <c r="P133" s="49"/>
      <c r="Q133" s="49"/>
      <c r="R133" s="49"/>
      <c r="S133" s="49"/>
      <c r="T133" s="49"/>
    </row>
    <row r="134">
      <c r="A134" s="49"/>
      <c r="B134" s="49"/>
      <c r="C134" s="51"/>
      <c r="D134" s="49"/>
      <c r="E134" s="49"/>
      <c r="F134" s="49"/>
      <c r="G134" s="49" t="str">
        <f>IFERROR(__xludf.DUMMYFUNCTION("""COMPUTED_VALUE"""),"#VALUE!")</f>
        <v>#VALUE!</v>
      </c>
      <c r="H134" s="49" t="str">
        <f>IFERROR(__xludf.DUMMYFUNCTION("""COMPUTED_VALUE"""),"")</f>
        <v/>
      </c>
      <c r="I134" s="49" t="str">
        <f>IFERROR(__xludf.DUMMYFUNCTION("""COMPUTED_VALUE"""),"#VALUE!")</f>
        <v>#VALUE!</v>
      </c>
      <c r="J134" s="49" t="str">
        <f>IFERROR(__xludf.DUMMYFUNCTION("""COMPUTED_VALUE"""),"")</f>
        <v/>
      </c>
      <c r="K134" s="49"/>
      <c r="L134" s="49" t="s">
        <v>255</v>
      </c>
      <c r="M134" s="49"/>
      <c r="N134" s="49"/>
      <c r="O134" s="49"/>
      <c r="P134" s="49"/>
      <c r="Q134" s="49"/>
      <c r="R134" s="49"/>
      <c r="S134" s="49"/>
      <c r="T134" s="49"/>
    </row>
    <row r="135">
      <c r="A135" s="49"/>
      <c r="B135" s="49"/>
      <c r="C135" s="51"/>
      <c r="D135" s="49"/>
      <c r="E135" s="49"/>
      <c r="F135" s="49"/>
      <c r="G135" s="49" t="str">
        <f>IFERROR(__xludf.DUMMYFUNCTION("""COMPUTED_VALUE"""),"#VALUE!")</f>
        <v>#VALUE!</v>
      </c>
      <c r="H135" s="49" t="str">
        <f>IFERROR(__xludf.DUMMYFUNCTION("""COMPUTED_VALUE"""),"")</f>
        <v/>
      </c>
      <c r="I135" s="49" t="str">
        <f>IFERROR(__xludf.DUMMYFUNCTION("""COMPUTED_VALUE"""),"#VALUE!")</f>
        <v>#VALUE!</v>
      </c>
      <c r="J135" s="49" t="str">
        <f>IFERROR(__xludf.DUMMYFUNCTION("""COMPUTED_VALUE"""),"")</f>
        <v/>
      </c>
      <c r="K135" s="49"/>
      <c r="L135" s="49" t="s">
        <v>255</v>
      </c>
      <c r="M135" s="49"/>
      <c r="N135" s="49"/>
      <c r="O135" s="49"/>
      <c r="P135" s="49"/>
      <c r="Q135" s="49"/>
      <c r="R135" s="49"/>
      <c r="S135" s="49"/>
      <c r="T135" s="49"/>
    </row>
    <row r="136">
      <c r="A136" s="49"/>
      <c r="B136" s="49"/>
      <c r="C136" s="51"/>
      <c r="D136" s="49"/>
      <c r="E136" s="49"/>
      <c r="F136" s="49"/>
      <c r="G136" s="49" t="str">
        <f>IFERROR(__xludf.DUMMYFUNCTION("""COMPUTED_VALUE"""),"#VALUE!")</f>
        <v>#VALUE!</v>
      </c>
      <c r="H136" s="49" t="str">
        <f>IFERROR(__xludf.DUMMYFUNCTION("""COMPUTED_VALUE"""),"")</f>
        <v/>
      </c>
      <c r="I136" s="49" t="str">
        <f>IFERROR(__xludf.DUMMYFUNCTION("""COMPUTED_VALUE"""),"#VALUE!")</f>
        <v>#VALUE!</v>
      </c>
      <c r="J136" s="49" t="str">
        <f>IFERROR(__xludf.DUMMYFUNCTION("""COMPUTED_VALUE"""),"")</f>
        <v/>
      </c>
      <c r="K136" s="49"/>
      <c r="L136" s="49" t="s">
        <v>255</v>
      </c>
      <c r="M136" s="49"/>
      <c r="N136" s="49"/>
      <c r="O136" s="49"/>
      <c r="P136" s="49"/>
      <c r="Q136" s="49"/>
      <c r="R136" s="49"/>
      <c r="S136" s="49"/>
      <c r="T136" s="49"/>
    </row>
    <row r="137">
      <c r="A137" s="49"/>
      <c r="B137" s="49"/>
      <c r="C137" s="51"/>
      <c r="D137" s="49"/>
      <c r="E137" s="49"/>
      <c r="F137" s="49"/>
      <c r="G137" s="49" t="str">
        <f>IFERROR(__xludf.DUMMYFUNCTION("""COMPUTED_VALUE"""),"#VALUE!")</f>
        <v>#VALUE!</v>
      </c>
      <c r="H137" s="49" t="str">
        <f>IFERROR(__xludf.DUMMYFUNCTION("""COMPUTED_VALUE"""),"")</f>
        <v/>
      </c>
      <c r="I137" s="49" t="str">
        <f>IFERROR(__xludf.DUMMYFUNCTION("""COMPUTED_VALUE"""),"#VALUE!")</f>
        <v>#VALUE!</v>
      </c>
      <c r="J137" s="49" t="str">
        <f>IFERROR(__xludf.DUMMYFUNCTION("""COMPUTED_VALUE"""),"")</f>
        <v/>
      </c>
      <c r="K137" s="49"/>
      <c r="L137" s="49" t="s">
        <v>255</v>
      </c>
      <c r="M137" s="49"/>
      <c r="N137" s="49"/>
      <c r="O137" s="49"/>
      <c r="P137" s="49"/>
      <c r="Q137" s="49"/>
      <c r="R137" s="49"/>
      <c r="S137" s="49"/>
      <c r="T137" s="49"/>
    </row>
    <row r="138">
      <c r="A138" s="49"/>
      <c r="B138" s="49"/>
      <c r="C138" s="51"/>
      <c r="D138" s="49"/>
      <c r="E138" s="49"/>
      <c r="F138" s="49"/>
      <c r="G138" s="49" t="str">
        <f>IFERROR(__xludf.DUMMYFUNCTION("""COMPUTED_VALUE"""),"#VALUE!")</f>
        <v>#VALUE!</v>
      </c>
      <c r="H138" s="49" t="str">
        <f>IFERROR(__xludf.DUMMYFUNCTION("""COMPUTED_VALUE"""),"")</f>
        <v/>
      </c>
      <c r="I138" s="49" t="str">
        <f>IFERROR(__xludf.DUMMYFUNCTION("""COMPUTED_VALUE"""),"#VALUE!")</f>
        <v>#VALUE!</v>
      </c>
      <c r="J138" s="49" t="str">
        <f>IFERROR(__xludf.DUMMYFUNCTION("""COMPUTED_VALUE"""),"")</f>
        <v/>
      </c>
      <c r="K138" s="49"/>
      <c r="L138" s="49" t="s">
        <v>255</v>
      </c>
      <c r="M138" s="49"/>
      <c r="N138" s="49"/>
      <c r="O138" s="49"/>
      <c r="P138" s="49"/>
      <c r="Q138" s="49"/>
      <c r="R138" s="49"/>
      <c r="S138" s="49"/>
      <c r="T138" s="49"/>
    </row>
    <row r="139">
      <c r="A139" s="49"/>
      <c r="B139" s="49"/>
      <c r="C139" s="51"/>
      <c r="D139" s="49"/>
      <c r="E139" s="49"/>
      <c r="F139" s="49"/>
      <c r="G139" s="49" t="str">
        <f>IFERROR(__xludf.DUMMYFUNCTION("""COMPUTED_VALUE"""),"#VALUE!")</f>
        <v>#VALUE!</v>
      </c>
      <c r="H139" s="49" t="str">
        <f>IFERROR(__xludf.DUMMYFUNCTION("""COMPUTED_VALUE"""),"")</f>
        <v/>
      </c>
      <c r="I139" s="49" t="str">
        <f>IFERROR(__xludf.DUMMYFUNCTION("""COMPUTED_VALUE"""),"#VALUE!")</f>
        <v>#VALUE!</v>
      </c>
      <c r="J139" s="49" t="str">
        <f>IFERROR(__xludf.DUMMYFUNCTION("""COMPUTED_VALUE"""),"")</f>
        <v/>
      </c>
      <c r="K139" s="49"/>
      <c r="L139" s="49" t="s">
        <v>255</v>
      </c>
      <c r="M139" s="49"/>
      <c r="N139" s="49"/>
      <c r="O139" s="49"/>
      <c r="P139" s="49"/>
      <c r="Q139" s="49"/>
      <c r="R139" s="49"/>
      <c r="S139" s="49"/>
      <c r="T139" s="49"/>
    </row>
    <row r="140">
      <c r="A140" s="49"/>
      <c r="B140" s="49"/>
      <c r="C140" s="51"/>
      <c r="D140" s="49"/>
      <c r="E140" s="49"/>
      <c r="F140" s="49"/>
      <c r="G140" s="49" t="str">
        <f>IFERROR(__xludf.DUMMYFUNCTION("""COMPUTED_VALUE"""),"#VALUE!")</f>
        <v>#VALUE!</v>
      </c>
      <c r="H140" s="49" t="str">
        <f>IFERROR(__xludf.DUMMYFUNCTION("""COMPUTED_VALUE"""),"")</f>
        <v/>
      </c>
      <c r="I140" s="49" t="str">
        <f>IFERROR(__xludf.DUMMYFUNCTION("""COMPUTED_VALUE"""),"#VALUE!")</f>
        <v>#VALUE!</v>
      </c>
      <c r="J140" s="49" t="str">
        <f>IFERROR(__xludf.DUMMYFUNCTION("""COMPUTED_VALUE"""),"")</f>
        <v/>
      </c>
      <c r="K140" s="49"/>
      <c r="L140" s="49" t="s">
        <v>255</v>
      </c>
      <c r="M140" s="49"/>
      <c r="N140" s="49"/>
      <c r="O140" s="49"/>
      <c r="P140" s="49"/>
      <c r="Q140" s="49"/>
      <c r="R140" s="49"/>
      <c r="S140" s="49"/>
      <c r="T140" s="49"/>
    </row>
    <row r="141">
      <c r="A141" s="49"/>
      <c r="B141" s="49"/>
      <c r="C141" s="51"/>
      <c r="D141" s="49"/>
      <c r="E141" s="49"/>
      <c r="F141" s="49"/>
      <c r="G141" s="49" t="str">
        <f>IFERROR(__xludf.DUMMYFUNCTION("""COMPUTED_VALUE"""),"#VALUE!")</f>
        <v>#VALUE!</v>
      </c>
      <c r="H141" s="49" t="str">
        <f>IFERROR(__xludf.DUMMYFUNCTION("""COMPUTED_VALUE"""),"")</f>
        <v/>
      </c>
      <c r="I141" s="49" t="str">
        <f>IFERROR(__xludf.DUMMYFUNCTION("""COMPUTED_VALUE"""),"#VALUE!")</f>
        <v>#VALUE!</v>
      </c>
      <c r="J141" s="49" t="str">
        <f>IFERROR(__xludf.DUMMYFUNCTION("""COMPUTED_VALUE"""),"")</f>
        <v/>
      </c>
      <c r="K141" s="49"/>
      <c r="L141" s="49" t="s">
        <v>255</v>
      </c>
      <c r="M141" s="49"/>
      <c r="N141" s="49"/>
      <c r="O141" s="49"/>
      <c r="P141" s="49"/>
      <c r="Q141" s="49"/>
      <c r="R141" s="49"/>
      <c r="S141" s="49"/>
      <c r="T141" s="49"/>
    </row>
    <row r="142">
      <c r="A142" s="49"/>
      <c r="B142" s="49"/>
      <c r="C142" s="51"/>
      <c r="D142" s="49"/>
      <c r="E142" s="49"/>
      <c r="F142" s="49"/>
      <c r="G142" s="49" t="str">
        <f>IFERROR(__xludf.DUMMYFUNCTION("""COMPUTED_VALUE"""),"#VALUE!")</f>
        <v>#VALUE!</v>
      </c>
      <c r="H142" s="49" t="str">
        <f>IFERROR(__xludf.DUMMYFUNCTION("""COMPUTED_VALUE"""),"")</f>
        <v/>
      </c>
      <c r="I142" s="49" t="str">
        <f>IFERROR(__xludf.DUMMYFUNCTION("""COMPUTED_VALUE"""),"#VALUE!")</f>
        <v>#VALUE!</v>
      </c>
      <c r="J142" s="49" t="str">
        <f>IFERROR(__xludf.DUMMYFUNCTION("""COMPUTED_VALUE"""),"")</f>
        <v/>
      </c>
      <c r="K142" s="49"/>
      <c r="L142" s="49" t="s">
        <v>255</v>
      </c>
      <c r="M142" s="49"/>
      <c r="N142" s="49"/>
      <c r="O142" s="49"/>
      <c r="P142" s="49"/>
      <c r="Q142" s="49"/>
      <c r="R142" s="49"/>
      <c r="S142" s="49"/>
      <c r="T142" s="49"/>
    </row>
    <row r="143">
      <c r="A143" s="49"/>
      <c r="B143" s="49"/>
      <c r="C143" s="51"/>
      <c r="D143" s="49"/>
      <c r="E143" s="49"/>
      <c r="F143" s="49"/>
      <c r="G143" s="49" t="str">
        <f>IFERROR(__xludf.DUMMYFUNCTION("""COMPUTED_VALUE"""),"#VALUE!")</f>
        <v>#VALUE!</v>
      </c>
      <c r="H143" s="49" t="str">
        <f>IFERROR(__xludf.DUMMYFUNCTION("""COMPUTED_VALUE"""),"")</f>
        <v/>
      </c>
      <c r="I143" s="49" t="str">
        <f>IFERROR(__xludf.DUMMYFUNCTION("""COMPUTED_VALUE"""),"#VALUE!")</f>
        <v>#VALUE!</v>
      </c>
      <c r="J143" s="49" t="str">
        <f>IFERROR(__xludf.DUMMYFUNCTION("""COMPUTED_VALUE"""),"")</f>
        <v/>
      </c>
      <c r="K143" s="49"/>
      <c r="L143" s="49" t="s">
        <v>255</v>
      </c>
      <c r="M143" s="49"/>
      <c r="N143" s="49"/>
      <c r="O143" s="49"/>
      <c r="P143" s="49"/>
      <c r="Q143" s="49"/>
      <c r="R143" s="49"/>
      <c r="S143" s="49"/>
      <c r="T143" s="49"/>
    </row>
    <row r="144">
      <c r="A144" s="49"/>
      <c r="B144" s="49"/>
      <c r="C144" s="51"/>
      <c r="D144" s="49"/>
      <c r="E144" s="49"/>
      <c r="F144" s="49"/>
      <c r="G144" s="49" t="str">
        <f>IFERROR(__xludf.DUMMYFUNCTION("""COMPUTED_VALUE"""),"#VALUE!")</f>
        <v>#VALUE!</v>
      </c>
      <c r="H144" s="49" t="str">
        <f>IFERROR(__xludf.DUMMYFUNCTION("""COMPUTED_VALUE"""),"")</f>
        <v/>
      </c>
      <c r="I144" s="49" t="str">
        <f>IFERROR(__xludf.DUMMYFUNCTION("""COMPUTED_VALUE"""),"#VALUE!")</f>
        <v>#VALUE!</v>
      </c>
      <c r="J144" s="49" t="str">
        <f>IFERROR(__xludf.DUMMYFUNCTION("""COMPUTED_VALUE"""),"")</f>
        <v/>
      </c>
      <c r="K144" s="49"/>
      <c r="L144" s="49" t="s">
        <v>255</v>
      </c>
      <c r="M144" s="49"/>
      <c r="N144" s="49"/>
      <c r="O144" s="49"/>
      <c r="P144" s="49"/>
      <c r="Q144" s="49"/>
      <c r="R144" s="49"/>
      <c r="S144" s="49"/>
      <c r="T144" s="49"/>
    </row>
    <row r="145">
      <c r="A145" s="49"/>
      <c r="B145" s="49"/>
      <c r="C145" s="51"/>
      <c r="D145" s="49"/>
      <c r="E145" s="49"/>
      <c r="F145" s="49"/>
      <c r="G145" s="49" t="str">
        <f>IFERROR(__xludf.DUMMYFUNCTION("""COMPUTED_VALUE"""),"#VALUE!")</f>
        <v>#VALUE!</v>
      </c>
      <c r="H145" s="49" t="str">
        <f>IFERROR(__xludf.DUMMYFUNCTION("""COMPUTED_VALUE"""),"")</f>
        <v/>
      </c>
      <c r="I145" s="49" t="str">
        <f>IFERROR(__xludf.DUMMYFUNCTION("""COMPUTED_VALUE"""),"#VALUE!")</f>
        <v>#VALUE!</v>
      </c>
      <c r="J145" s="49" t="str">
        <f>IFERROR(__xludf.DUMMYFUNCTION("""COMPUTED_VALUE"""),"")</f>
        <v/>
      </c>
      <c r="K145" s="49"/>
      <c r="L145" s="49" t="s">
        <v>255</v>
      </c>
      <c r="M145" s="49"/>
      <c r="N145" s="49"/>
      <c r="O145" s="49"/>
      <c r="P145" s="49"/>
      <c r="Q145" s="49"/>
      <c r="R145" s="49"/>
      <c r="S145" s="49"/>
      <c r="T145" s="49"/>
    </row>
    <row r="146">
      <c r="A146" s="49"/>
      <c r="B146" s="49"/>
      <c r="C146" s="51"/>
      <c r="D146" s="49"/>
      <c r="E146" s="49"/>
      <c r="F146" s="49"/>
      <c r="G146" s="49" t="str">
        <f>IFERROR(__xludf.DUMMYFUNCTION("""COMPUTED_VALUE"""),"#VALUE!")</f>
        <v>#VALUE!</v>
      </c>
      <c r="H146" s="49" t="str">
        <f>IFERROR(__xludf.DUMMYFUNCTION("""COMPUTED_VALUE"""),"")</f>
        <v/>
      </c>
      <c r="I146" s="49" t="str">
        <f>IFERROR(__xludf.DUMMYFUNCTION("""COMPUTED_VALUE"""),"#VALUE!")</f>
        <v>#VALUE!</v>
      </c>
      <c r="J146" s="49" t="str">
        <f>IFERROR(__xludf.DUMMYFUNCTION("""COMPUTED_VALUE"""),"")</f>
        <v/>
      </c>
      <c r="K146" s="49"/>
      <c r="L146" s="49" t="s">
        <v>255</v>
      </c>
      <c r="M146" s="49"/>
      <c r="N146" s="49"/>
      <c r="O146" s="49"/>
      <c r="P146" s="49"/>
      <c r="Q146" s="49"/>
      <c r="R146" s="49"/>
      <c r="S146" s="49"/>
      <c r="T146" s="49"/>
    </row>
    <row r="147">
      <c r="A147" s="49"/>
      <c r="B147" s="49"/>
      <c r="C147" s="51"/>
      <c r="D147" s="49"/>
      <c r="E147" s="49"/>
      <c r="F147" s="49"/>
      <c r="G147" s="49" t="str">
        <f>IFERROR(__xludf.DUMMYFUNCTION("""COMPUTED_VALUE"""),"#VALUE!")</f>
        <v>#VALUE!</v>
      </c>
      <c r="H147" s="49" t="str">
        <f>IFERROR(__xludf.DUMMYFUNCTION("""COMPUTED_VALUE"""),"")</f>
        <v/>
      </c>
      <c r="I147" s="49" t="str">
        <f>IFERROR(__xludf.DUMMYFUNCTION("""COMPUTED_VALUE"""),"#VALUE!")</f>
        <v>#VALUE!</v>
      </c>
      <c r="J147" s="49" t="str">
        <f>IFERROR(__xludf.DUMMYFUNCTION("""COMPUTED_VALUE"""),"")</f>
        <v/>
      </c>
      <c r="K147" s="49"/>
      <c r="L147" s="49" t="s">
        <v>255</v>
      </c>
      <c r="M147" s="49"/>
      <c r="N147" s="49"/>
      <c r="O147" s="49"/>
      <c r="P147" s="49"/>
      <c r="Q147" s="49"/>
      <c r="R147" s="49"/>
      <c r="S147" s="49"/>
      <c r="T147" s="49"/>
    </row>
    <row r="148">
      <c r="A148" s="49"/>
      <c r="B148" s="49"/>
      <c r="C148" s="51"/>
      <c r="D148" s="49"/>
      <c r="E148" s="49"/>
      <c r="F148" s="49"/>
      <c r="G148" s="49" t="str">
        <f>IFERROR(__xludf.DUMMYFUNCTION("""COMPUTED_VALUE"""),"#VALUE!")</f>
        <v>#VALUE!</v>
      </c>
      <c r="H148" s="49" t="str">
        <f>IFERROR(__xludf.DUMMYFUNCTION("""COMPUTED_VALUE"""),"")</f>
        <v/>
      </c>
      <c r="I148" s="49" t="str">
        <f>IFERROR(__xludf.DUMMYFUNCTION("""COMPUTED_VALUE"""),"#VALUE!")</f>
        <v>#VALUE!</v>
      </c>
      <c r="J148" s="49" t="str">
        <f>IFERROR(__xludf.DUMMYFUNCTION("""COMPUTED_VALUE"""),"")</f>
        <v/>
      </c>
      <c r="K148" s="49"/>
      <c r="L148" s="49" t="s">
        <v>255</v>
      </c>
      <c r="M148" s="49"/>
      <c r="N148" s="49"/>
      <c r="O148" s="49"/>
      <c r="P148" s="49"/>
      <c r="Q148" s="49"/>
      <c r="R148" s="49"/>
      <c r="S148" s="49"/>
      <c r="T148" s="49"/>
    </row>
    <row r="149">
      <c r="A149" s="49"/>
      <c r="B149" s="49"/>
      <c r="C149" s="51"/>
      <c r="D149" s="49"/>
      <c r="E149" s="49"/>
      <c r="F149" s="49"/>
      <c r="G149" s="49" t="str">
        <f>IFERROR(__xludf.DUMMYFUNCTION("""COMPUTED_VALUE"""),"#VALUE!")</f>
        <v>#VALUE!</v>
      </c>
      <c r="H149" s="49" t="str">
        <f>IFERROR(__xludf.DUMMYFUNCTION("""COMPUTED_VALUE"""),"")</f>
        <v/>
      </c>
      <c r="I149" s="49" t="str">
        <f>IFERROR(__xludf.DUMMYFUNCTION("""COMPUTED_VALUE"""),"#VALUE!")</f>
        <v>#VALUE!</v>
      </c>
      <c r="J149" s="49" t="str">
        <f>IFERROR(__xludf.DUMMYFUNCTION("""COMPUTED_VALUE"""),"")</f>
        <v/>
      </c>
      <c r="K149" s="49"/>
      <c r="L149" s="49" t="s">
        <v>255</v>
      </c>
      <c r="M149" s="49"/>
      <c r="N149" s="49"/>
      <c r="O149" s="49"/>
      <c r="P149" s="49"/>
      <c r="Q149" s="49"/>
      <c r="R149" s="49"/>
      <c r="S149" s="49"/>
      <c r="T149" s="49"/>
    </row>
    <row r="150">
      <c r="A150" s="49"/>
      <c r="B150" s="49"/>
      <c r="C150" s="51"/>
      <c r="D150" s="49"/>
      <c r="E150" s="49"/>
      <c r="F150" s="49"/>
      <c r="G150" s="49" t="str">
        <f>IFERROR(__xludf.DUMMYFUNCTION("""COMPUTED_VALUE"""),"#VALUE!")</f>
        <v>#VALUE!</v>
      </c>
      <c r="H150" s="49" t="str">
        <f>IFERROR(__xludf.DUMMYFUNCTION("""COMPUTED_VALUE"""),"")</f>
        <v/>
      </c>
      <c r="I150" s="49" t="str">
        <f>IFERROR(__xludf.DUMMYFUNCTION("""COMPUTED_VALUE"""),"#VALUE!")</f>
        <v>#VALUE!</v>
      </c>
      <c r="J150" s="49" t="str">
        <f>IFERROR(__xludf.DUMMYFUNCTION("""COMPUTED_VALUE"""),"")</f>
        <v/>
      </c>
      <c r="K150" s="49"/>
      <c r="L150" s="49" t="s">
        <v>255</v>
      </c>
      <c r="M150" s="49"/>
      <c r="N150" s="49"/>
      <c r="O150" s="49"/>
      <c r="P150" s="49"/>
      <c r="Q150" s="49"/>
      <c r="R150" s="49"/>
      <c r="S150" s="49"/>
      <c r="T150" s="49"/>
    </row>
    <row r="151">
      <c r="A151" s="49"/>
      <c r="B151" s="49"/>
      <c r="C151" s="51"/>
      <c r="D151" s="49"/>
      <c r="E151" s="49"/>
      <c r="F151" s="49"/>
      <c r="G151" s="49" t="str">
        <f>IFERROR(__xludf.DUMMYFUNCTION("""COMPUTED_VALUE"""),"#VALUE!")</f>
        <v>#VALUE!</v>
      </c>
      <c r="H151" s="49" t="str">
        <f>IFERROR(__xludf.DUMMYFUNCTION("""COMPUTED_VALUE"""),"")</f>
        <v/>
      </c>
      <c r="I151" s="49" t="str">
        <f>IFERROR(__xludf.DUMMYFUNCTION("""COMPUTED_VALUE"""),"#VALUE!")</f>
        <v>#VALUE!</v>
      </c>
      <c r="J151" s="49" t="str">
        <f>IFERROR(__xludf.DUMMYFUNCTION("""COMPUTED_VALUE"""),"")</f>
        <v/>
      </c>
      <c r="K151" s="49"/>
      <c r="L151" s="49" t="s">
        <v>255</v>
      </c>
      <c r="M151" s="49"/>
      <c r="N151" s="49"/>
      <c r="O151" s="49"/>
      <c r="P151" s="49"/>
      <c r="Q151" s="49"/>
      <c r="R151" s="49"/>
      <c r="S151" s="49"/>
      <c r="T151" s="49"/>
    </row>
    <row r="152">
      <c r="A152" s="49"/>
      <c r="B152" s="49"/>
      <c r="C152" s="51"/>
      <c r="D152" s="49"/>
      <c r="E152" s="49"/>
      <c r="F152" s="49"/>
      <c r="G152" s="49" t="str">
        <f>IFERROR(__xludf.DUMMYFUNCTION("""COMPUTED_VALUE"""),"#VALUE!")</f>
        <v>#VALUE!</v>
      </c>
      <c r="H152" s="49" t="str">
        <f>IFERROR(__xludf.DUMMYFUNCTION("""COMPUTED_VALUE"""),"")</f>
        <v/>
      </c>
      <c r="I152" s="49" t="str">
        <f>IFERROR(__xludf.DUMMYFUNCTION("""COMPUTED_VALUE"""),"#VALUE!")</f>
        <v>#VALUE!</v>
      </c>
      <c r="J152" s="49" t="str">
        <f>IFERROR(__xludf.DUMMYFUNCTION("""COMPUTED_VALUE"""),"")</f>
        <v/>
      </c>
      <c r="K152" s="49"/>
      <c r="L152" s="49" t="s">
        <v>255</v>
      </c>
      <c r="M152" s="49"/>
      <c r="N152" s="49"/>
      <c r="O152" s="49"/>
      <c r="P152" s="49"/>
      <c r="Q152" s="49"/>
      <c r="R152" s="49"/>
      <c r="S152" s="49"/>
      <c r="T152" s="49"/>
    </row>
    <row r="153">
      <c r="A153" s="49"/>
      <c r="B153" s="49"/>
      <c r="C153" s="51"/>
      <c r="D153" s="49"/>
      <c r="E153" s="49"/>
      <c r="F153" s="49"/>
      <c r="G153" s="49" t="str">
        <f>IFERROR(__xludf.DUMMYFUNCTION("""COMPUTED_VALUE"""),"#VALUE!")</f>
        <v>#VALUE!</v>
      </c>
      <c r="H153" s="49" t="str">
        <f>IFERROR(__xludf.DUMMYFUNCTION("""COMPUTED_VALUE"""),"")</f>
        <v/>
      </c>
      <c r="I153" s="49" t="str">
        <f>IFERROR(__xludf.DUMMYFUNCTION("""COMPUTED_VALUE"""),"#VALUE!")</f>
        <v>#VALUE!</v>
      </c>
      <c r="J153" s="49" t="str">
        <f>IFERROR(__xludf.DUMMYFUNCTION("""COMPUTED_VALUE"""),"")</f>
        <v/>
      </c>
      <c r="K153" s="49"/>
      <c r="L153" s="49" t="s">
        <v>255</v>
      </c>
      <c r="M153" s="49"/>
      <c r="N153" s="49"/>
      <c r="O153" s="49"/>
      <c r="P153" s="49"/>
      <c r="Q153" s="49"/>
      <c r="R153" s="49"/>
      <c r="S153" s="49"/>
      <c r="T153" s="49"/>
    </row>
    <row r="154">
      <c r="A154" s="49"/>
      <c r="B154" s="49"/>
      <c r="C154" s="51"/>
      <c r="D154" s="49"/>
      <c r="E154" s="49"/>
      <c r="F154" s="49"/>
      <c r="G154" s="49" t="str">
        <f>IFERROR(__xludf.DUMMYFUNCTION("""COMPUTED_VALUE"""),"#VALUE!")</f>
        <v>#VALUE!</v>
      </c>
      <c r="H154" s="49" t="str">
        <f>IFERROR(__xludf.DUMMYFUNCTION("""COMPUTED_VALUE"""),"")</f>
        <v/>
      </c>
      <c r="I154" s="49" t="str">
        <f>IFERROR(__xludf.DUMMYFUNCTION("""COMPUTED_VALUE"""),"#VALUE!")</f>
        <v>#VALUE!</v>
      </c>
      <c r="J154" s="49" t="str">
        <f>IFERROR(__xludf.DUMMYFUNCTION("""COMPUTED_VALUE"""),"")</f>
        <v/>
      </c>
      <c r="K154" s="49"/>
      <c r="L154" s="49" t="s">
        <v>255</v>
      </c>
      <c r="M154" s="49"/>
      <c r="N154" s="49"/>
      <c r="O154" s="49"/>
      <c r="P154" s="49"/>
      <c r="Q154" s="49"/>
      <c r="R154" s="49"/>
      <c r="S154" s="49"/>
      <c r="T154" s="49"/>
    </row>
    <row r="155">
      <c r="A155" s="49"/>
      <c r="B155" s="49"/>
      <c r="C155" s="51"/>
      <c r="D155" s="49"/>
      <c r="E155" s="49"/>
      <c r="F155" s="49"/>
      <c r="G155" s="49" t="str">
        <f>IFERROR(__xludf.DUMMYFUNCTION("""COMPUTED_VALUE"""),"#VALUE!")</f>
        <v>#VALUE!</v>
      </c>
      <c r="H155" s="49" t="str">
        <f>IFERROR(__xludf.DUMMYFUNCTION("""COMPUTED_VALUE"""),"")</f>
        <v/>
      </c>
      <c r="I155" s="49" t="str">
        <f>IFERROR(__xludf.DUMMYFUNCTION("""COMPUTED_VALUE"""),"#VALUE!")</f>
        <v>#VALUE!</v>
      </c>
      <c r="J155" s="49" t="str">
        <f>IFERROR(__xludf.DUMMYFUNCTION("""COMPUTED_VALUE"""),"")</f>
        <v/>
      </c>
      <c r="K155" s="49"/>
      <c r="L155" s="49" t="s">
        <v>255</v>
      </c>
      <c r="M155" s="49"/>
      <c r="N155" s="49"/>
      <c r="O155" s="49"/>
      <c r="P155" s="49"/>
      <c r="Q155" s="49"/>
      <c r="R155" s="49"/>
      <c r="S155" s="49"/>
      <c r="T155" s="49"/>
    </row>
    <row r="156">
      <c r="A156" s="49"/>
      <c r="B156" s="49"/>
      <c r="C156" s="51"/>
      <c r="D156" s="49"/>
      <c r="E156" s="49"/>
      <c r="F156" s="49"/>
      <c r="G156" s="49" t="str">
        <f>IFERROR(__xludf.DUMMYFUNCTION("""COMPUTED_VALUE"""),"#VALUE!")</f>
        <v>#VALUE!</v>
      </c>
      <c r="H156" s="49" t="str">
        <f>IFERROR(__xludf.DUMMYFUNCTION("""COMPUTED_VALUE"""),"")</f>
        <v/>
      </c>
      <c r="I156" s="49" t="str">
        <f>IFERROR(__xludf.DUMMYFUNCTION("""COMPUTED_VALUE"""),"#VALUE!")</f>
        <v>#VALUE!</v>
      </c>
      <c r="J156" s="49" t="str">
        <f>IFERROR(__xludf.DUMMYFUNCTION("""COMPUTED_VALUE"""),"")</f>
        <v/>
      </c>
      <c r="K156" s="49"/>
      <c r="L156" s="49" t="s">
        <v>255</v>
      </c>
      <c r="M156" s="49"/>
      <c r="N156" s="49"/>
      <c r="O156" s="49"/>
      <c r="P156" s="49"/>
      <c r="Q156" s="49"/>
      <c r="R156" s="49"/>
      <c r="S156" s="49"/>
      <c r="T156" s="49"/>
    </row>
    <row r="157">
      <c r="A157" s="49"/>
      <c r="B157" s="49"/>
      <c r="C157" s="51"/>
      <c r="D157" s="49"/>
      <c r="E157" s="49"/>
      <c r="F157" s="49"/>
      <c r="G157" s="49" t="str">
        <f>IFERROR(__xludf.DUMMYFUNCTION("""COMPUTED_VALUE"""),"#VALUE!")</f>
        <v>#VALUE!</v>
      </c>
      <c r="H157" s="49" t="str">
        <f>IFERROR(__xludf.DUMMYFUNCTION("""COMPUTED_VALUE"""),"")</f>
        <v/>
      </c>
      <c r="I157" s="49" t="str">
        <f>IFERROR(__xludf.DUMMYFUNCTION("""COMPUTED_VALUE"""),"#VALUE!")</f>
        <v>#VALUE!</v>
      </c>
      <c r="J157" s="49" t="str">
        <f>IFERROR(__xludf.DUMMYFUNCTION("""COMPUTED_VALUE"""),"")</f>
        <v/>
      </c>
      <c r="K157" s="49"/>
      <c r="L157" s="49" t="s">
        <v>255</v>
      </c>
      <c r="M157" s="49"/>
      <c r="N157" s="49"/>
      <c r="O157" s="49"/>
      <c r="P157" s="49"/>
      <c r="Q157" s="49"/>
      <c r="R157" s="49"/>
      <c r="S157" s="49"/>
      <c r="T157" s="49"/>
    </row>
    <row r="158">
      <c r="A158" s="49"/>
      <c r="B158" s="49"/>
      <c r="C158" s="51"/>
      <c r="D158" s="49"/>
      <c r="E158" s="49"/>
      <c r="F158" s="49"/>
      <c r="G158" s="49" t="str">
        <f>IFERROR(__xludf.DUMMYFUNCTION("""COMPUTED_VALUE"""),"#VALUE!")</f>
        <v>#VALUE!</v>
      </c>
      <c r="H158" s="49" t="str">
        <f>IFERROR(__xludf.DUMMYFUNCTION("""COMPUTED_VALUE"""),"")</f>
        <v/>
      </c>
      <c r="I158" s="49" t="str">
        <f>IFERROR(__xludf.DUMMYFUNCTION("""COMPUTED_VALUE"""),"#VALUE!")</f>
        <v>#VALUE!</v>
      </c>
      <c r="J158" s="49" t="str">
        <f>IFERROR(__xludf.DUMMYFUNCTION("""COMPUTED_VALUE"""),"")</f>
        <v/>
      </c>
      <c r="K158" s="49"/>
      <c r="L158" s="49" t="s">
        <v>255</v>
      </c>
      <c r="M158" s="49"/>
      <c r="N158" s="49"/>
      <c r="O158" s="49"/>
      <c r="P158" s="49"/>
      <c r="Q158" s="49"/>
      <c r="R158" s="49"/>
      <c r="S158" s="49"/>
      <c r="T158" s="49"/>
    </row>
    <row r="159">
      <c r="A159" s="49"/>
      <c r="B159" s="49"/>
      <c r="C159" s="51"/>
      <c r="D159" s="49"/>
      <c r="E159" s="49"/>
      <c r="F159" s="49"/>
      <c r="G159" s="49" t="str">
        <f>IFERROR(__xludf.DUMMYFUNCTION("""COMPUTED_VALUE"""),"#VALUE!")</f>
        <v>#VALUE!</v>
      </c>
      <c r="H159" s="49" t="str">
        <f>IFERROR(__xludf.DUMMYFUNCTION("""COMPUTED_VALUE"""),"")</f>
        <v/>
      </c>
      <c r="I159" s="49" t="str">
        <f>IFERROR(__xludf.DUMMYFUNCTION("""COMPUTED_VALUE"""),"#VALUE!")</f>
        <v>#VALUE!</v>
      </c>
      <c r="J159" s="49" t="str">
        <f>IFERROR(__xludf.DUMMYFUNCTION("""COMPUTED_VALUE"""),"")</f>
        <v/>
      </c>
      <c r="K159" s="49"/>
      <c r="L159" s="49" t="s">
        <v>255</v>
      </c>
      <c r="M159" s="49"/>
      <c r="N159" s="49"/>
      <c r="O159" s="49"/>
      <c r="P159" s="49"/>
      <c r="Q159" s="49"/>
      <c r="R159" s="49"/>
      <c r="S159" s="49"/>
      <c r="T159" s="49"/>
    </row>
    <row r="160">
      <c r="A160" s="49"/>
      <c r="B160" s="49"/>
      <c r="C160" s="51"/>
      <c r="D160" s="49"/>
      <c r="E160" s="49"/>
      <c r="F160" s="49"/>
      <c r="G160" s="49" t="str">
        <f>IFERROR(__xludf.DUMMYFUNCTION("""COMPUTED_VALUE"""),"#VALUE!")</f>
        <v>#VALUE!</v>
      </c>
      <c r="H160" s="49" t="str">
        <f>IFERROR(__xludf.DUMMYFUNCTION("""COMPUTED_VALUE"""),"")</f>
        <v/>
      </c>
      <c r="I160" s="49" t="str">
        <f>IFERROR(__xludf.DUMMYFUNCTION("""COMPUTED_VALUE"""),"#VALUE!")</f>
        <v>#VALUE!</v>
      </c>
      <c r="J160" s="49" t="str">
        <f>IFERROR(__xludf.DUMMYFUNCTION("""COMPUTED_VALUE"""),"")</f>
        <v/>
      </c>
      <c r="K160" s="49"/>
      <c r="L160" s="49" t="s">
        <v>255</v>
      </c>
      <c r="M160" s="49"/>
      <c r="N160" s="49"/>
      <c r="O160" s="49"/>
      <c r="P160" s="49"/>
      <c r="Q160" s="49"/>
      <c r="R160" s="49"/>
      <c r="S160" s="49"/>
      <c r="T160" s="49"/>
    </row>
    <row r="161">
      <c r="A161" s="49"/>
      <c r="B161" s="49"/>
      <c r="C161" s="51"/>
      <c r="D161" s="49"/>
      <c r="E161" s="49"/>
      <c r="F161" s="49"/>
      <c r="G161" s="49" t="str">
        <f>IFERROR(__xludf.DUMMYFUNCTION("""COMPUTED_VALUE"""),"#VALUE!")</f>
        <v>#VALUE!</v>
      </c>
      <c r="H161" s="49" t="str">
        <f>IFERROR(__xludf.DUMMYFUNCTION("""COMPUTED_VALUE"""),"")</f>
        <v/>
      </c>
      <c r="I161" s="49" t="str">
        <f>IFERROR(__xludf.DUMMYFUNCTION("""COMPUTED_VALUE"""),"#VALUE!")</f>
        <v>#VALUE!</v>
      </c>
      <c r="J161" s="49" t="str">
        <f>IFERROR(__xludf.DUMMYFUNCTION("""COMPUTED_VALUE"""),"")</f>
        <v/>
      </c>
      <c r="K161" s="49"/>
      <c r="L161" s="49" t="s">
        <v>255</v>
      </c>
      <c r="M161" s="49"/>
      <c r="N161" s="49"/>
      <c r="O161" s="49"/>
      <c r="P161" s="49"/>
      <c r="Q161" s="49"/>
      <c r="R161" s="49"/>
      <c r="S161" s="49"/>
      <c r="T161" s="49"/>
    </row>
    <row r="162">
      <c r="A162" s="49"/>
      <c r="B162" s="49"/>
      <c r="C162" s="51"/>
      <c r="D162" s="49"/>
      <c r="E162" s="49"/>
      <c r="F162" s="49"/>
      <c r="G162" s="49" t="str">
        <f>IFERROR(__xludf.DUMMYFUNCTION("""COMPUTED_VALUE"""),"#VALUE!")</f>
        <v>#VALUE!</v>
      </c>
      <c r="H162" s="49" t="str">
        <f>IFERROR(__xludf.DUMMYFUNCTION("""COMPUTED_VALUE"""),"")</f>
        <v/>
      </c>
      <c r="I162" s="49" t="str">
        <f>IFERROR(__xludf.DUMMYFUNCTION("""COMPUTED_VALUE"""),"#VALUE!")</f>
        <v>#VALUE!</v>
      </c>
      <c r="J162" s="49" t="str">
        <f>IFERROR(__xludf.DUMMYFUNCTION("""COMPUTED_VALUE"""),"")</f>
        <v/>
      </c>
      <c r="K162" s="49"/>
      <c r="L162" s="49" t="s">
        <v>255</v>
      </c>
      <c r="M162" s="49"/>
      <c r="N162" s="49"/>
      <c r="O162" s="49"/>
      <c r="P162" s="49"/>
      <c r="Q162" s="49"/>
      <c r="R162" s="49"/>
      <c r="S162" s="49"/>
      <c r="T162" s="49"/>
    </row>
    <row r="163">
      <c r="A163" s="49"/>
      <c r="B163" s="49"/>
      <c r="C163" s="51"/>
      <c r="D163" s="49"/>
      <c r="E163" s="49"/>
      <c r="F163" s="49"/>
      <c r="G163" s="49" t="str">
        <f>IFERROR(__xludf.DUMMYFUNCTION("""COMPUTED_VALUE"""),"#VALUE!")</f>
        <v>#VALUE!</v>
      </c>
      <c r="H163" s="49" t="str">
        <f>IFERROR(__xludf.DUMMYFUNCTION("""COMPUTED_VALUE"""),"")</f>
        <v/>
      </c>
      <c r="I163" s="49" t="str">
        <f>IFERROR(__xludf.DUMMYFUNCTION("""COMPUTED_VALUE"""),"#VALUE!")</f>
        <v>#VALUE!</v>
      </c>
      <c r="J163" s="49" t="str">
        <f>IFERROR(__xludf.DUMMYFUNCTION("""COMPUTED_VALUE"""),"")</f>
        <v/>
      </c>
      <c r="K163" s="49"/>
      <c r="L163" s="49" t="s">
        <v>255</v>
      </c>
      <c r="M163" s="49"/>
      <c r="N163" s="49"/>
      <c r="O163" s="49"/>
      <c r="P163" s="49"/>
      <c r="Q163" s="49"/>
      <c r="R163" s="49"/>
      <c r="S163" s="49"/>
      <c r="T163" s="49"/>
    </row>
    <row r="164">
      <c r="A164" s="49"/>
      <c r="B164" s="49"/>
      <c r="C164" s="51"/>
      <c r="D164" s="49"/>
      <c r="E164" s="49"/>
      <c r="F164" s="49"/>
      <c r="G164" s="49" t="str">
        <f>IFERROR(__xludf.DUMMYFUNCTION("""COMPUTED_VALUE"""),"#VALUE!")</f>
        <v>#VALUE!</v>
      </c>
      <c r="H164" s="49" t="str">
        <f>IFERROR(__xludf.DUMMYFUNCTION("""COMPUTED_VALUE"""),"")</f>
        <v/>
      </c>
      <c r="I164" s="49" t="str">
        <f>IFERROR(__xludf.DUMMYFUNCTION("""COMPUTED_VALUE"""),"#VALUE!")</f>
        <v>#VALUE!</v>
      </c>
      <c r="J164" s="49" t="str">
        <f>IFERROR(__xludf.DUMMYFUNCTION("""COMPUTED_VALUE"""),"")</f>
        <v/>
      </c>
      <c r="K164" s="49"/>
      <c r="L164" s="49" t="s">
        <v>255</v>
      </c>
      <c r="M164" s="49"/>
      <c r="N164" s="49"/>
      <c r="O164" s="49"/>
      <c r="P164" s="49"/>
      <c r="Q164" s="49"/>
      <c r="R164" s="49"/>
      <c r="S164" s="49"/>
      <c r="T164" s="49"/>
    </row>
    <row r="165">
      <c r="A165" s="49"/>
      <c r="B165" s="49"/>
      <c r="C165" s="51"/>
      <c r="D165" s="49"/>
      <c r="E165" s="49"/>
      <c r="F165" s="49"/>
      <c r="G165" s="49" t="str">
        <f>IFERROR(__xludf.DUMMYFUNCTION("""COMPUTED_VALUE"""),"#VALUE!")</f>
        <v>#VALUE!</v>
      </c>
      <c r="H165" s="49" t="str">
        <f>IFERROR(__xludf.DUMMYFUNCTION("""COMPUTED_VALUE"""),"")</f>
        <v/>
      </c>
      <c r="I165" s="49" t="str">
        <f>IFERROR(__xludf.DUMMYFUNCTION("""COMPUTED_VALUE"""),"#VALUE!")</f>
        <v>#VALUE!</v>
      </c>
      <c r="J165" s="49" t="str">
        <f>IFERROR(__xludf.DUMMYFUNCTION("""COMPUTED_VALUE"""),"")</f>
        <v/>
      </c>
      <c r="K165" s="49"/>
      <c r="L165" s="49" t="s">
        <v>255</v>
      </c>
      <c r="M165" s="49"/>
      <c r="N165" s="49"/>
      <c r="O165" s="49"/>
      <c r="P165" s="49"/>
      <c r="Q165" s="49"/>
      <c r="R165" s="49"/>
      <c r="S165" s="49"/>
      <c r="T165" s="49"/>
    </row>
    <row r="166">
      <c r="A166" s="49"/>
      <c r="B166" s="49"/>
      <c r="C166" s="51"/>
      <c r="D166" s="49"/>
      <c r="E166" s="49"/>
      <c r="F166" s="49"/>
      <c r="G166" s="49" t="str">
        <f>IFERROR(__xludf.DUMMYFUNCTION("""COMPUTED_VALUE"""),"#VALUE!")</f>
        <v>#VALUE!</v>
      </c>
      <c r="H166" s="49" t="str">
        <f>IFERROR(__xludf.DUMMYFUNCTION("""COMPUTED_VALUE"""),"")</f>
        <v/>
      </c>
      <c r="I166" s="49" t="str">
        <f>IFERROR(__xludf.DUMMYFUNCTION("""COMPUTED_VALUE"""),"#VALUE!")</f>
        <v>#VALUE!</v>
      </c>
      <c r="J166" s="49" t="str">
        <f>IFERROR(__xludf.DUMMYFUNCTION("""COMPUTED_VALUE"""),"")</f>
        <v/>
      </c>
      <c r="K166" s="49"/>
      <c r="L166" s="49" t="s">
        <v>255</v>
      </c>
      <c r="M166" s="49"/>
      <c r="N166" s="49"/>
      <c r="O166" s="49"/>
      <c r="P166" s="49"/>
      <c r="Q166" s="49"/>
      <c r="R166" s="49"/>
      <c r="S166" s="49"/>
      <c r="T166" s="49"/>
    </row>
    <row r="167">
      <c r="A167" s="49"/>
      <c r="B167" s="49"/>
      <c r="C167" s="51"/>
      <c r="D167" s="49"/>
      <c r="E167" s="49"/>
      <c r="F167" s="49"/>
      <c r="G167" s="49" t="str">
        <f>IFERROR(__xludf.DUMMYFUNCTION("""COMPUTED_VALUE"""),"#VALUE!")</f>
        <v>#VALUE!</v>
      </c>
      <c r="H167" s="49" t="str">
        <f>IFERROR(__xludf.DUMMYFUNCTION("""COMPUTED_VALUE"""),"")</f>
        <v/>
      </c>
      <c r="I167" s="49" t="str">
        <f>IFERROR(__xludf.DUMMYFUNCTION("""COMPUTED_VALUE"""),"#VALUE!")</f>
        <v>#VALUE!</v>
      </c>
      <c r="J167" s="49" t="str">
        <f>IFERROR(__xludf.DUMMYFUNCTION("""COMPUTED_VALUE"""),"")</f>
        <v/>
      </c>
      <c r="K167" s="49"/>
      <c r="L167" s="49" t="s">
        <v>255</v>
      </c>
      <c r="M167" s="49"/>
      <c r="N167" s="49"/>
      <c r="O167" s="49"/>
      <c r="P167" s="49"/>
      <c r="Q167" s="49"/>
      <c r="R167" s="49"/>
      <c r="S167" s="49"/>
      <c r="T167" s="49"/>
    </row>
    <row r="168">
      <c r="A168" s="49"/>
      <c r="B168" s="49"/>
      <c r="C168" s="51"/>
      <c r="D168" s="49"/>
      <c r="E168" s="49"/>
      <c r="F168" s="49"/>
      <c r="G168" s="49" t="str">
        <f>IFERROR(__xludf.DUMMYFUNCTION("""COMPUTED_VALUE"""),"#VALUE!")</f>
        <v>#VALUE!</v>
      </c>
      <c r="H168" s="49" t="str">
        <f>IFERROR(__xludf.DUMMYFUNCTION("""COMPUTED_VALUE"""),"")</f>
        <v/>
      </c>
      <c r="I168" s="49" t="str">
        <f>IFERROR(__xludf.DUMMYFUNCTION("""COMPUTED_VALUE"""),"#VALUE!")</f>
        <v>#VALUE!</v>
      </c>
      <c r="J168" s="49" t="str">
        <f>IFERROR(__xludf.DUMMYFUNCTION("""COMPUTED_VALUE"""),"")</f>
        <v/>
      </c>
      <c r="K168" s="49"/>
      <c r="L168" s="49" t="s">
        <v>255</v>
      </c>
      <c r="M168" s="49"/>
      <c r="N168" s="49"/>
      <c r="O168" s="49"/>
      <c r="P168" s="49"/>
      <c r="Q168" s="49"/>
      <c r="R168" s="49"/>
      <c r="S168" s="49"/>
      <c r="T168" s="49"/>
    </row>
    <row r="169">
      <c r="A169" s="49"/>
      <c r="B169" s="49"/>
      <c r="C169" s="51"/>
      <c r="D169" s="49"/>
      <c r="E169" s="49"/>
      <c r="F169" s="49"/>
      <c r="G169" s="49" t="str">
        <f>IFERROR(__xludf.DUMMYFUNCTION("""COMPUTED_VALUE"""),"#VALUE!")</f>
        <v>#VALUE!</v>
      </c>
      <c r="H169" s="49" t="str">
        <f>IFERROR(__xludf.DUMMYFUNCTION("""COMPUTED_VALUE"""),"")</f>
        <v/>
      </c>
      <c r="I169" s="49" t="str">
        <f>IFERROR(__xludf.DUMMYFUNCTION("""COMPUTED_VALUE"""),"#VALUE!")</f>
        <v>#VALUE!</v>
      </c>
      <c r="J169" s="49" t="str">
        <f>IFERROR(__xludf.DUMMYFUNCTION("""COMPUTED_VALUE"""),"")</f>
        <v/>
      </c>
      <c r="K169" s="49"/>
      <c r="L169" s="49" t="s">
        <v>255</v>
      </c>
      <c r="M169" s="49"/>
      <c r="N169" s="49"/>
      <c r="O169" s="49"/>
      <c r="P169" s="49"/>
      <c r="Q169" s="49"/>
      <c r="R169" s="49"/>
      <c r="S169" s="49"/>
      <c r="T169" s="49"/>
    </row>
    <row r="170">
      <c r="A170" s="49"/>
      <c r="B170" s="49"/>
      <c r="C170" s="51"/>
      <c r="D170" s="49"/>
      <c r="E170" s="49"/>
      <c r="F170" s="49"/>
      <c r="G170" s="49" t="str">
        <f>IFERROR(__xludf.DUMMYFUNCTION("""COMPUTED_VALUE"""),"#VALUE!")</f>
        <v>#VALUE!</v>
      </c>
      <c r="H170" s="49" t="str">
        <f>IFERROR(__xludf.DUMMYFUNCTION("""COMPUTED_VALUE"""),"")</f>
        <v/>
      </c>
      <c r="I170" s="49" t="str">
        <f>IFERROR(__xludf.DUMMYFUNCTION("""COMPUTED_VALUE"""),"#VALUE!")</f>
        <v>#VALUE!</v>
      </c>
      <c r="J170" s="49" t="str">
        <f>IFERROR(__xludf.DUMMYFUNCTION("""COMPUTED_VALUE"""),"")</f>
        <v/>
      </c>
      <c r="K170" s="49"/>
      <c r="L170" s="49" t="s">
        <v>255</v>
      </c>
      <c r="M170" s="49"/>
      <c r="N170" s="49"/>
      <c r="O170" s="49"/>
      <c r="P170" s="49"/>
      <c r="Q170" s="49"/>
      <c r="R170" s="49"/>
      <c r="S170" s="49"/>
      <c r="T170" s="49"/>
    </row>
    <row r="171">
      <c r="A171" s="49"/>
      <c r="B171" s="49"/>
      <c r="C171" s="51"/>
      <c r="D171" s="49"/>
      <c r="E171" s="49"/>
      <c r="F171" s="49"/>
      <c r="G171" s="49" t="str">
        <f>IFERROR(__xludf.DUMMYFUNCTION("""COMPUTED_VALUE"""),"#VALUE!")</f>
        <v>#VALUE!</v>
      </c>
      <c r="H171" s="49" t="str">
        <f>IFERROR(__xludf.DUMMYFUNCTION("""COMPUTED_VALUE"""),"")</f>
        <v/>
      </c>
      <c r="I171" s="49" t="str">
        <f>IFERROR(__xludf.DUMMYFUNCTION("""COMPUTED_VALUE"""),"#VALUE!")</f>
        <v>#VALUE!</v>
      </c>
      <c r="J171" s="49" t="str">
        <f>IFERROR(__xludf.DUMMYFUNCTION("""COMPUTED_VALUE"""),"")</f>
        <v/>
      </c>
      <c r="K171" s="49"/>
      <c r="L171" s="49" t="s">
        <v>255</v>
      </c>
      <c r="M171" s="49"/>
      <c r="N171" s="49"/>
      <c r="O171" s="49"/>
      <c r="P171" s="49"/>
      <c r="Q171" s="49"/>
      <c r="R171" s="49"/>
      <c r="S171" s="49"/>
      <c r="T171" s="49"/>
    </row>
    <row r="172">
      <c r="A172" s="49"/>
      <c r="B172" s="49"/>
      <c r="C172" s="51"/>
      <c r="D172" s="49"/>
      <c r="E172" s="49"/>
      <c r="F172" s="49"/>
      <c r="G172" s="49" t="str">
        <f>IFERROR(__xludf.DUMMYFUNCTION("""COMPUTED_VALUE"""),"#VALUE!")</f>
        <v>#VALUE!</v>
      </c>
      <c r="H172" s="49" t="str">
        <f>IFERROR(__xludf.DUMMYFUNCTION("""COMPUTED_VALUE"""),"")</f>
        <v/>
      </c>
      <c r="I172" s="49" t="str">
        <f>IFERROR(__xludf.DUMMYFUNCTION("""COMPUTED_VALUE"""),"#VALUE!")</f>
        <v>#VALUE!</v>
      </c>
      <c r="J172" s="49" t="str">
        <f>IFERROR(__xludf.DUMMYFUNCTION("""COMPUTED_VALUE"""),"")</f>
        <v/>
      </c>
      <c r="K172" s="49"/>
      <c r="L172" s="49" t="s">
        <v>255</v>
      </c>
      <c r="M172" s="49"/>
      <c r="N172" s="49"/>
      <c r="O172" s="49"/>
      <c r="P172" s="49"/>
      <c r="Q172" s="49"/>
      <c r="R172" s="49"/>
      <c r="S172" s="49"/>
      <c r="T172" s="49"/>
    </row>
    <row r="173">
      <c r="A173" s="49"/>
      <c r="B173" s="49"/>
      <c r="C173" s="51"/>
      <c r="D173" s="49"/>
      <c r="E173" s="49"/>
      <c r="F173" s="49"/>
      <c r="G173" s="49" t="str">
        <f>IFERROR(__xludf.DUMMYFUNCTION("""COMPUTED_VALUE"""),"#VALUE!")</f>
        <v>#VALUE!</v>
      </c>
      <c r="H173" s="49" t="str">
        <f>IFERROR(__xludf.DUMMYFUNCTION("""COMPUTED_VALUE"""),"")</f>
        <v/>
      </c>
      <c r="I173" s="49" t="str">
        <f>IFERROR(__xludf.DUMMYFUNCTION("""COMPUTED_VALUE"""),"#VALUE!")</f>
        <v>#VALUE!</v>
      </c>
      <c r="J173" s="49" t="str">
        <f>IFERROR(__xludf.DUMMYFUNCTION("""COMPUTED_VALUE"""),"")</f>
        <v/>
      </c>
      <c r="K173" s="49"/>
      <c r="L173" s="49" t="s">
        <v>255</v>
      </c>
      <c r="M173" s="49"/>
      <c r="N173" s="49"/>
      <c r="O173" s="49"/>
      <c r="P173" s="49"/>
      <c r="Q173" s="49"/>
      <c r="R173" s="49"/>
      <c r="S173" s="49"/>
      <c r="T173" s="49"/>
    </row>
    <row r="174">
      <c r="A174" s="49"/>
      <c r="B174" s="49"/>
      <c r="C174" s="51"/>
      <c r="D174" s="49"/>
      <c r="E174" s="49"/>
      <c r="F174" s="49"/>
      <c r="G174" s="49" t="str">
        <f>IFERROR(__xludf.DUMMYFUNCTION("""COMPUTED_VALUE"""),"#VALUE!")</f>
        <v>#VALUE!</v>
      </c>
      <c r="H174" s="49" t="str">
        <f>IFERROR(__xludf.DUMMYFUNCTION("""COMPUTED_VALUE"""),"")</f>
        <v/>
      </c>
      <c r="I174" s="49" t="str">
        <f>IFERROR(__xludf.DUMMYFUNCTION("""COMPUTED_VALUE"""),"#VALUE!")</f>
        <v>#VALUE!</v>
      </c>
      <c r="J174" s="49" t="str">
        <f>IFERROR(__xludf.DUMMYFUNCTION("""COMPUTED_VALUE"""),"")</f>
        <v/>
      </c>
      <c r="K174" s="49"/>
      <c r="L174" s="49" t="s">
        <v>255</v>
      </c>
      <c r="M174" s="49"/>
      <c r="N174" s="49"/>
      <c r="O174" s="49"/>
      <c r="P174" s="49"/>
      <c r="Q174" s="49"/>
      <c r="R174" s="49"/>
      <c r="S174" s="49"/>
      <c r="T174" s="49"/>
    </row>
    <row r="175">
      <c r="A175" s="49"/>
      <c r="B175" s="49"/>
      <c r="C175" s="51"/>
      <c r="D175" s="49"/>
      <c r="E175" s="49"/>
      <c r="F175" s="49"/>
      <c r="G175" s="49" t="str">
        <f>IFERROR(__xludf.DUMMYFUNCTION("""COMPUTED_VALUE"""),"#VALUE!")</f>
        <v>#VALUE!</v>
      </c>
      <c r="H175" s="49" t="str">
        <f>IFERROR(__xludf.DUMMYFUNCTION("""COMPUTED_VALUE"""),"")</f>
        <v/>
      </c>
      <c r="I175" s="49" t="str">
        <f>IFERROR(__xludf.DUMMYFUNCTION("""COMPUTED_VALUE"""),"#VALUE!")</f>
        <v>#VALUE!</v>
      </c>
      <c r="J175" s="49" t="str">
        <f>IFERROR(__xludf.DUMMYFUNCTION("""COMPUTED_VALUE"""),"")</f>
        <v/>
      </c>
      <c r="K175" s="49"/>
      <c r="L175" s="49" t="s">
        <v>255</v>
      </c>
      <c r="M175" s="49"/>
      <c r="N175" s="49"/>
      <c r="O175" s="49"/>
      <c r="P175" s="49"/>
      <c r="Q175" s="49"/>
      <c r="R175" s="49"/>
      <c r="S175" s="49"/>
      <c r="T175" s="49"/>
    </row>
    <row r="176">
      <c r="A176" s="49"/>
      <c r="B176" s="49"/>
      <c r="C176" s="51"/>
      <c r="D176" s="49"/>
      <c r="E176" s="49"/>
      <c r="F176" s="49"/>
      <c r="G176" s="49" t="str">
        <f>IFERROR(__xludf.DUMMYFUNCTION("""COMPUTED_VALUE"""),"#VALUE!")</f>
        <v>#VALUE!</v>
      </c>
      <c r="H176" s="49" t="str">
        <f>IFERROR(__xludf.DUMMYFUNCTION("""COMPUTED_VALUE"""),"")</f>
        <v/>
      </c>
      <c r="I176" s="49" t="str">
        <f>IFERROR(__xludf.DUMMYFUNCTION("""COMPUTED_VALUE"""),"#VALUE!")</f>
        <v>#VALUE!</v>
      </c>
      <c r="J176" s="49" t="str">
        <f>IFERROR(__xludf.DUMMYFUNCTION("""COMPUTED_VALUE"""),"")</f>
        <v/>
      </c>
      <c r="K176" s="49"/>
      <c r="L176" s="49" t="s">
        <v>255</v>
      </c>
      <c r="M176" s="49"/>
      <c r="N176" s="49"/>
      <c r="O176" s="49"/>
      <c r="P176" s="49"/>
      <c r="Q176" s="49"/>
      <c r="R176" s="49"/>
      <c r="S176" s="49"/>
      <c r="T176" s="49"/>
    </row>
    <row r="177">
      <c r="A177" s="49"/>
      <c r="B177" s="49"/>
      <c r="C177" s="51"/>
      <c r="D177" s="49"/>
      <c r="E177" s="49"/>
      <c r="F177" s="49"/>
      <c r="G177" s="49" t="str">
        <f>IFERROR(__xludf.DUMMYFUNCTION("""COMPUTED_VALUE"""),"#VALUE!")</f>
        <v>#VALUE!</v>
      </c>
      <c r="H177" s="49" t="str">
        <f>IFERROR(__xludf.DUMMYFUNCTION("""COMPUTED_VALUE"""),"")</f>
        <v/>
      </c>
      <c r="I177" s="49" t="str">
        <f>IFERROR(__xludf.DUMMYFUNCTION("""COMPUTED_VALUE"""),"#VALUE!")</f>
        <v>#VALUE!</v>
      </c>
      <c r="J177" s="49" t="str">
        <f>IFERROR(__xludf.DUMMYFUNCTION("""COMPUTED_VALUE"""),"")</f>
        <v/>
      </c>
      <c r="K177" s="49"/>
      <c r="L177" s="49" t="s">
        <v>255</v>
      </c>
      <c r="M177" s="49"/>
      <c r="N177" s="49"/>
      <c r="O177" s="49"/>
      <c r="P177" s="49"/>
      <c r="Q177" s="49"/>
      <c r="R177" s="49"/>
      <c r="S177" s="49"/>
      <c r="T177" s="49"/>
    </row>
    <row r="178">
      <c r="A178" s="49"/>
      <c r="B178" s="49"/>
      <c r="C178" s="51"/>
      <c r="D178" s="49"/>
      <c r="E178" s="49"/>
      <c r="F178" s="49"/>
      <c r="G178" s="49" t="str">
        <f>IFERROR(__xludf.DUMMYFUNCTION("""COMPUTED_VALUE"""),"#VALUE!")</f>
        <v>#VALUE!</v>
      </c>
      <c r="H178" s="49" t="str">
        <f>IFERROR(__xludf.DUMMYFUNCTION("""COMPUTED_VALUE"""),"")</f>
        <v/>
      </c>
      <c r="I178" s="49" t="str">
        <f>IFERROR(__xludf.DUMMYFUNCTION("""COMPUTED_VALUE"""),"#VALUE!")</f>
        <v>#VALUE!</v>
      </c>
      <c r="J178" s="49" t="str">
        <f>IFERROR(__xludf.DUMMYFUNCTION("""COMPUTED_VALUE"""),"")</f>
        <v/>
      </c>
      <c r="K178" s="49"/>
      <c r="L178" s="49" t="s">
        <v>255</v>
      </c>
      <c r="M178" s="49"/>
      <c r="N178" s="49"/>
      <c r="O178" s="49"/>
      <c r="P178" s="49"/>
      <c r="Q178" s="49"/>
      <c r="R178" s="49"/>
      <c r="S178" s="49"/>
      <c r="T178" s="49"/>
    </row>
    <row r="179">
      <c r="A179" s="49"/>
      <c r="B179" s="49"/>
      <c r="C179" s="51"/>
      <c r="D179" s="49"/>
      <c r="E179" s="49"/>
      <c r="F179" s="49"/>
      <c r="G179" s="49" t="str">
        <f>IFERROR(__xludf.DUMMYFUNCTION("""COMPUTED_VALUE"""),"#VALUE!")</f>
        <v>#VALUE!</v>
      </c>
      <c r="H179" s="49" t="str">
        <f>IFERROR(__xludf.DUMMYFUNCTION("""COMPUTED_VALUE"""),"")</f>
        <v/>
      </c>
      <c r="I179" s="49" t="str">
        <f>IFERROR(__xludf.DUMMYFUNCTION("""COMPUTED_VALUE"""),"#VALUE!")</f>
        <v>#VALUE!</v>
      </c>
      <c r="J179" s="49" t="str">
        <f>IFERROR(__xludf.DUMMYFUNCTION("""COMPUTED_VALUE"""),"")</f>
        <v/>
      </c>
      <c r="K179" s="49"/>
      <c r="L179" s="49" t="s">
        <v>255</v>
      </c>
      <c r="M179" s="49"/>
      <c r="N179" s="49"/>
      <c r="O179" s="49"/>
      <c r="P179" s="49"/>
      <c r="Q179" s="49"/>
      <c r="R179" s="49"/>
      <c r="S179" s="49"/>
      <c r="T179" s="49"/>
    </row>
    <row r="180">
      <c r="A180" s="49"/>
      <c r="B180" s="49"/>
      <c r="C180" s="51"/>
      <c r="D180" s="49"/>
      <c r="E180" s="49"/>
      <c r="F180" s="49"/>
      <c r="G180" s="49" t="str">
        <f>IFERROR(__xludf.DUMMYFUNCTION("""COMPUTED_VALUE"""),"#VALUE!")</f>
        <v>#VALUE!</v>
      </c>
      <c r="H180" s="49" t="str">
        <f>IFERROR(__xludf.DUMMYFUNCTION("""COMPUTED_VALUE"""),"")</f>
        <v/>
      </c>
      <c r="I180" s="49" t="str">
        <f>IFERROR(__xludf.DUMMYFUNCTION("""COMPUTED_VALUE"""),"#VALUE!")</f>
        <v>#VALUE!</v>
      </c>
      <c r="J180" s="49" t="str">
        <f>IFERROR(__xludf.DUMMYFUNCTION("""COMPUTED_VALUE"""),"")</f>
        <v/>
      </c>
      <c r="K180" s="49"/>
      <c r="L180" s="49" t="s">
        <v>255</v>
      </c>
      <c r="M180" s="49"/>
      <c r="N180" s="49"/>
      <c r="O180" s="49"/>
      <c r="P180" s="49"/>
      <c r="Q180" s="49"/>
      <c r="R180" s="49"/>
      <c r="S180" s="49"/>
      <c r="T180" s="49"/>
    </row>
    <row r="181">
      <c r="A181" s="49"/>
      <c r="B181" s="49"/>
      <c r="C181" s="51"/>
      <c r="D181" s="49"/>
      <c r="E181" s="49"/>
      <c r="F181" s="49"/>
      <c r="G181" s="49" t="str">
        <f>IFERROR(__xludf.DUMMYFUNCTION("""COMPUTED_VALUE"""),"#VALUE!")</f>
        <v>#VALUE!</v>
      </c>
      <c r="H181" s="49" t="str">
        <f>IFERROR(__xludf.DUMMYFUNCTION("""COMPUTED_VALUE"""),"")</f>
        <v/>
      </c>
      <c r="I181" s="49" t="str">
        <f>IFERROR(__xludf.DUMMYFUNCTION("""COMPUTED_VALUE"""),"#VALUE!")</f>
        <v>#VALUE!</v>
      </c>
      <c r="J181" s="49" t="str">
        <f>IFERROR(__xludf.DUMMYFUNCTION("""COMPUTED_VALUE"""),"")</f>
        <v/>
      </c>
      <c r="K181" s="49"/>
      <c r="L181" s="49" t="s">
        <v>255</v>
      </c>
      <c r="M181" s="49"/>
      <c r="N181" s="49"/>
      <c r="O181" s="49"/>
      <c r="P181" s="49"/>
      <c r="Q181" s="49"/>
      <c r="R181" s="49"/>
      <c r="S181" s="49"/>
      <c r="T181" s="49"/>
    </row>
    <row r="182">
      <c r="A182" s="49"/>
      <c r="B182" s="49"/>
      <c r="C182" s="51"/>
      <c r="D182" s="49"/>
      <c r="E182" s="49"/>
      <c r="F182" s="49"/>
      <c r="G182" s="49" t="str">
        <f>IFERROR(__xludf.DUMMYFUNCTION("""COMPUTED_VALUE"""),"#VALUE!")</f>
        <v>#VALUE!</v>
      </c>
      <c r="H182" s="49" t="str">
        <f>IFERROR(__xludf.DUMMYFUNCTION("""COMPUTED_VALUE"""),"")</f>
        <v/>
      </c>
      <c r="I182" s="49" t="str">
        <f>IFERROR(__xludf.DUMMYFUNCTION("""COMPUTED_VALUE"""),"#VALUE!")</f>
        <v>#VALUE!</v>
      </c>
      <c r="J182" s="49" t="str">
        <f>IFERROR(__xludf.DUMMYFUNCTION("""COMPUTED_VALUE"""),"")</f>
        <v/>
      </c>
      <c r="K182" s="49"/>
      <c r="L182" s="49" t="s">
        <v>255</v>
      </c>
      <c r="M182" s="49"/>
      <c r="N182" s="49"/>
      <c r="O182" s="49"/>
      <c r="P182" s="49"/>
      <c r="Q182" s="49"/>
      <c r="R182" s="49"/>
      <c r="S182" s="49"/>
      <c r="T182" s="49"/>
    </row>
    <row r="183">
      <c r="A183" s="49"/>
      <c r="B183" s="49"/>
      <c r="C183" s="51"/>
      <c r="D183" s="49"/>
      <c r="E183" s="49"/>
      <c r="F183" s="49"/>
      <c r="G183" s="49" t="str">
        <f>IFERROR(__xludf.DUMMYFUNCTION("""COMPUTED_VALUE"""),"#VALUE!")</f>
        <v>#VALUE!</v>
      </c>
      <c r="H183" s="49" t="str">
        <f>IFERROR(__xludf.DUMMYFUNCTION("""COMPUTED_VALUE"""),"")</f>
        <v/>
      </c>
      <c r="I183" s="49" t="str">
        <f>IFERROR(__xludf.DUMMYFUNCTION("""COMPUTED_VALUE"""),"#VALUE!")</f>
        <v>#VALUE!</v>
      </c>
      <c r="J183" s="49" t="str">
        <f>IFERROR(__xludf.DUMMYFUNCTION("""COMPUTED_VALUE"""),"")</f>
        <v/>
      </c>
      <c r="K183" s="49"/>
      <c r="L183" s="49" t="s">
        <v>255</v>
      </c>
      <c r="M183" s="49"/>
      <c r="N183" s="49"/>
      <c r="O183" s="49"/>
      <c r="P183" s="49"/>
      <c r="Q183" s="49"/>
      <c r="R183" s="49"/>
      <c r="S183" s="49"/>
      <c r="T183" s="49"/>
    </row>
    <row r="184">
      <c r="A184" s="49"/>
      <c r="B184" s="49"/>
      <c r="C184" s="51"/>
      <c r="D184" s="49"/>
      <c r="E184" s="49"/>
      <c r="F184" s="49"/>
      <c r="G184" s="49" t="str">
        <f>IFERROR(__xludf.DUMMYFUNCTION("""COMPUTED_VALUE"""),"#VALUE!")</f>
        <v>#VALUE!</v>
      </c>
      <c r="H184" s="49" t="str">
        <f>IFERROR(__xludf.DUMMYFUNCTION("""COMPUTED_VALUE"""),"")</f>
        <v/>
      </c>
      <c r="I184" s="49" t="str">
        <f>IFERROR(__xludf.DUMMYFUNCTION("""COMPUTED_VALUE"""),"#VALUE!")</f>
        <v>#VALUE!</v>
      </c>
      <c r="J184" s="49" t="str">
        <f>IFERROR(__xludf.DUMMYFUNCTION("""COMPUTED_VALUE"""),"")</f>
        <v/>
      </c>
      <c r="K184" s="49"/>
      <c r="L184" s="49" t="s">
        <v>255</v>
      </c>
      <c r="M184" s="49"/>
      <c r="N184" s="49"/>
      <c r="O184" s="49"/>
      <c r="P184" s="49"/>
      <c r="Q184" s="49"/>
      <c r="R184" s="49"/>
      <c r="S184" s="49"/>
      <c r="T184" s="49"/>
    </row>
    <row r="185">
      <c r="A185" s="49"/>
      <c r="B185" s="49"/>
      <c r="C185" s="51"/>
      <c r="D185" s="49"/>
      <c r="E185" s="49"/>
      <c r="F185" s="49"/>
      <c r="G185" s="49" t="str">
        <f>IFERROR(__xludf.DUMMYFUNCTION("""COMPUTED_VALUE"""),"#VALUE!")</f>
        <v>#VALUE!</v>
      </c>
      <c r="H185" s="49" t="str">
        <f>IFERROR(__xludf.DUMMYFUNCTION("""COMPUTED_VALUE"""),"")</f>
        <v/>
      </c>
      <c r="I185" s="49" t="str">
        <f>IFERROR(__xludf.DUMMYFUNCTION("""COMPUTED_VALUE"""),"#VALUE!")</f>
        <v>#VALUE!</v>
      </c>
      <c r="J185" s="49" t="str">
        <f>IFERROR(__xludf.DUMMYFUNCTION("""COMPUTED_VALUE"""),"")</f>
        <v/>
      </c>
      <c r="K185" s="49"/>
      <c r="L185" s="49" t="s">
        <v>255</v>
      </c>
      <c r="M185" s="49"/>
      <c r="N185" s="49"/>
      <c r="O185" s="49"/>
      <c r="P185" s="49"/>
      <c r="Q185" s="49"/>
      <c r="R185" s="49"/>
      <c r="S185" s="49"/>
      <c r="T185" s="49"/>
    </row>
    <row r="186">
      <c r="A186" s="49"/>
      <c r="B186" s="49"/>
      <c r="C186" s="51"/>
      <c r="D186" s="49"/>
      <c r="E186" s="49"/>
      <c r="F186" s="49"/>
      <c r="G186" s="49" t="str">
        <f>IFERROR(__xludf.DUMMYFUNCTION("""COMPUTED_VALUE"""),"#VALUE!")</f>
        <v>#VALUE!</v>
      </c>
      <c r="H186" s="49" t="str">
        <f>IFERROR(__xludf.DUMMYFUNCTION("""COMPUTED_VALUE"""),"")</f>
        <v/>
      </c>
      <c r="I186" s="49" t="str">
        <f>IFERROR(__xludf.DUMMYFUNCTION("""COMPUTED_VALUE"""),"#VALUE!")</f>
        <v>#VALUE!</v>
      </c>
      <c r="J186" s="49" t="str">
        <f>IFERROR(__xludf.DUMMYFUNCTION("""COMPUTED_VALUE"""),"")</f>
        <v/>
      </c>
      <c r="K186" s="49"/>
      <c r="L186" s="49" t="s">
        <v>255</v>
      </c>
      <c r="M186" s="49"/>
      <c r="N186" s="49"/>
      <c r="O186" s="49"/>
      <c r="P186" s="49"/>
      <c r="Q186" s="49"/>
      <c r="R186" s="49"/>
      <c r="S186" s="49"/>
      <c r="T186" s="49"/>
    </row>
    <row r="187">
      <c r="A187" s="49"/>
      <c r="B187" s="49"/>
      <c r="C187" s="51"/>
      <c r="D187" s="49"/>
      <c r="E187" s="49"/>
      <c r="F187" s="49"/>
      <c r="G187" s="49" t="str">
        <f>IFERROR(__xludf.DUMMYFUNCTION("""COMPUTED_VALUE"""),"#VALUE!")</f>
        <v>#VALUE!</v>
      </c>
      <c r="H187" s="49" t="str">
        <f>IFERROR(__xludf.DUMMYFUNCTION("""COMPUTED_VALUE"""),"")</f>
        <v/>
      </c>
      <c r="I187" s="49" t="str">
        <f>IFERROR(__xludf.DUMMYFUNCTION("""COMPUTED_VALUE"""),"#VALUE!")</f>
        <v>#VALUE!</v>
      </c>
      <c r="J187" s="49" t="str">
        <f>IFERROR(__xludf.DUMMYFUNCTION("""COMPUTED_VALUE"""),"")</f>
        <v/>
      </c>
      <c r="K187" s="49"/>
      <c r="L187" s="49" t="s">
        <v>255</v>
      </c>
      <c r="M187" s="49"/>
      <c r="N187" s="49"/>
      <c r="O187" s="49"/>
      <c r="P187" s="49"/>
      <c r="Q187" s="49"/>
      <c r="R187" s="49"/>
      <c r="S187" s="49"/>
      <c r="T187" s="49"/>
    </row>
    <row r="188">
      <c r="A188" s="49"/>
      <c r="B188" s="49"/>
      <c r="C188" s="51"/>
      <c r="D188" s="49"/>
      <c r="E188" s="49"/>
      <c r="F188" s="49"/>
      <c r="G188" s="49" t="str">
        <f>IFERROR(__xludf.DUMMYFUNCTION("""COMPUTED_VALUE"""),"#VALUE!")</f>
        <v>#VALUE!</v>
      </c>
      <c r="H188" s="49" t="str">
        <f>IFERROR(__xludf.DUMMYFUNCTION("""COMPUTED_VALUE"""),"")</f>
        <v/>
      </c>
      <c r="I188" s="49" t="str">
        <f>IFERROR(__xludf.DUMMYFUNCTION("""COMPUTED_VALUE"""),"#VALUE!")</f>
        <v>#VALUE!</v>
      </c>
      <c r="J188" s="49" t="str">
        <f>IFERROR(__xludf.DUMMYFUNCTION("""COMPUTED_VALUE"""),"")</f>
        <v/>
      </c>
      <c r="K188" s="49"/>
      <c r="L188" s="49" t="s">
        <v>255</v>
      </c>
      <c r="M188" s="49"/>
      <c r="N188" s="49"/>
      <c r="O188" s="49"/>
      <c r="P188" s="49"/>
      <c r="Q188" s="49"/>
      <c r="R188" s="49"/>
      <c r="S188" s="49"/>
      <c r="T188" s="49"/>
    </row>
    <row r="189">
      <c r="A189" s="49"/>
      <c r="B189" s="49"/>
      <c r="C189" s="51"/>
      <c r="D189" s="49"/>
      <c r="E189" s="49"/>
      <c r="F189" s="49"/>
      <c r="G189" s="49" t="str">
        <f>IFERROR(__xludf.DUMMYFUNCTION("""COMPUTED_VALUE"""),"#VALUE!")</f>
        <v>#VALUE!</v>
      </c>
      <c r="H189" s="49" t="str">
        <f>IFERROR(__xludf.DUMMYFUNCTION("""COMPUTED_VALUE"""),"")</f>
        <v/>
      </c>
      <c r="I189" s="49" t="str">
        <f>IFERROR(__xludf.DUMMYFUNCTION("""COMPUTED_VALUE"""),"#VALUE!")</f>
        <v>#VALUE!</v>
      </c>
      <c r="J189" s="49" t="str">
        <f>IFERROR(__xludf.DUMMYFUNCTION("""COMPUTED_VALUE"""),"")</f>
        <v/>
      </c>
      <c r="K189" s="49"/>
      <c r="L189" s="49" t="s">
        <v>255</v>
      </c>
      <c r="M189" s="49"/>
      <c r="N189" s="49"/>
      <c r="O189" s="49"/>
      <c r="P189" s="49"/>
      <c r="Q189" s="49"/>
      <c r="R189" s="49"/>
      <c r="S189" s="49"/>
      <c r="T189" s="49"/>
    </row>
    <row r="190">
      <c r="A190" s="49"/>
      <c r="B190" s="49"/>
      <c r="C190" s="51"/>
      <c r="D190" s="49"/>
      <c r="E190" s="49"/>
      <c r="F190" s="49"/>
      <c r="G190" s="49" t="str">
        <f>IFERROR(__xludf.DUMMYFUNCTION("""COMPUTED_VALUE"""),"#VALUE!")</f>
        <v>#VALUE!</v>
      </c>
      <c r="H190" s="49" t="str">
        <f>IFERROR(__xludf.DUMMYFUNCTION("""COMPUTED_VALUE"""),"")</f>
        <v/>
      </c>
      <c r="I190" s="49" t="str">
        <f>IFERROR(__xludf.DUMMYFUNCTION("""COMPUTED_VALUE"""),"#VALUE!")</f>
        <v>#VALUE!</v>
      </c>
      <c r="J190" s="49" t="str">
        <f>IFERROR(__xludf.DUMMYFUNCTION("""COMPUTED_VALUE"""),"")</f>
        <v/>
      </c>
      <c r="K190" s="49"/>
      <c r="L190" s="49" t="s">
        <v>255</v>
      </c>
      <c r="M190" s="49"/>
      <c r="N190" s="49"/>
      <c r="O190" s="49"/>
      <c r="P190" s="49"/>
      <c r="Q190" s="49"/>
      <c r="R190" s="49"/>
      <c r="S190" s="49"/>
      <c r="T190" s="49"/>
    </row>
    <row r="191">
      <c r="A191" s="49"/>
      <c r="B191" s="49"/>
      <c r="C191" s="51"/>
      <c r="D191" s="49"/>
      <c r="E191" s="49"/>
      <c r="F191" s="49"/>
      <c r="G191" s="49" t="str">
        <f>IFERROR(__xludf.DUMMYFUNCTION("""COMPUTED_VALUE"""),"#VALUE!")</f>
        <v>#VALUE!</v>
      </c>
      <c r="H191" s="49" t="str">
        <f>IFERROR(__xludf.DUMMYFUNCTION("""COMPUTED_VALUE"""),"")</f>
        <v/>
      </c>
      <c r="I191" s="49" t="str">
        <f>IFERROR(__xludf.DUMMYFUNCTION("""COMPUTED_VALUE"""),"#VALUE!")</f>
        <v>#VALUE!</v>
      </c>
      <c r="J191" s="49" t="str">
        <f>IFERROR(__xludf.DUMMYFUNCTION("""COMPUTED_VALUE"""),"")</f>
        <v/>
      </c>
      <c r="K191" s="49"/>
      <c r="L191" s="49" t="s">
        <v>255</v>
      </c>
      <c r="M191" s="49"/>
      <c r="N191" s="49"/>
      <c r="O191" s="49"/>
      <c r="P191" s="49"/>
      <c r="Q191" s="49"/>
      <c r="R191" s="49"/>
      <c r="S191" s="49"/>
      <c r="T191" s="49"/>
    </row>
    <row r="192">
      <c r="A192" s="49"/>
      <c r="B192" s="49"/>
      <c r="C192" s="51"/>
      <c r="D192" s="49"/>
      <c r="E192" s="49"/>
      <c r="F192" s="49"/>
      <c r="G192" s="49" t="str">
        <f>IFERROR(__xludf.DUMMYFUNCTION("""COMPUTED_VALUE"""),"#VALUE!")</f>
        <v>#VALUE!</v>
      </c>
      <c r="H192" s="49" t="str">
        <f>IFERROR(__xludf.DUMMYFUNCTION("""COMPUTED_VALUE"""),"")</f>
        <v/>
      </c>
      <c r="I192" s="49" t="str">
        <f>IFERROR(__xludf.DUMMYFUNCTION("""COMPUTED_VALUE"""),"#VALUE!")</f>
        <v>#VALUE!</v>
      </c>
      <c r="J192" s="49" t="str">
        <f>IFERROR(__xludf.DUMMYFUNCTION("""COMPUTED_VALUE"""),"")</f>
        <v/>
      </c>
      <c r="K192" s="49"/>
      <c r="L192" s="49" t="s">
        <v>255</v>
      </c>
      <c r="M192" s="49"/>
      <c r="N192" s="49"/>
      <c r="O192" s="49"/>
      <c r="P192" s="49"/>
      <c r="Q192" s="49"/>
      <c r="R192" s="49"/>
      <c r="S192" s="49"/>
      <c r="T192" s="49"/>
    </row>
    <row r="193">
      <c r="A193" s="49"/>
      <c r="B193" s="49"/>
      <c r="C193" s="51"/>
      <c r="D193" s="49"/>
      <c r="E193" s="49"/>
      <c r="F193" s="49"/>
      <c r="G193" s="49" t="str">
        <f>IFERROR(__xludf.DUMMYFUNCTION("""COMPUTED_VALUE"""),"#VALUE!")</f>
        <v>#VALUE!</v>
      </c>
      <c r="H193" s="49" t="str">
        <f>IFERROR(__xludf.DUMMYFUNCTION("""COMPUTED_VALUE"""),"")</f>
        <v/>
      </c>
      <c r="I193" s="49" t="str">
        <f>IFERROR(__xludf.DUMMYFUNCTION("""COMPUTED_VALUE"""),"#VALUE!")</f>
        <v>#VALUE!</v>
      </c>
      <c r="J193" s="49" t="str">
        <f>IFERROR(__xludf.DUMMYFUNCTION("""COMPUTED_VALUE"""),"")</f>
        <v/>
      </c>
      <c r="K193" s="49"/>
      <c r="L193" s="49" t="s">
        <v>255</v>
      </c>
      <c r="M193" s="49"/>
      <c r="N193" s="49"/>
      <c r="O193" s="49"/>
      <c r="P193" s="49"/>
      <c r="Q193" s="49"/>
      <c r="R193" s="49"/>
      <c r="S193" s="49"/>
      <c r="T193" s="49"/>
    </row>
    <row r="194">
      <c r="A194" s="49"/>
      <c r="B194" s="49"/>
      <c r="C194" s="51"/>
      <c r="D194" s="49"/>
      <c r="E194" s="49"/>
      <c r="F194" s="49"/>
      <c r="G194" s="49" t="str">
        <f>IFERROR(__xludf.DUMMYFUNCTION("""COMPUTED_VALUE"""),"#VALUE!")</f>
        <v>#VALUE!</v>
      </c>
      <c r="H194" s="49" t="str">
        <f>IFERROR(__xludf.DUMMYFUNCTION("""COMPUTED_VALUE"""),"")</f>
        <v/>
      </c>
      <c r="I194" s="49" t="str">
        <f>IFERROR(__xludf.DUMMYFUNCTION("""COMPUTED_VALUE"""),"#VALUE!")</f>
        <v>#VALUE!</v>
      </c>
      <c r="J194" s="49" t="str">
        <f>IFERROR(__xludf.DUMMYFUNCTION("""COMPUTED_VALUE"""),"")</f>
        <v/>
      </c>
      <c r="K194" s="49"/>
      <c r="L194" s="49" t="s">
        <v>255</v>
      </c>
      <c r="M194" s="49"/>
      <c r="N194" s="49"/>
      <c r="O194" s="49"/>
      <c r="P194" s="49"/>
      <c r="Q194" s="49"/>
      <c r="R194" s="49"/>
      <c r="S194" s="49"/>
      <c r="T194" s="49"/>
    </row>
    <row r="195">
      <c r="A195" s="49"/>
      <c r="B195" s="49"/>
      <c r="C195" s="51"/>
      <c r="D195" s="49"/>
      <c r="E195" s="49"/>
      <c r="F195" s="49"/>
      <c r="G195" s="49" t="str">
        <f>IFERROR(__xludf.DUMMYFUNCTION("""COMPUTED_VALUE"""),"#VALUE!")</f>
        <v>#VALUE!</v>
      </c>
      <c r="H195" s="49" t="str">
        <f>IFERROR(__xludf.DUMMYFUNCTION("""COMPUTED_VALUE"""),"")</f>
        <v/>
      </c>
      <c r="I195" s="49" t="str">
        <f>IFERROR(__xludf.DUMMYFUNCTION("""COMPUTED_VALUE"""),"#VALUE!")</f>
        <v>#VALUE!</v>
      </c>
      <c r="J195" s="49" t="str">
        <f>IFERROR(__xludf.DUMMYFUNCTION("""COMPUTED_VALUE"""),"")</f>
        <v/>
      </c>
      <c r="K195" s="49"/>
      <c r="L195" s="49" t="s">
        <v>255</v>
      </c>
      <c r="M195" s="49"/>
      <c r="N195" s="49"/>
      <c r="O195" s="49"/>
      <c r="P195" s="49"/>
      <c r="Q195" s="49"/>
      <c r="R195" s="49"/>
      <c r="S195" s="49"/>
      <c r="T195" s="49"/>
    </row>
    <row r="196">
      <c r="A196" s="49"/>
      <c r="B196" s="49"/>
      <c r="C196" s="51"/>
      <c r="D196" s="49"/>
      <c r="E196" s="49"/>
      <c r="F196" s="49"/>
      <c r="G196" s="49" t="str">
        <f>IFERROR(__xludf.DUMMYFUNCTION("""COMPUTED_VALUE"""),"#VALUE!")</f>
        <v>#VALUE!</v>
      </c>
      <c r="H196" s="49" t="str">
        <f>IFERROR(__xludf.DUMMYFUNCTION("""COMPUTED_VALUE"""),"")</f>
        <v/>
      </c>
      <c r="I196" s="49" t="str">
        <f>IFERROR(__xludf.DUMMYFUNCTION("""COMPUTED_VALUE"""),"#VALUE!")</f>
        <v>#VALUE!</v>
      </c>
      <c r="J196" s="49" t="str">
        <f>IFERROR(__xludf.DUMMYFUNCTION("""COMPUTED_VALUE"""),"")</f>
        <v/>
      </c>
      <c r="K196" s="49"/>
      <c r="L196" s="49" t="s">
        <v>255</v>
      </c>
      <c r="M196" s="49"/>
      <c r="N196" s="49"/>
      <c r="O196" s="49"/>
      <c r="P196" s="49"/>
      <c r="Q196" s="49"/>
      <c r="R196" s="49"/>
      <c r="S196" s="49"/>
      <c r="T196" s="49"/>
    </row>
    <row r="197">
      <c r="A197" s="49"/>
      <c r="B197" s="49"/>
      <c r="C197" s="51"/>
      <c r="D197" s="49"/>
      <c r="E197" s="49"/>
      <c r="F197" s="49"/>
      <c r="G197" s="49" t="str">
        <f>IFERROR(__xludf.DUMMYFUNCTION("""COMPUTED_VALUE"""),"#VALUE!")</f>
        <v>#VALUE!</v>
      </c>
      <c r="H197" s="49" t="str">
        <f>IFERROR(__xludf.DUMMYFUNCTION("""COMPUTED_VALUE"""),"")</f>
        <v/>
      </c>
      <c r="I197" s="49" t="str">
        <f>IFERROR(__xludf.DUMMYFUNCTION("""COMPUTED_VALUE"""),"#VALUE!")</f>
        <v>#VALUE!</v>
      </c>
      <c r="J197" s="49" t="str">
        <f>IFERROR(__xludf.DUMMYFUNCTION("""COMPUTED_VALUE"""),"")</f>
        <v/>
      </c>
      <c r="K197" s="49"/>
      <c r="L197" s="49" t="s">
        <v>255</v>
      </c>
      <c r="M197" s="49"/>
      <c r="N197" s="49"/>
      <c r="O197" s="49"/>
      <c r="P197" s="49"/>
      <c r="Q197" s="49"/>
      <c r="R197" s="49"/>
      <c r="S197" s="49"/>
      <c r="T197" s="49"/>
    </row>
    <row r="198">
      <c r="A198" s="49"/>
      <c r="B198" s="49"/>
      <c r="C198" s="51"/>
      <c r="D198" s="49"/>
      <c r="E198" s="49"/>
      <c r="F198" s="49"/>
      <c r="G198" s="49" t="str">
        <f>IFERROR(__xludf.DUMMYFUNCTION("""COMPUTED_VALUE"""),"#VALUE!")</f>
        <v>#VALUE!</v>
      </c>
      <c r="H198" s="49" t="str">
        <f>IFERROR(__xludf.DUMMYFUNCTION("""COMPUTED_VALUE"""),"")</f>
        <v/>
      </c>
      <c r="I198" s="49" t="str">
        <f>IFERROR(__xludf.DUMMYFUNCTION("""COMPUTED_VALUE"""),"#VALUE!")</f>
        <v>#VALUE!</v>
      </c>
      <c r="J198" s="49" t="str">
        <f>IFERROR(__xludf.DUMMYFUNCTION("""COMPUTED_VALUE"""),"")</f>
        <v/>
      </c>
      <c r="K198" s="49"/>
      <c r="L198" s="49" t="s">
        <v>255</v>
      </c>
      <c r="M198" s="49"/>
      <c r="N198" s="49"/>
      <c r="O198" s="49"/>
      <c r="P198" s="49"/>
      <c r="Q198" s="49"/>
      <c r="R198" s="49"/>
      <c r="S198" s="49"/>
      <c r="T198" s="49"/>
    </row>
    <row r="199">
      <c r="A199" s="49"/>
      <c r="B199" s="49"/>
      <c r="C199" s="51"/>
      <c r="D199" s="49"/>
      <c r="E199" s="49"/>
      <c r="F199" s="49"/>
      <c r="G199" s="49" t="str">
        <f>IFERROR(__xludf.DUMMYFUNCTION("""COMPUTED_VALUE"""),"#VALUE!")</f>
        <v>#VALUE!</v>
      </c>
      <c r="H199" s="49" t="str">
        <f>IFERROR(__xludf.DUMMYFUNCTION("""COMPUTED_VALUE"""),"")</f>
        <v/>
      </c>
      <c r="I199" s="49" t="str">
        <f>IFERROR(__xludf.DUMMYFUNCTION("""COMPUTED_VALUE"""),"#VALUE!")</f>
        <v>#VALUE!</v>
      </c>
      <c r="J199" s="49" t="str">
        <f>IFERROR(__xludf.DUMMYFUNCTION("""COMPUTED_VALUE"""),"")</f>
        <v/>
      </c>
      <c r="K199" s="49"/>
      <c r="L199" s="49" t="s">
        <v>255</v>
      </c>
      <c r="M199" s="49"/>
      <c r="N199" s="49"/>
      <c r="O199" s="49"/>
      <c r="P199" s="49"/>
      <c r="Q199" s="49"/>
      <c r="R199" s="49"/>
      <c r="S199" s="49"/>
      <c r="T199" s="49"/>
    </row>
    <row r="200">
      <c r="A200" s="49"/>
      <c r="B200" s="49"/>
      <c r="C200" s="51"/>
      <c r="D200" s="49"/>
      <c r="E200" s="49"/>
      <c r="F200" s="49"/>
      <c r="G200" s="49" t="str">
        <f>IFERROR(__xludf.DUMMYFUNCTION("""COMPUTED_VALUE"""),"#VALUE!")</f>
        <v>#VALUE!</v>
      </c>
      <c r="H200" s="49" t="str">
        <f>IFERROR(__xludf.DUMMYFUNCTION("""COMPUTED_VALUE"""),"")</f>
        <v/>
      </c>
      <c r="I200" s="49" t="str">
        <f>IFERROR(__xludf.DUMMYFUNCTION("""COMPUTED_VALUE"""),"#VALUE!")</f>
        <v>#VALUE!</v>
      </c>
      <c r="J200" s="49" t="str">
        <f>IFERROR(__xludf.DUMMYFUNCTION("""COMPUTED_VALUE"""),"")</f>
        <v/>
      </c>
      <c r="K200" s="49"/>
      <c r="L200" s="49" t="s">
        <v>255</v>
      </c>
      <c r="M200" s="49"/>
      <c r="N200" s="49"/>
      <c r="O200" s="49"/>
      <c r="P200" s="49"/>
      <c r="Q200" s="49"/>
      <c r="R200" s="49"/>
      <c r="S200" s="49"/>
      <c r="T200" s="49"/>
    </row>
    <row r="201">
      <c r="A201" s="49"/>
      <c r="B201" s="49"/>
      <c r="C201" s="51"/>
      <c r="D201" s="49"/>
      <c r="E201" s="49"/>
      <c r="F201" s="49"/>
      <c r="G201" s="49" t="str">
        <f>IFERROR(__xludf.DUMMYFUNCTION("""COMPUTED_VALUE"""),"#VALUE!")</f>
        <v>#VALUE!</v>
      </c>
      <c r="H201" s="49" t="str">
        <f>IFERROR(__xludf.DUMMYFUNCTION("""COMPUTED_VALUE"""),"")</f>
        <v/>
      </c>
      <c r="I201" s="49" t="str">
        <f>IFERROR(__xludf.DUMMYFUNCTION("""COMPUTED_VALUE"""),"#VALUE!")</f>
        <v>#VALUE!</v>
      </c>
      <c r="J201" s="49" t="str">
        <f>IFERROR(__xludf.DUMMYFUNCTION("""COMPUTED_VALUE"""),"")</f>
        <v/>
      </c>
      <c r="K201" s="49"/>
      <c r="L201" s="49" t="s">
        <v>255</v>
      </c>
      <c r="M201" s="49"/>
      <c r="N201" s="49"/>
      <c r="O201" s="49"/>
      <c r="P201" s="49"/>
      <c r="Q201" s="49"/>
      <c r="R201" s="49"/>
      <c r="S201" s="49"/>
      <c r="T201" s="49"/>
    </row>
    <row r="202">
      <c r="A202" s="49"/>
      <c r="B202" s="49"/>
      <c r="C202" s="51"/>
      <c r="D202" s="49"/>
      <c r="E202" s="49"/>
      <c r="F202" s="49"/>
      <c r="G202" s="49" t="str">
        <f>IFERROR(__xludf.DUMMYFUNCTION("""COMPUTED_VALUE"""),"#VALUE!")</f>
        <v>#VALUE!</v>
      </c>
      <c r="H202" s="49" t="str">
        <f>IFERROR(__xludf.DUMMYFUNCTION("""COMPUTED_VALUE"""),"")</f>
        <v/>
      </c>
      <c r="I202" s="49" t="str">
        <f>IFERROR(__xludf.DUMMYFUNCTION("""COMPUTED_VALUE"""),"#VALUE!")</f>
        <v>#VALUE!</v>
      </c>
      <c r="J202" s="49" t="str">
        <f>IFERROR(__xludf.DUMMYFUNCTION("""COMPUTED_VALUE"""),"")</f>
        <v/>
      </c>
      <c r="K202" s="49"/>
      <c r="L202" s="49" t="s">
        <v>255</v>
      </c>
      <c r="M202" s="49"/>
      <c r="N202" s="49"/>
      <c r="O202" s="49"/>
      <c r="P202" s="49"/>
      <c r="Q202" s="49"/>
      <c r="R202" s="49"/>
      <c r="S202" s="49"/>
      <c r="T202" s="49"/>
    </row>
    <row r="203">
      <c r="A203" s="49"/>
      <c r="B203" s="49"/>
      <c r="C203" s="51"/>
      <c r="D203" s="49"/>
      <c r="E203" s="49"/>
      <c r="F203" s="49"/>
      <c r="G203" s="49" t="str">
        <f>IFERROR(__xludf.DUMMYFUNCTION("""COMPUTED_VALUE"""),"#VALUE!")</f>
        <v>#VALUE!</v>
      </c>
      <c r="H203" s="49" t="str">
        <f>IFERROR(__xludf.DUMMYFUNCTION("""COMPUTED_VALUE"""),"")</f>
        <v/>
      </c>
      <c r="I203" s="49" t="str">
        <f>IFERROR(__xludf.DUMMYFUNCTION("""COMPUTED_VALUE"""),"#VALUE!")</f>
        <v>#VALUE!</v>
      </c>
      <c r="J203" s="49" t="str">
        <f>IFERROR(__xludf.DUMMYFUNCTION("""COMPUTED_VALUE"""),"")</f>
        <v/>
      </c>
      <c r="K203" s="49"/>
      <c r="L203" s="49" t="s">
        <v>255</v>
      </c>
      <c r="M203" s="49"/>
      <c r="N203" s="49"/>
      <c r="O203" s="49"/>
      <c r="P203" s="49"/>
      <c r="Q203" s="49"/>
      <c r="R203" s="49"/>
      <c r="S203" s="49"/>
      <c r="T203" s="49"/>
    </row>
    <row r="204">
      <c r="A204" s="49"/>
      <c r="B204" s="49"/>
      <c r="C204" s="51"/>
      <c r="D204" s="49"/>
      <c r="E204" s="49"/>
      <c r="F204" s="49"/>
      <c r="G204" s="49" t="str">
        <f>IFERROR(__xludf.DUMMYFUNCTION("""COMPUTED_VALUE"""),"#VALUE!")</f>
        <v>#VALUE!</v>
      </c>
      <c r="H204" s="49" t="str">
        <f>IFERROR(__xludf.DUMMYFUNCTION("""COMPUTED_VALUE"""),"")</f>
        <v/>
      </c>
      <c r="I204" s="49" t="str">
        <f>IFERROR(__xludf.DUMMYFUNCTION("""COMPUTED_VALUE"""),"#VALUE!")</f>
        <v>#VALUE!</v>
      </c>
      <c r="J204" s="49" t="str">
        <f>IFERROR(__xludf.DUMMYFUNCTION("""COMPUTED_VALUE"""),"")</f>
        <v/>
      </c>
      <c r="K204" s="49"/>
      <c r="L204" s="49" t="s">
        <v>255</v>
      </c>
      <c r="M204" s="49"/>
      <c r="N204" s="49"/>
      <c r="O204" s="49"/>
      <c r="P204" s="49"/>
      <c r="Q204" s="49"/>
      <c r="R204" s="49"/>
      <c r="S204" s="49"/>
      <c r="T204" s="49"/>
    </row>
    <row r="205">
      <c r="A205" s="49"/>
      <c r="B205" s="49"/>
      <c r="C205" s="51"/>
      <c r="D205" s="49"/>
      <c r="E205" s="49"/>
      <c r="F205" s="49"/>
      <c r="G205" s="49" t="str">
        <f>IFERROR(__xludf.DUMMYFUNCTION("""COMPUTED_VALUE"""),"#VALUE!")</f>
        <v>#VALUE!</v>
      </c>
      <c r="H205" s="49" t="str">
        <f>IFERROR(__xludf.DUMMYFUNCTION("""COMPUTED_VALUE"""),"")</f>
        <v/>
      </c>
      <c r="I205" s="49" t="str">
        <f>IFERROR(__xludf.DUMMYFUNCTION("""COMPUTED_VALUE"""),"#VALUE!")</f>
        <v>#VALUE!</v>
      </c>
      <c r="J205" s="49" t="str">
        <f>IFERROR(__xludf.DUMMYFUNCTION("""COMPUTED_VALUE"""),"")</f>
        <v/>
      </c>
      <c r="K205" s="49"/>
      <c r="L205" s="49" t="s">
        <v>255</v>
      </c>
      <c r="M205" s="49"/>
      <c r="N205" s="49"/>
      <c r="O205" s="49"/>
      <c r="P205" s="49"/>
      <c r="Q205" s="49"/>
      <c r="R205" s="49"/>
      <c r="S205" s="49"/>
      <c r="T205" s="49"/>
    </row>
    <row r="206">
      <c r="A206" s="49"/>
      <c r="B206" s="49"/>
      <c r="C206" s="51"/>
      <c r="D206" s="49"/>
      <c r="E206" s="49"/>
      <c r="F206" s="49"/>
      <c r="G206" s="49" t="str">
        <f>IFERROR(__xludf.DUMMYFUNCTION("""COMPUTED_VALUE"""),"#VALUE!")</f>
        <v>#VALUE!</v>
      </c>
      <c r="H206" s="49" t="str">
        <f>IFERROR(__xludf.DUMMYFUNCTION("""COMPUTED_VALUE"""),"")</f>
        <v/>
      </c>
      <c r="I206" s="49" t="str">
        <f>IFERROR(__xludf.DUMMYFUNCTION("""COMPUTED_VALUE"""),"#VALUE!")</f>
        <v>#VALUE!</v>
      </c>
      <c r="J206" s="49" t="str">
        <f>IFERROR(__xludf.DUMMYFUNCTION("""COMPUTED_VALUE"""),"")</f>
        <v/>
      </c>
      <c r="K206" s="49"/>
      <c r="L206" s="49" t="s">
        <v>255</v>
      </c>
      <c r="M206" s="49"/>
      <c r="N206" s="49"/>
      <c r="O206" s="49"/>
      <c r="P206" s="49"/>
      <c r="Q206" s="49"/>
      <c r="R206" s="49"/>
      <c r="S206" s="49"/>
      <c r="T206" s="49"/>
    </row>
    <row r="207">
      <c r="A207" s="49"/>
      <c r="B207" s="49"/>
      <c r="C207" s="51"/>
      <c r="D207" s="49"/>
      <c r="E207" s="49"/>
      <c r="F207" s="49"/>
      <c r="G207" s="49" t="str">
        <f>IFERROR(__xludf.DUMMYFUNCTION("""COMPUTED_VALUE"""),"#VALUE!")</f>
        <v>#VALUE!</v>
      </c>
      <c r="H207" s="49" t="str">
        <f>IFERROR(__xludf.DUMMYFUNCTION("""COMPUTED_VALUE"""),"")</f>
        <v/>
      </c>
      <c r="I207" s="49" t="str">
        <f>IFERROR(__xludf.DUMMYFUNCTION("""COMPUTED_VALUE"""),"#VALUE!")</f>
        <v>#VALUE!</v>
      </c>
      <c r="J207" s="49" t="str">
        <f>IFERROR(__xludf.DUMMYFUNCTION("""COMPUTED_VALUE"""),"")</f>
        <v/>
      </c>
      <c r="K207" s="49"/>
      <c r="L207" s="49" t="s">
        <v>255</v>
      </c>
      <c r="M207" s="49"/>
      <c r="N207" s="49"/>
      <c r="O207" s="49"/>
      <c r="P207" s="49"/>
      <c r="Q207" s="49"/>
      <c r="R207" s="49"/>
      <c r="S207" s="49"/>
      <c r="T207" s="49"/>
    </row>
    <row r="208">
      <c r="A208" s="49"/>
      <c r="B208" s="49"/>
      <c r="C208" s="51"/>
      <c r="D208" s="49"/>
      <c r="E208" s="49"/>
      <c r="F208" s="49"/>
      <c r="G208" s="49" t="str">
        <f>IFERROR(__xludf.DUMMYFUNCTION("""COMPUTED_VALUE"""),"#VALUE!")</f>
        <v>#VALUE!</v>
      </c>
      <c r="H208" s="49" t="str">
        <f>IFERROR(__xludf.DUMMYFUNCTION("""COMPUTED_VALUE"""),"")</f>
        <v/>
      </c>
      <c r="I208" s="49" t="str">
        <f>IFERROR(__xludf.DUMMYFUNCTION("""COMPUTED_VALUE"""),"#VALUE!")</f>
        <v>#VALUE!</v>
      </c>
      <c r="J208" s="49" t="str">
        <f>IFERROR(__xludf.DUMMYFUNCTION("""COMPUTED_VALUE"""),"")</f>
        <v/>
      </c>
      <c r="K208" s="49"/>
      <c r="L208" s="49" t="s">
        <v>255</v>
      </c>
      <c r="M208" s="49"/>
      <c r="N208" s="49"/>
      <c r="O208" s="49"/>
      <c r="P208" s="49"/>
      <c r="Q208" s="49"/>
      <c r="R208" s="49"/>
      <c r="S208" s="49"/>
      <c r="T208" s="49"/>
    </row>
    <row r="209">
      <c r="A209" s="49"/>
      <c r="B209" s="49"/>
      <c r="C209" s="51"/>
      <c r="D209" s="49"/>
      <c r="E209" s="49"/>
      <c r="F209" s="49"/>
      <c r="G209" s="49" t="str">
        <f>IFERROR(__xludf.DUMMYFUNCTION("""COMPUTED_VALUE"""),"#VALUE!")</f>
        <v>#VALUE!</v>
      </c>
      <c r="H209" s="49" t="str">
        <f>IFERROR(__xludf.DUMMYFUNCTION("""COMPUTED_VALUE"""),"")</f>
        <v/>
      </c>
      <c r="I209" s="49" t="str">
        <f>IFERROR(__xludf.DUMMYFUNCTION("""COMPUTED_VALUE"""),"#VALUE!")</f>
        <v>#VALUE!</v>
      </c>
      <c r="J209" s="49" t="str">
        <f>IFERROR(__xludf.DUMMYFUNCTION("""COMPUTED_VALUE"""),"")</f>
        <v/>
      </c>
      <c r="K209" s="49"/>
      <c r="L209" s="49" t="s">
        <v>255</v>
      </c>
      <c r="M209" s="49"/>
      <c r="N209" s="49"/>
      <c r="O209" s="49"/>
      <c r="P209" s="49"/>
      <c r="Q209" s="49"/>
      <c r="R209" s="49"/>
      <c r="S209" s="49"/>
      <c r="T209" s="49"/>
    </row>
    <row r="210">
      <c r="A210" s="49"/>
      <c r="B210" s="49"/>
      <c r="C210" s="51"/>
      <c r="D210" s="49"/>
      <c r="E210" s="49"/>
      <c r="F210" s="49"/>
      <c r="G210" s="49" t="str">
        <f>IFERROR(__xludf.DUMMYFUNCTION("""COMPUTED_VALUE"""),"#VALUE!")</f>
        <v>#VALUE!</v>
      </c>
      <c r="H210" s="49" t="str">
        <f>IFERROR(__xludf.DUMMYFUNCTION("""COMPUTED_VALUE"""),"")</f>
        <v/>
      </c>
      <c r="I210" s="49" t="str">
        <f>IFERROR(__xludf.DUMMYFUNCTION("""COMPUTED_VALUE"""),"#VALUE!")</f>
        <v>#VALUE!</v>
      </c>
      <c r="J210" s="49" t="str">
        <f>IFERROR(__xludf.DUMMYFUNCTION("""COMPUTED_VALUE"""),"")</f>
        <v/>
      </c>
      <c r="K210" s="49"/>
      <c r="L210" s="49" t="s">
        <v>255</v>
      </c>
      <c r="M210" s="49"/>
      <c r="N210" s="49"/>
      <c r="O210" s="49"/>
      <c r="P210" s="49"/>
      <c r="Q210" s="49"/>
      <c r="R210" s="49"/>
      <c r="S210" s="49"/>
      <c r="T210" s="49"/>
    </row>
    <row r="211">
      <c r="A211" s="49"/>
      <c r="B211" s="49"/>
      <c r="C211" s="51"/>
      <c r="D211" s="49"/>
      <c r="E211" s="49"/>
      <c r="F211" s="49"/>
      <c r="G211" s="49" t="str">
        <f>IFERROR(__xludf.DUMMYFUNCTION("""COMPUTED_VALUE"""),"#VALUE!")</f>
        <v>#VALUE!</v>
      </c>
      <c r="H211" s="49" t="str">
        <f>IFERROR(__xludf.DUMMYFUNCTION("""COMPUTED_VALUE"""),"")</f>
        <v/>
      </c>
      <c r="I211" s="49" t="str">
        <f>IFERROR(__xludf.DUMMYFUNCTION("""COMPUTED_VALUE"""),"#VALUE!")</f>
        <v>#VALUE!</v>
      </c>
      <c r="J211" s="49" t="str">
        <f>IFERROR(__xludf.DUMMYFUNCTION("""COMPUTED_VALUE"""),"")</f>
        <v/>
      </c>
      <c r="K211" s="49"/>
      <c r="L211" s="49" t="s">
        <v>255</v>
      </c>
      <c r="M211" s="49"/>
      <c r="N211" s="49"/>
      <c r="O211" s="49"/>
      <c r="P211" s="49"/>
      <c r="Q211" s="49"/>
      <c r="R211" s="49"/>
      <c r="S211" s="49"/>
      <c r="T211" s="49"/>
    </row>
    <row r="212">
      <c r="A212" s="49"/>
      <c r="B212" s="49"/>
      <c r="C212" s="51"/>
      <c r="D212" s="49"/>
      <c r="E212" s="49"/>
      <c r="F212" s="49"/>
      <c r="G212" s="49" t="str">
        <f>IFERROR(__xludf.DUMMYFUNCTION("""COMPUTED_VALUE"""),"#VALUE!")</f>
        <v>#VALUE!</v>
      </c>
      <c r="H212" s="49" t="str">
        <f>IFERROR(__xludf.DUMMYFUNCTION("""COMPUTED_VALUE"""),"")</f>
        <v/>
      </c>
      <c r="I212" s="49" t="str">
        <f>IFERROR(__xludf.DUMMYFUNCTION("""COMPUTED_VALUE"""),"#VALUE!")</f>
        <v>#VALUE!</v>
      </c>
      <c r="J212" s="49" t="str">
        <f>IFERROR(__xludf.DUMMYFUNCTION("""COMPUTED_VALUE"""),"")</f>
        <v/>
      </c>
      <c r="K212" s="49"/>
      <c r="L212" s="49" t="s">
        <v>255</v>
      </c>
      <c r="M212" s="49"/>
      <c r="N212" s="49"/>
      <c r="O212" s="49"/>
      <c r="P212" s="49"/>
      <c r="Q212" s="49"/>
      <c r="R212" s="49"/>
      <c r="S212" s="49"/>
      <c r="T212" s="49"/>
    </row>
    <row r="213">
      <c r="A213" s="49"/>
      <c r="B213" s="49"/>
      <c r="C213" s="51"/>
      <c r="D213" s="49"/>
      <c r="E213" s="49"/>
      <c r="F213" s="49"/>
      <c r="G213" s="49" t="str">
        <f>IFERROR(__xludf.DUMMYFUNCTION("""COMPUTED_VALUE"""),"#VALUE!")</f>
        <v>#VALUE!</v>
      </c>
      <c r="H213" s="49" t="str">
        <f>IFERROR(__xludf.DUMMYFUNCTION("""COMPUTED_VALUE"""),"")</f>
        <v/>
      </c>
      <c r="I213" s="49" t="str">
        <f>IFERROR(__xludf.DUMMYFUNCTION("""COMPUTED_VALUE"""),"#VALUE!")</f>
        <v>#VALUE!</v>
      </c>
      <c r="J213" s="49" t="str">
        <f>IFERROR(__xludf.DUMMYFUNCTION("""COMPUTED_VALUE"""),"")</f>
        <v/>
      </c>
      <c r="K213" s="49"/>
      <c r="L213" s="49" t="s">
        <v>255</v>
      </c>
      <c r="M213" s="49"/>
      <c r="N213" s="49"/>
      <c r="O213" s="49"/>
      <c r="P213" s="49"/>
      <c r="Q213" s="49"/>
      <c r="R213" s="49"/>
      <c r="S213" s="49"/>
      <c r="T213" s="49"/>
    </row>
    <row r="214">
      <c r="A214" s="49"/>
      <c r="B214" s="49"/>
      <c r="C214" s="51"/>
      <c r="D214" s="49"/>
      <c r="E214" s="49"/>
      <c r="F214" s="49"/>
      <c r="G214" s="49" t="str">
        <f>IFERROR(__xludf.DUMMYFUNCTION("""COMPUTED_VALUE"""),"#VALUE!")</f>
        <v>#VALUE!</v>
      </c>
      <c r="H214" s="49" t="str">
        <f>IFERROR(__xludf.DUMMYFUNCTION("""COMPUTED_VALUE"""),"")</f>
        <v/>
      </c>
      <c r="I214" s="49" t="str">
        <f>IFERROR(__xludf.DUMMYFUNCTION("""COMPUTED_VALUE"""),"#VALUE!")</f>
        <v>#VALUE!</v>
      </c>
      <c r="J214" s="49" t="str">
        <f>IFERROR(__xludf.DUMMYFUNCTION("""COMPUTED_VALUE"""),"")</f>
        <v/>
      </c>
      <c r="K214" s="49"/>
      <c r="L214" s="49" t="s">
        <v>255</v>
      </c>
      <c r="M214" s="49"/>
      <c r="N214" s="49"/>
      <c r="O214" s="49"/>
      <c r="P214" s="49"/>
      <c r="Q214" s="49"/>
      <c r="R214" s="49"/>
      <c r="S214" s="49"/>
      <c r="T214" s="49"/>
    </row>
    <row r="215">
      <c r="A215" s="49"/>
      <c r="B215" s="49"/>
      <c r="C215" s="51"/>
      <c r="D215" s="49"/>
      <c r="E215" s="49"/>
      <c r="F215" s="49"/>
      <c r="G215" s="49" t="str">
        <f>IFERROR(__xludf.DUMMYFUNCTION("""COMPUTED_VALUE"""),"#VALUE!")</f>
        <v>#VALUE!</v>
      </c>
      <c r="H215" s="49" t="str">
        <f>IFERROR(__xludf.DUMMYFUNCTION("""COMPUTED_VALUE"""),"")</f>
        <v/>
      </c>
      <c r="I215" s="49" t="str">
        <f>IFERROR(__xludf.DUMMYFUNCTION("""COMPUTED_VALUE"""),"#VALUE!")</f>
        <v>#VALUE!</v>
      </c>
      <c r="J215" s="49" t="str">
        <f>IFERROR(__xludf.DUMMYFUNCTION("""COMPUTED_VALUE"""),"")</f>
        <v/>
      </c>
      <c r="K215" s="49"/>
      <c r="L215" s="49" t="s">
        <v>255</v>
      </c>
      <c r="M215" s="49"/>
      <c r="N215" s="49"/>
      <c r="O215" s="49"/>
      <c r="P215" s="49"/>
      <c r="Q215" s="49"/>
      <c r="R215" s="49"/>
      <c r="S215" s="49"/>
      <c r="T215" s="49"/>
    </row>
    <row r="216">
      <c r="A216" s="49"/>
      <c r="B216" s="49"/>
      <c r="C216" s="51"/>
      <c r="D216" s="49"/>
      <c r="E216" s="49"/>
      <c r="F216" s="49"/>
      <c r="G216" s="49" t="str">
        <f>IFERROR(__xludf.DUMMYFUNCTION("""COMPUTED_VALUE"""),"#VALUE!")</f>
        <v>#VALUE!</v>
      </c>
      <c r="H216" s="49" t="str">
        <f>IFERROR(__xludf.DUMMYFUNCTION("""COMPUTED_VALUE"""),"")</f>
        <v/>
      </c>
      <c r="I216" s="49" t="str">
        <f>IFERROR(__xludf.DUMMYFUNCTION("""COMPUTED_VALUE"""),"#VALUE!")</f>
        <v>#VALUE!</v>
      </c>
      <c r="J216" s="49" t="str">
        <f>IFERROR(__xludf.DUMMYFUNCTION("""COMPUTED_VALUE"""),"")</f>
        <v/>
      </c>
      <c r="K216" s="49"/>
      <c r="L216" s="49" t="s">
        <v>255</v>
      </c>
      <c r="M216" s="49"/>
      <c r="N216" s="49"/>
      <c r="O216" s="49"/>
      <c r="P216" s="49"/>
      <c r="Q216" s="49"/>
      <c r="R216" s="49"/>
      <c r="S216" s="49"/>
      <c r="T216" s="49"/>
    </row>
    <row r="217">
      <c r="A217" s="49"/>
      <c r="B217" s="49"/>
      <c r="C217" s="51"/>
      <c r="D217" s="49"/>
      <c r="E217" s="49"/>
      <c r="F217" s="49"/>
      <c r="G217" s="49" t="str">
        <f>IFERROR(__xludf.DUMMYFUNCTION("""COMPUTED_VALUE"""),"#VALUE!")</f>
        <v>#VALUE!</v>
      </c>
      <c r="H217" s="49" t="str">
        <f>IFERROR(__xludf.DUMMYFUNCTION("""COMPUTED_VALUE"""),"")</f>
        <v/>
      </c>
      <c r="I217" s="49" t="str">
        <f>IFERROR(__xludf.DUMMYFUNCTION("""COMPUTED_VALUE"""),"#VALUE!")</f>
        <v>#VALUE!</v>
      </c>
      <c r="J217" s="49" t="str">
        <f>IFERROR(__xludf.DUMMYFUNCTION("""COMPUTED_VALUE"""),"")</f>
        <v/>
      </c>
      <c r="K217" s="49"/>
      <c r="L217" s="49" t="s">
        <v>255</v>
      </c>
      <c r="M217" s="49"/>
      <c r="N217" s="49"/>
      <c r="O217" s="49"/>
      <c r="P217" s="49"/>
      <c r="Q217" s="49"/>
      <c r="R217" s="49"/>
      <c r="S217" s="49"/>
      <c r="T217" s="49"/>
    </row>
    <row r="218">
      <c r="A218" s="49"/>
      <c r="B218" s="49"/>
      <c r="C218" s="51"/>
      <c r="D218" s="49"/>
      <c r="E218" s="49"/>
      <c r="F218" s="49"/>
      <c r="G218" s="49" t="str">
        <f>IFERROR(__xludf.DUMMYFUNCTION("""COMPUTED_VALUE"""),"#VALUE!")</f>
        <v>#VALUE!</v>
      </c>
      <c r="H218" s="49" t="str">
        <f>IFERROR(__xludf.DUMMYFUNCTION("""COMPUTED_VALUE"""),"")</f>
        <v/>
      </c>
      <c r="I218" s="49" t="str">
        <f>IFERROR(__xludf.DUMMYFUNCTION("""COMPUTED_VALUE"""),"#VALUE!")</f>
        <v>#VALUE!</v>
      </c>
      <c r="J218" s="49" t="str">
        <f>IFERROR(__xludf.DUMMYFUNCTION("""COMPUTED_VALUE"""),"")</f>
        <v/>
      </c>
      <c r="K218" s="49"/>
      <c r="L218" s="49" t="s">
        <v>255</v>
      </c>
      <c r="M218" s="49"/>
      <c r="N218" s="49"/>
      <c r="O218" s="49"/>
      <c r="P218" s="49"/>
      <c r="Q218" s="49"/>
      <c r="R218" s="49"/>
      <c r="S218" s="49"/>
      <c r="T218" s="49"/>
    </row>
    <row r="219">
      <c r="A219" s="49"/>
      <c r="B219" s="49"/>
      <c r="C219" s="51"/>
      <c r="D219" s="49"/>
      <c r="E219" s="49"/>
      <c r="F219" s="49"/>
      <c r="G219" s="49" t="str">
        <f>IFERROR(__xludf.DUMMYFUNCTION("""COMPUTED_VALUE"""),"#VALUE!")</f>
        <v>#VALUE!</v>
      </c>
      <c r="H219" s="49" t="str">
        <f>IFERROR(__xludf.DUMMYFUNCTION("""COMPUTED_VALUE"""),"")</f>
        <v/>
      </c>
      <c r="I219" s="49" t="str">
        <f>IFERROR(__xludf.DUMMYFUNCTION("""COMPUTED_VALUE"""),"#VALUE!")</f>
        <v>#VALUE!</v>
      </c>
      <c r="J219" s="49" t="str">
        <f>IFERROR(__xludf.DUMMYFUNCTION("""COMPUTED_VALUE"""),"")</f>
        <v/>
      </c>
      <c r="K219" s="49"/>
      <c r="L219" s="49" t="s">
        <v>255</v>
      </c>
      <c r="M219" s="49"/>
      <c r="N219" s="49"/>
      <c r="O219" s="49"/>
      <c r="P219" s="49"/>
      <c r="Q219" s="49"/>
      <c r="R219" s="49"/>
      <c r="S219" s="49"/>
      <c r="T219" s="49"/>
    </row>
    <row r="220">
      <c r="A220" s="49"/>
      <c r="B220" s="49"/>
      <c r="C220" s="51"/>
      <c r="D220" s="49"/>
      <c r="E220" s="49"/>
      <c r="F220" s="49"/>
      <c r="G220" s="49" t="str">
        <f>IFERROR(__xludf.DUMMYFUNCTION("""COMPUTED_VALUE"""),"#VALUE!")</f>
        <v>#VALUE!</v>
      </c>
      <c r="H220" s="49" t="str">
        <f>IFERROR(__xludf.DUMMYFUNCTION("""COMPUTED_VALUE"""),"")</f>
        <v/>
      </c>
      <c r="I220" s="49" t="str">
        <f>IFERROR(__xludf.DUMMYFUNCTION("""COMPUTED_VALUE"""),"#VALUE!")</f>
        <v>#VALUE!</v>
      </c>
      <c r="J220" s="49" t="str">
        <f>IFERROR(__xludf.DUMMYFUNCTION("""COMPUTED_VALUE"""),"")</f>
        <v/>
      </c>
      <c r="K220" s="49"/>
      <c r="L220" s="49" t="s">
        <v>255</v>
      </c>
      <c r="M220" s="49"/>
      <c r="N220" s="49"/>
      <c r="O220" s="49"/>
      <c r="P220" s="49"/>
      <c r="Q220" s="49"/>
      <c r="R220" s="49"/>
      <c r="S220" s="49"/>
      <c r="T220" s="49"/>
    </row>
    <row r="221">
      <c r="A221" s="49"/>
      <c r="B221" s="49"/>
      <c r="C221" s="51"/>
      <c r="D221" s="49"/>
      <c r="E221" s="49"/>
      <c r="F221" s="49"/>
      <c r="G221" s="49" t="str">
        <f>IFERROR(__xludf.DUMMYFUNCTION("""COMPUTED_VALUE"""),"#VALUE!")</f>
        <v>#VALUE!</v>
      </c>
      <c r="H221" s="49" t="str">
        <f>IFERROR(__xludf.DUMMYFUNCTION("""COMPUTED_VALUE"""),"")</f>
        <v/>
      </c>
      <c r="I221" s="49" t="str">
        <f>IFERROR(__xludf.DUMMYFUNCTION("""COMPUTED_VALUE"""),"#VALUE!")</f>
        <v>#VALUE!</v>
      </c>
      <c r="J221" s="49" t="str">
        <f>IFERROR(__xludf.DUMMYFUNCTION("""COMPUTED_VALUE"""),"")</f>
        <v/>
      </c>
      <c r="K221" s="49"/>
      <c r="L221" s="49" t="s">
        <v>255</v>
      </c>
      <c r="M221" s="49"/>
      <c r="N221" s="49"/>
      <c r="O221" s="49"/>
      <c r="P221" s="49"/>
      <c r="Q221" s="49"/>
      <c r="R221" s="49"/>
      <c r="S221" s="49"/>
      <c r="T221" s="49"/>
    </row>
    <row r="222">
      <c r="A222" s="49"/>
      <c r="B222" s="49"/>
      <c r="C222" s="51"/>
      <c r="D222" s="49"/>
      <c r="E222" s="49"/>
      <c r="F222" s="49"/>
      <c r="G222" s="49" t="str">
        <f>IFERROR(__xludf.DUMMYFUNCTION("""COMPUTED_VALUE"""),"#VALUE!")</f>
        <v>#VALUE!</v>
      </c>
      <c r="H222" s="49" t="str">
        <f>IFERROR(__xludf.DUMMYFUNCTION("""COMPUTED_VALUE"""),"")</f>
        <v/>
      </c>
      <c r="I222" s="49" t="str">
        <f>IFERROR(__xludf.DUMMYFUNCTION("""COMPUTED_VALUE"""),"#VALUE!")</f>
        <v>#VALUE!</v>
      </c>
      <c r="J222" s="49" t="str">
        <f>IFERROR(__xludf.DUMMYFUNCTION("""COMPUTED_VALUE"""),"")</f>
        <v/>
      </c>
      <c r="K222" s="49"/>
      <c r="L222" s="49" t="s">
        <v>255</v>
      </c>
      <c r="M222" s="49"/>
      <c r="N222" s="49"/>
      <c r="O222" s="49"/>
      <c r="P222" s="49"/>
      <c r="Q222" s="49"/>
      <c r="R222" s="49"/>
      <c r="S222" s="49"/>
      <c r="T222" s="49"/>
    </row>
    <row r="223">
      <c r="A223" s="49"/>
      <c r="B223" s="49"/>
      <c r="C223" s="51"/>
      <c r="D223" s="49"/>
      <c r="E223" s="49"/>
      <c r="F223" s="49"/>
      <c r="G223" s="49" t="str">
        <f>IFERROR(__xludf.DUMMYFUNCTION("""COMPUTED_VALUE"""),"#VALUE!")</f>
        <v>#VALUE!</v>
      </c>
      <c r="H223" s="49" t="str">
        <f>IFERROR(__xludf.DUMMYFUNCTION("""COMPUTED_VALUE"""),"")</f>
        <v/>
      </c>
      <c r="I223" s="49" t="str">
        <f>IFERROR(__xludf.DUMMYFUNCTION("""COMPUTED_VALUE"""),"#VALUE!")</f>
        <v>#VALUE!</v>
      </c>
      <c r="J223" s="49" t="str">
        <f>IFERROR(__xludf.DUMMYFUNCTION("""COMPUTED_VALUE"""),"")</f>
        <v/>
      </c>
      <c r="K223" s="49"/>
      <c r="L223" s="49" t="s">
        <v>255</v>
      </c>
      <c r="M223" s="49"/>
      <c r="N223" s="49"/>
      <c r="O223" s="49"/>
      <c r="P223" s="49"/>
      <c r="Q223" s="49"/>
      <c r="R223" s="49"/>
      <c r="S223" s="49"/>
      <c r="T223" s="49"/>
    </row>
    <row r="224">
      <c r="A224" s="49"/>
      <c r="B224" s="49"/>
      <c r="C224" s="51"/>
      <c r="D224" s="49"/>
      <c r="E224" s="49"/>
      <c r="F224" s="49"/>
      <c r="G224" s="49" t="str">
        <f>IFERROR(__xludf.DUMMYFUNCTION("""COMPUTED_VALUE"""),"#VALUE!")</f>
        <v>#VALUE!</v>
      </c>
      <c r="H224" s="49" t="str">
        <f>IFERROR(__xludf.DUMMYFUNCTION("""COMPUTED_VALUE"""),"")</f>
        <v/>
      </c>
      <c r="I224" s="49" t="str">
        <f>IFERROR(__xludf.DUMMYFUNCTION("""COMPUTED_VALUE"""),"#VALUE!")</f>
        <v>#VALUE!</v>
      </c>
      <c r="J224" s="49" t="str">
        <f>IFERROR(__xludf.DUMMYFUNCTION("""COMPUTED_VALUE"""),"")</f>
        <v/>
      </c>
      <c r="K224" s="49"/>
      <c r="L224" s="49" t="s">
        <v>255</v>
      </c>
      <c r="M224" s="49"/>
      <c r="N224" s="49"/>
      <c r="O224" s="49"/>
      <c r="P224" s="49"/>
      <c r="Q224" s="49"/>
      <c r="R224" s="49"/>
      <c r="S224" s="49"/>
      <c r="T224" s="49"/>
    </row>
    <row r="225">
      <c r="A225" s="49"/>
      <c r="B225" s="49"/>
      <c r="C225" s="51"/>
      <c r="D225" s="49"/>
      <c r="E225" s="49"/>
      <c r="F225" s="49"/>
      <c r="G225" s="49" t="str">
        <f>IFERROR(__xludf.DUMMYFUNCTION("""COMPUTED_VALUE"""),"#VALUE!")</f>
        <v>#VALUE!</v>
      </c>
      <c r="H225" s="49" t="str">
        <f>IFERROR(__xludf.DUMMYFUNCTION("""COMPUTED_VALUE"""),"")</f>
        <v/>
      </c>
      <c r="I225" s="49" t="str">
        <f>IFERROR(__xludf.DUMMYFUNCTION("""COMPUTED_VALUE"""),"#VALUE!")</f>
        <v>#VALUE!</v>
      </c>
      <c r="J225" s="49" t="str">
        <f>IFERROR(__xludf.DUMMYFUNCTION("""COMPUTED_VALUE"""),"")</f>
        <v/>
      </c>
      <c r="K225" s="49"/>
      <c r="L225" s="49" t="s">
        <v>255</v>
      </c>
      <c r="M225" s="49"/>
      <c r="N225" s="49"/>
      <c r="O225" s="49"/>
      <c r="P225" s="49"/>
      <c r="Q225" s="49"/>
      <c r="R225" s="49"/>
      <c r="S225" s="49"/>
      <c r="T225" s="49"/>
    </row>
    <row r="226">
      <c r="A226" s="49"/>
      <c r="B226" s="49"/>
      <c r="C226" s="51"/>
      <c r="D226" s="49"/>
      <c r="E226" s="49"/>
      <c r="F226" s="49"/>
      <c r="G226" s="49" t="str">
        <f>IFERROR(__xludf.DUMMYFUNCTION("""COMPUTED_VALUE"""),"#VALUE!")</f>
        <v>#VALUE!</v>
      </c>
      <c r="H226" s="49" t="str">
        <f>IFERROR(__xludf.DUMMYFUNCTION("""COMPUTED_VALUE"""),"")</f>
        <v/>
      </c>
      <c r="I226" s="49" t="str">
        <f>IFERROR(__xludf.DUMMYFUNCTION("""COMPUTED_VALUE"""),"#VALUE!")</f>
        <v>#VALUE!</v>
      </c>
      <c r="J226" s="49" t="str">
        <f>IFERROR(__xludf.DUMMYFUNCTION("""COMPUTED_VALUE"""),"")</f>
        <v/>
      </c>
      <c r="K226" s="49"/>
      <c r="L226" s="49" t="s">
        <v>255</v>
      </c>
      <c r="M226" s="49"/>
      <c r="N226" s="49"/>
      <c r="O226" s="49"/>
      <c r="P226" s="49"/>
      <c r="Q226" s="49"/>
      <c r="R226" s="49"/>
      <c r="S226" s="49"/>
      <c r="T226" s="49"/>
    </row>
    <row r="227">
      <c r="A227" s="49"/>
      <c r="B227" s="49"/>
      <c r="C227" s="51"/>
      <c r="D227" s="49"/>
      <c r="E227" s="49"/>
      <c r="F227" s="49"/>
      <c r="G227" s="49" t="str">
        <f>IFERROR(__xludf.DUMMYFUNCTION("""COMPUTED_VALUE"""),"#VALUE!")</f>
        <v>#VALUE!</v>
      </c>
      <c r="H227" s="49" t="str">
        <f>IFERROR(__xludf.DUMMYFUNCTION("""COMPUTED_VALUE"""),"")</f>
        <v/>
      </c>
      <c r="I227" s="49" t="str">
        <f>IFERROR(__xludf.DUMMYFUNCTION("""COMPUTED_VALUE"""),"#VALUE!")</f>
        <v>#VALUE!</v>
      </c>
      <c r="J227" s="49" t="str">
        <f>IFERROR(__xludf.DUMMYFUNCTION("""COMPUTED_VALUE"""),"")</f>
        <v/>
      </c>
      <c r="K227" s="49"/>
      <c r="L227" s="49" t="s">
        <v>255</v>
      </c>
      <c r="M227" s="49"/>
      <c r="N227" s="49"/>
      <c r="O227" s="49"/>
      <c r="P227" s="49"/>
      <c r="Q227" s="49"/>
      <c r="R227" s="49"/>
      <c r="S227" s="49"/>
      <c r="T227" s="49"/>
    </row>
    <row r="228">
      <c r="A228" s="49"/>
      <c r="B228" s="49"/>
      <c r="C228" s="51"/>
      <c r="D228" s="49"/>
      <c r="E228" s="49"/>
      <c r="F228" s="49"/>
      <c r="G228" s="49" t="str">
        <f>IFERROR(__xludf.DUMMYFUNCTION("""COMPUTED_VALUE"""),"#VALUE!")</f>
        <v>#VALUE!</v>
      </c>
      <c r="H228" s="49" t="str">
        <f>IFERROR(__xludf.DUMMYFUNCTION("""COMPUTED_VALUE"""),"")</f>
        <v/>
      </c>
      <c r="I228" s="49" t="str">
        <f>IFERROR(__xludf.DUMMYFUNCTION("""COMPUTED_VALUE"""),"#VALUE!")</f>
        <v>#VALUE!</v>
      </c>
      <c r="J228" s="49" t="str">
        <f>IFERROR(__xludf.DUMMYFUNCTION("""COMPUTED_VALUE"""),"")</f>
        <v/>
      </c>
      <c r="K228" s="49"/>
      <c r="L228" s="49" t="s">
        <v>255</v>
      </c>
      <c r="M228" s="49"/>
      <c r="N228" s="49"/>
      <c r="O228" s="49"/>
      <c r="P228" s="49"/>
      <c r="Q228" s="49"/>
      <c r="R228" s="49"/>
      <c r="S228" s="49"/>
      <c r="T228" s="49"/>
    </row>
    <row r="229">
      <c r="A229" s="49"/>
      <c r="B229" s="49"/>
      <c r="C229" s="51"/>
      <c r="D229" s="49"/>
      <c r="E229" s="49"/>
      <c r="F229" s="49"/>
      <c r="G229" s="49" t="str">
        <f>IFERROR(__xludf.DUMMYFUNCTION("""COMPUTED_VALUE"""),"#VALUE!")</f>
        <v>#VALUE!</v>
      </c>
      <c r="H229" s="49" t="str">
        <f>IFERROR(__xludf.DUMMYFUNCTION("""COMPUTED_VALUE"""),"")</f>
        <v/>
      </c>
      <c r="I229" s="49" t="str">
        <f>IFERROR(__xludf.DUMMYFUNCTION("""COMPUTED_VALUE"""),"#VALUE!")</f>
        <v>#VALUE!</v>
      </c>
      <c r="J229" s="49" t="str">
        <f>IFERROR(__xludf.DUMMYFUNCTION("""COMPUTED_VALUE"""),"")</f>
        <v/>
      </c>
      <c r="K229" s="49"/>
      <c r="L229" s="49" t="s">
        <v>255</v>
      </c>
      <c r="M229" s="49"/>
      <c r="N229" s="49"/>
      <c r="O229" s="49"/>
      <c r="P229" s="49"/>
      <c r="Q229" s="49"/>
      <c r="R229" s="49"/>
      <c r="S229" s="49"/>
      <c r="T229" s="49"/>
    </row>
    <row r="230">
      <c r="A230" s="49"/>
      <c r="B230" s="49"/>
      <c r="C230" s="51"/>
      <c r="D230" s="49"/>
      <c r="E230" s="49"/>
      <c r="F230" s="49"/>
      <c r="G230" s="49" t="str">
        <f>IFERROR(__xludf.DUMMYFUNCTION("""COMPUTED_VALUE"""),"#VALUE!")</f>
        <v>#VALUE!</v>
      </c>
      <c r="H230" s="49" t="str">
        <f>IFERROR(__xludf.DUMMYFUNCTION("""COMPUTED_VALUE"""),"")</f>
        <v/>
      </c>
      <c r="I230" s="49" t="str">
        <f>IFERROR(__xludf.DUMMYFUNCTION("""COMPUTED_VALUE"""),"#VALUE!")</f>
        <v>#VALUE!</v>
      </c>
      <c r="J230" s="49" t="str">
        <f>IFERROR(__xludf.DUMMYFUNCTION("""COMPUTED_VALUE"""),"")</f>
        <v/>
      </c>
      <c r="K230" s="49"/>
      <c r="L230" s="49" t="s">
        <v>255</v>
      </c>
      <c r="M230" s="49"/>
      <c r="N230" s="49"/>
      <c r="O230" s="49"/>
      <c r="P230" s="49"/>
      <c r="Q230" s="49"/>
      <c r="R230" s="49"/>
      <c r="S230" s="49"/>
      <c r="T230" s="49"/>
    </row>
    <row r="231">
      <c r="A231" s="49"/>
      <c r="B231" s="49"/>
      <c r="C231" s="51"/>
      <c r="D231" s="49"/>
      <c r="E231" s="49"/>
      <c r="F231" s="49"/>
      <c r="G231" s="49" t="str">
        <f>IFERROR(__xludf.DUMMYFUNCTION("""COMPUTED_VALUE"""),"#VALUE!")</f>
        <v>#VALUE!</v>
      </c>
      <c r="H231" s="49" t="str">
        <f>IFERROR(__xludf.DUMMYFUNCTION("""COMPUTED_VALUE"""),"")</f>
        <v/>
      </c>
      <c r="I231" s="49" t="str">
        <f>IFERROR(__xludf.DUMMYFUNCTION("""COMPUTED_VALUE"""),"#VALUE!")</f>
        <v>#VALUE!</v>
      </c>
      <c r="J231" s="49" t="str">
        <f>IFERROR(__xludf.DUMMYFUNCTION("""COMPUTED_VALUE"""),"")</f>
        <v/>
      </c>
      <c r="K231" s="49"/>
      <c r="L231" s="49" t="s">
        <v>255</v>
      </c>
      <c r="M231" s="49"/>
      <c r="N231" s="49"/>
      <c r="O231" s="49"/>
      <c r="P231" s="49"/>
      <c r="Q231" s="49"/>
      <c r="R231" s="49"/>
      <c r="S231" s="49"/>
      <c r="T231" s="49"/>
    </row>
    <row r="232">
      <c r="A232" s="49"/>
      <c r="B232" s="49"/>
      <c r="C232" s="51"/>
      <c r="D232" s="49"/>
      <c r="E232" s="49"/>
      <c r="F232" s="49"/>
      <c r="G232" s="49" t="str">
        <f>IFERROR(__xludf.DUMMYFUNCTION("""COMPUTED_VALUE"""),"#VALUE!")</f>
        <v>#VALUE!</v>
      </c>
      <c r="H232" s="49" t="str">
        <f>IFERROR(__xludf.DUMMYFUNCTION("""COMPUTED_VALUE"""),"")</f>
        <v/>
      </c>
      <c r="I232" s="49" t="str">
        <f>IFERROR(__xludf.DUMMYFUNCTION("""COMPUTED_VALUE"""),"#VALUE!")</f>
        <v>#VALUE!</v>
      </c>
      <c r="J232" s="49" t="str">
        <f>IFERROR(__xludf.DUMMYFUNCTION("""COMPUTED_VALUE"""),"")</f>
        <v/>
      </c>
      <c r="K232" s="49"/>
      <c r="L232" s="49" t="s">
        <v>255</v>
      </c>
      <c r="M232" s="49"/>
      <c r="N232" s="49"/>
      <c r="O232" s="49"/>
      <c r="P232" s="49"/>
      <c r="Q232" s="49"/>
      <c r="R232" s="49"/>
      <c r="S232" s="49"/>
      <c r="T232" s="49"/>
    </row>
    <row r="233">
      <c r="A233" s="49"/>
      <c r="B233" s="49"/>
      <c r="C233" s="51"/>
      <c r="D233" s="49"/>
      <c r="E233" s="49"/>
      <c r="F233" s="49"/>
      <c r="G233" s="49" t="str">
        <f>IFERROR(__xludf.DUMMYFUNCTION("""COMPUTED_VALUE"""),"#VALUE!")</f>
        <v>#VALUE!</v>
      </c>
      <c r="H233" s="49" t="str">
        <f>IFERROR(__xludf.DUMMYFUNCTION("""COMPUTED_VALUE"""),"")</f>
        <v/>
      </c>
      <c r="I233" s="49" t="str">
        <f>IFERROR(__xludf.DUMMYFUNCTION("""COMPUTED_VALUE"""),"#VALUE!")</f>
        <v>#VALUE!</v>
      </c>
      <c r="J233" s="49" t="str">
        <f>IFERROR(__xludf.DUMMYFUNCTION("""COMPUTED_VALUE"""),"")</f>
        <v/>
      </c>
      <c r="K233" s="49"/>
      <c r="L233" s="49" t="s">
        <v>255</v>
      </c>
      <c r="M233" s="49"/>
      <c r="N233" s="49"/>
      <c r="O233" s="49"/>
      <c r="P233" s="49"/>
      <c r="Q233" s="49"/>
      <c r="R233" s="49"/>
      <c r="S233" s="49"/>
      <c r="T233" s="49"/>
    </row>
    <row r="234">
      <c r="A234" s="49"/>
      <c r="B234" s="49"/>
      <c r="C234" s="51"/>
      <c r="D234" s="49"/>
      <c r="E234" s="49"/>
      <c r="F234" s="49"/>
      <c r="G234" s="49" t="str">
        <f>IFERROR(__xludf.DUMMYFUNCTION("""COMPUTED_VALUE"""),"#VALUE!")</f>
        <v>#VALUE!</v>
      </c>
      <c r="H234" s="49" t="str">
        <f>IFERROR(__xludf.DUMMYFUNCTION("""COMPUTED_VALUE"""),"")</f>
        <v/>
      </c>
      <c r="I234" s="49" t="str">
        <f>IFERROR(__xludf.DUMMYFUNCTION("""COMPUTED_VALUE"""),"#VALUE!")</f>
        <v>#VALUE!</v>
      </c>
      <c r="J234" s="49" t="str">
        <f>IFERROR(__xludf.DUMMYFUNCTION("""COMPUTED_VALUE"""),"")</f>
        <v/>
      </c>
      <c r="K234" s="49"/>
      <c r="L234" s="49" t="s">
        <v>255</v>
      </c>
      <c r="M234" s="49"/>
      <c r="N234" s="49"/>
      <c r="O234" s="49"/>
      <c r="P234" s="49"/>
      <c r="Q234" s="49"/>
      <c r="R234" s="49"/>
      <c r="S234" s="49"/>
      <c r="T234" s="49"/>
    </row>
    <row r="235">
      <c r="A235" s="49"/>
      <c r="B235" s="49"/>
      <c r="C235" s="51"/>
      <c r="D235" s="49"/>
      <c r="E235" s="49"/>
      <c r="F235" s="49"/>
      <c r="G235" s="49" t="str">
        <f>IFERROR(__xludf.DUMMYFUNCTION("""COMPUTED_VALUE"""),"#VALUE!")</f>
        <v>#VALUE!</v>
      </c>
      <c r="H235" s="49" t="str">
        <f>IFERROR(__xludf.DUMMYFUNCTION("""COMPUTED_VALUE"""),"")</f>
        <v/>
      </c>
      <c r="I235" s="49" t="str">
        <f>IFERROR(__xludf.DUMMYFUNCTION("""COMPUTED_VALUE"""),"#VALUE!")</f>
        <v>#VALUE!</v>
      </c>
      <c r="J235" s="49" t="str">
        <f>IFERROR(__xludf.DUMMYFUNCTION("""COMPUTED_VALUE"""),"")</f>
        <v/>
      </c>
      <c r="K235" s="49"/>
      <c r="L235" s="49" t="s">
        <v>255</v>
      </c>
      <c r="M235" s="49"/>
      <c r="N235" s="49"/>
      <c r="O235" s="49"/>
      <c r="P235" s="49"/>
      <c r="Q235" s="49"/>
      <c r="R235" s="49"/>
      <c r="S235" s="49"/>
      <c r="T235" s="49"/>
    </row>
    <row r="236">
      <c r="A236" s="49"/>
      <c r="B236" s="49"/>
      <c r="C236" s="51"/>
      <c r="D236" s="49"/>
      <c r="E236" s="49"/>
      <c r="F236" s="49"/>
      <c r="G236" s="49" t="str">
        <f>IFERROR(__xludf.DUMMYFUNCTION("""COMPUTED_VALUE"""),"#VALUE!")</f>
        <v>#VALUE!</v>
      </c>
      <c r="H236" s="49" t="str">
        <f>IFERROR(__xludf.DUMMYFUNCTION("""COMPUTED_VALUE"""),"")</f>
        <v/>
      </c>
      <c r="I236" s="49" t="str">
        <f>IFERROR(__xludf.DUMMYFUNCTION("""COMPUTED_VALUE"""),"#VALUE!")</f>
        <v>#VALUE!</v>
      </c>
      <c r="J236" s="49" t="str">
        <f>IFERROR(__xludf.DUMMYFUNCTION("""COMPUTED_VALUE"""),"")</f>
        <v/>
      </c>
      <c r="K236" s="49"/>
      <c r="L236" s="49" t="s">
        <v>255</v>
      </c>
      <c r="M236" s="49"/>
      <c r="N236" s="49"/>
      <c r="O236" s="49"/>
      <c r="P236" s="49"/>
      <c r="Q236" s="49"/>
      <c r="R236" s="49"/>
      <c r="S236" s="49"/>
      <c r="T236" s="49"/>
    </row>
    <row r="237">
      <c r="A237" s="49"/>
      <c r="B237" s="49"/>
      <c r="C237" s="51"/>
      <c r="D237" s="49"/>
      <c r="E237" s="49"/>
      <c r="F237" s="49"/>
      <c r="G237" s="49" t="str">
        <f>IFERROR(__xludf.DUMMYFUNCTION("""COMPUTED_VALUE"""),"#VALUE!")</f>
        <v>#VALUE!</v>
      </c>
      <c r="H237" s="49" t="str">
        <f>IFERROR(__xludf.DUMMYFUNCTION("""COMPUTED_VALUE"""),"")</f>
        <v/>
      </c>
      <c r="I237" s="49" t="str">
        <f>IFERROR(__xludf.DUMMYFUNCTION("""COMPUTED_VALUE"""),"#VALUE!")</f>
        <v>#VALUE!</v>
      </c>
      <c r="J237" s="49" t="str">
        <f>IFERROR(__xludf.DUMMYFUNCTION("""COMPUTED_VALUE"""),"")</f>
        <v/>
      </c>
      <c r="K237" s="49"/>
      <c r="L237" s="49" t="s">
        <v>255</v>
      </c>
      <c r="M237" s="49"/>
      <c r="N237" s="49"/>
      <c r="O237" s="49"/>
      <c r="P237" s="49"/>
      <c r="Q237" s="49"/>
      <c r="R237" s="49"/>
      <c r="S237" s="49"/>
      <c r="T237" s="49"/>
    </row>
    <row r="238">
      <c r="A238" s="49"/>
      <c r="B238" s="49"/>
      <c r="C238" s="51"/>
      <c r="D238" s="49"/>
      <c r="E238" s="49"/>
      <c r="F238" s="49"/>
      <c r="G238" s="49" t="str">
        <f>IFERROR(__xludf.DUMMYFUNCTION("""COMPUTED_VALUE"""),"#VALUE!")</f>
        <v>#VALUE!</v>
      </c>
      <c r="H238" s="49" t="str">
        <f>IFERROR(__xludf.DUMMYFUNCTION("""COMPUTED_VALUE"""),"")</f>
        <v/>
      </c>
      <c r="I238" s="49" t="str">
        <f>IFERROR(__xludf.DUMMYFUNCTION("""COMPUTED_VALUE"""),"#VALUE!")</f>
        <v>#VALUE!</v>
      </c>
      <c r="J238" s="49" t="str">
        <f>IFERROR(__xludf.DUMMYFUNCTION("""COMPUTED_VALUE"""),"")</f>
        <v/>
      </c>
      <c r="K238" s="49"/>
      <c r="L238" s="49" t="s">
        <v>255</v>
      </c>
      <c r="M238" s="49"/>
      <c r="N238" s="49"/>
      <c r="O238" s="49"/>
      <c r="P238" s="49"/>
      <c r="Q238" s="49"/>
      <c r="R238" s="49"/>
      <c r="S238" s="49"/>
      <c r="T238" s="49"/>
    </row>
    <row r="239">
      <c r="A239" s="49"/>
      <c r="B239" s="49"/>
      <c r="C239" s="51"/>
      <c r="D239" s="49"/>
      <c r="E239" s="49"/>
      <c r="F239" s="49"/>
      <c r="G239" s="49" t="str">
        <f>IFERROR(__xludf.DUMMYFUNCTION("""COMPUTED_VALUE"""),"#VALUE!")</f>
        <v>#VALUE!</v>
      </c>
      <c r="H239" s="49" t="str">
        <f>IFERROR(__xludf.DUMMYFUNCTION("""COMPUTED_VALUE"""),"")</f>
        <v/>
      </c>
      <c r="I239" s="49" t="str">
        <f>IFERROR(__xludf.DUMMYFUNCTION("""COMPUTED_VALUE"""),"#VALUE!")</f>
        <v>#VALUE!</v>
      </c>
      <c r="J239" s="49" t="str">
        <f>IFERROR(__xludf.DUMMYFUNCTION("""COMPUTED_VALUE"""),"")</f>
        <v/>
      </c>
      <c r="K239" s="49"/>
      <c r="L239" s="49" t="s">
        <v>255</v>
      </c>
      <c r="M239" s="49"/>
      <c r="N239" s="49"/>
      <c r="O239" s="49"/>
      <c r="P239" s="49"/>
      <c r="Q239" s="49"/>
      <c r="R239" s="49"/>
      <c r="S239" s="49"/>
      <c r="T239" s="49"/>
    </row>
    <row r="240">
      <c r="A240" s="49"/>
      <c r="B240" s="49"/>
      <c r="C240" s="51"/>
      <c r="D240" s="49"/>
      <c r="E240" s="49"/>
      <c r="F240" s="49"/>
      <c r="G240" s="49" t="str">
        <f>IFERROR(__xludf.DUMMYFUNCTION("""COMPUTED_VALUE"""),"#VALUE!")</f>
        <v>#VALUE!</v>
      </c>
      <c r="H240" s="49" t="str">
        <f>IFERROR(__xludf.DUMMYFUNCTION("""COMPUTED_VALUE"""),"")</f>
        <v/>
      </c>
      <c r="I240" s="49" t="str">
        <f>IFERROR(__xludf.DUMMYFUNCTION("""COMPUTED_VALUE"""),"#VALUE!")</f>
        <v>#VALUE!</v>
      </c>
      <c r="J240" s="49" t="str">
        <f>IFERROR(__xludf.DUMMYFUNCTION("""COMPUTED_VALUE"""),"")</f>
        <v/>
      </c>
      <c r="K240" s="49"/>
      <c r="L240" s="49" t="s">
        <v>255</v>
      </c>
      <c r="M240" s="49"/>
      <c r="N240" s="49"/>
      <c r="O240" s="49"/>
      <c r="P240" s="49"/>
      <c r="Q240" s="49"/>
      <c r="R240" s="49"/>
      <c r="S240" s="49"/>
      <c r="T240" s="49"/>
    </row>
    <row r="241">
      <c r="A241" s="49"/>
      <c r="B241" s="49"/>
      <c r="C241" s="51"/>
      <c r="D241" s="49"/>
      <c r="E241" s="49"/>
      <c r="F241" s="49"/>
      <c r="G241" s="49" t="str">
        <f>IFERROR(__xludf.DUMMYFUNCTION("""COMPUTED_VALUE"""),"#VALUE!")</f>
        <v>#VALUE!</v>
      </c>
      <c r="H241" s="49" t="str">
        <f>IFERROR(__xludf.DUMMYFUNCTION("""COMPUTED_VALUE"""),"")</f>
        <v/>
      </c>
      <c r="I241" s="49" t="str">
        <f>IFERROR(__xludf.DUMMYFUNCTION("""COMPUTED_VALUE"""),"#VALUE!")</f>
        <v>#VALUE!</v>
      </c>
      <c r="J241" s="49" t="str">
        <f>IFERROR(__xludf.DUMMYFUNCTION("""COMPUTED_VALUE"""),"")</f>
        <v/>
      </c>
      <c r="K241" s="49"/>
      <c r="L241" s="49" t="s">
        <v>255</v>
      </c>
      <c r="M241" s="49"/>
      <c r="N241" s="49"/>
      <c r="O241" s="49"/>
      <c r="P241" s="49"/>
      <c r="Q241" s="49"/>
      <c r="R241" s="49"/>
      <c r="S241" s="49"/>
      <c r="T241" s="49"/>
    </row>
    <row r="242">
      <c r="A242" s="49"/>
      <c r="B242" s="49"/>
      <c r="C242" s="51"/>
      <c r="D242" s="49"/>
      <c r="E242" s="49"/>
      <c r="F242" s="49"/>
      <c r="G242" s="49" t="str">
        <f>IFERROR(__xludf.DUMMYFUNCTION("""COMPUTED_VALUE"""),"#VALUE!")</f>
        <v>#VALUE!</v>
      </c>
      <c r="H242" s="49" t="str">
        <f>IFERROR(__xludf.DUMMYFUNCTION("""COMPUTED_VALUE"""),"")</f>
        <v/>
      </c>
      <c r="I242" s="49" t="str">
        <f>IFERROR(__xludf.DUMMYFUNCTION("""COMPUTED_VALUE"""),"#VALUE!")</f>
        <v>#VALUE!</v>
      </c>
      <c r="J242" s="49" t="str">
        <f>IFERROR(__xludf.DUMMYFUNCTION("""COMPUTED_VALUE"""),"")</f>
        <v/>
      </c>
      <c r="K242" s="49"/>
      <c r="L242" s="49" t="s">
        <v>255</v>
      </c>
      <c r="M242" s="49"/>
      <c r="N242" s="49"/>
      <c r="O242" s="49"/>
      <c r="P242" s="49"/>
      <c r="Q242" s="49"/>
      <c r="R242" s="49"/>
      <c r="S242" s="49"/>
      <c r="T242" s="49"/>
    </row>
    <row r="243">
      <c r="A243" s="49"/>
      <c r="B243" s="49"/>
      <c r="C243" s="51"/>
      <c r="D243" s="49"/>
      <c r="E243" s="49"/>
      <c r="F243" s="49"/>
      <c r="G243" s="49" t="str">
        <f>IFERROR(__xludf.DUMMYFUNCTION("""COMPUTED_VALUE"""),"#VALUE!")</f>
        <v>#VALUE!</v>
      </c>
      <c r="H243" s="49" t="str">
        <f>IFERROR(__xludf.DUMMYFUNCTION("""COMPUTED_VALUE"""),"")</f>
        <v/>
      </c>
      <c r="I243" s="49" t="str">
        <f>IFERROR(__xludf.DUMMYFUNCTION("""COMPUTED_VALUE"""),"#VALUE!")</f>
        <v>#VALUE!</v>
      </c>
      <c r="J243" s="49" t="str">
        <f>IFERROR(__xludf.DUMMYFUNCTION("""COMPUTED_VALUE"""),"")</f>
        <v/>
      </c>
      <c r="K243" s="49"/>
      <c r="L243" s="49" t="s">
        <v>255</v>
      </c>
      <c r="M243" s="49"/>
      <c r="N243" s="49"/>
      <c r="O243" s="49"/>
      <c r="P243" s="49"/>
      <c r="Q243" s="49"/>
      <c r="R243" s="49"/>
      <c r="S243" s="49"/>
      <c r="T243" s="49"/>
    </row>
    <row r="244">
      <c r="A244" s="49"/>
      <c r="B244" s="49"/>
      <c r="C244" s="51"/>
      <c r="D244" s="49"/>
      <c r="E244" s="49"/>
      <c r="F244" s="49"/>
      <c r="G244" s="49" t="str">
        <f>IFERROR(__xludf.DUMMYFUNCTION("""COMPUTED_VALUE"""),"#VALUE!")</f>
        <v>#VALUE!</v>
      </c>
      <c r="H244" s="49" t="str">
        <f>IFERROR(__xludf.DUMMYFUNCTION("""COMPUTED_VALUE"""),"")</f>
        <v/>
      </c>
      <c r="I244" s="49" t="str">
        <f>IFERROR(__xludf.DUMMYFUNCTION("""COMPUTED_VALUE"""),"#VALUE!")</f>
        <v>#VALUE!</v>
      </c>
      <c r="J244" s="49" t="str">
        <f>IFERROR(__xludf.DUMMYFUNCTION("""COMPUTED_VALUE"""),"")</f>
        <v/>
      </c>
      <c r="K244" s="49"/>
      <c r="L244" s="49" t="s">
        <v>255</v>
      </c>
      <c r="M244" s="49"/>
      <c r="N244" s="49"/>
      <c r="O244" s="49"/>
      <c r="P244" s="49"/>
      <c r="Q244" s="49"/>
      <c r="R244" s="49"/>
      <c r="S244" s="49"/>
      <c r="T244" s="49"/>
    </row>
    <row r="245">
      <c r="A245" s="49"/>
      <c r="B245" s="49"/>
      <c r="C245" s="51"/>
      <c r="D245" s="49"/>
      <c r="E245" s="49"/>
      <c r="F245" s="49"/>
      <c r="G245" s="49" t="str">
        <f>IFERROR(__xludf.DUMMYFUNCTION("""COMPUTED_VALUE"""),"#VALUE!")</f>
        <v>#VALUE!</v>
      </c>
      <c r="H245" s="49" t="str">
        <f>IFERROR(__xludf.DUMMYFUNCTION("""COMPUTED_VALUE"""),"")</f>
        <v/>
      </c>
      <c r="I245" s="49" t="str">
        <f>IFERROR(__xludf.DUMMYFUNCTION("""COMPUTED_VALUE"""),"#VALUE!")</f>
        <v>#VALUE!</v>
      </c>
      <c r="J245" s="49" t="str">
        <f>IFERROR(__xludf.DUMMYFUNCTION("""COMPUTED_VALUE"""),"")</f>
        <v/>
      </c>
      <c r="K245" s="49"/>
      <c r="L245" s="49" t="s">
        <v>255</v>
      </c>
      <c r="M245" s="49"/>
      <c r="N245" s="49"/>
      <c r="O245" s="49"/>
      <c r="P245" s="49"/>
      <c r="Q245" s="49"/>
      <c r="R245" s="49"/>
      <c r="S245" s="49"/>
      <c r="T245" s="49"/>
    </row>
    <row r="246">
      <c r="A246" s="49"/>
      <c r="B246" s="49"/>
      <c r="C246" s="51"/>
      <c r="D246" s="49"/>
      <c r="E246" s="49"/>
      <c r="F246" s="49"/>
      <c r="G246" s="49" t="str">
        <f>IFERROR(__xludf.DUMMYFUNCTION("""COMPUTED_VALUE"""),"#VALUE!")</f>
        <v>#VALUE!</v>
      </c>
      <c r="H246" s="49" t="str">
        <f>IFERROR(__xludf.DUMMYFUNCTION("""COMPUTED_VALUE"""),"")</f>
        <v/>
      </c>
      <c r="I246" s="49" t="str">
        <f>IFERROR(__xludf.DUMMYFUNCTION("""COMPUTED_VALUE"""),"#VALUE!")</f>
        <v>#VALUE!</v>
      </c>
      <c r="J246" s="49" t="str">
        <f>IFERROR(__xludf.DUMMYFUNCTION("""COMPUTED_VALUE"""),"")</f>
        <v/>
      </c>
      <c r="K246" s="49"/>
      <c r="L246" s="49" t="s">
        <v>255</v>
      </c>
      <c r="M246" s="49"/>
      <c r="N246" s="49"/>
      <c r="O246" s="49"/>
      <c r="P246" s="49"/>
      <c r="Q246" s="49"/>
      <c r="R246" s="49"/>
      <c r="S246" s="49"/>
      <c r="T246" s="49"/>
    </row>
    <row r="247">
      <c r="A247" s="49"/>
      <c r="B247" s="49"/>
      <c r="C247" s="51"/>
      <c r="D247" s="49"/>
      <c r="E247" s="49"/>
      <c r="F247" s="49"/>
      <c r="G247" s="49" t="str">
        <f>IFERROR(__xludf.DUMMYFUNCTION("""COMPUTED_VALUE"""),"#VALUE!")</f>
        <v>#VALUE!</v>
      </c>
      <c r="H247" s="49" t="str">
        <f>IFERROR(__xludf.DUMMYFUNCTION("""COMPUTED_VALUE"""),"")</f>
        <v/>
      </c>
      <c r="I247" s="49" t="str">
        <f>IFERROR(__xludf.DUMMYFUNCTION("""COMPUTED_VALUE"""),"#VALUE!")</f>
        <v>#VALUE!</v>
      </c>
      <c r="J247" s="49" t="str">
        <f>IFERROR(__xludf.DUMMYFUNCTION("""COMPUTED_VALUE"""),"")</f>
        <v/>
      </c>
      <c r="K247" s="49"/>
      <c r="L247" s="49" t="s">
        <v>255</v>
      </c>
      <c r="M247" s="49"/>
      <c r="N247" s="49"/>
      <c r="O247" s="49"/>
      <c r="P247" s="49"/>
      <c r="Q247" s="49"/>
      <c r="R247" s="49"/>
      <c r="S247" s="49"/>
      <c r="T247" s="49"/>
    </row>
    <row r="248">
      <c r="A248" s="49"/>
      <c r="B248" s="49"/>
      <c r="C248" s="51"/>
      <c r="D248" s="49"/>
      <c r="E248" s="49"/>
      <c r="F248" s="49"/>
      <c r="G248" s="49" t="str">
        <f>IFERROR(__xludf.DUMMYFUNCTION("""COMPUTED_VALUE"""),"#VALUE!")</f>
        <v>#VALUE!</v>
      </c>
      <c r="H248" s="49" t="str">
        <f>IFERROR(__xludf.DUMMYFUNCTION("""COMPUTED_VALUE"""),"")</f>
        <v/>
      </c>
      <c r="I248" s="49" t="str">
        <f>IFERROR(__xludf.DUMMYFUNCTION("""COMPUTED_VALUE"""),"#VALUE!")</f>
        <v>#VALUE!</v>
      </c>
      <c r="J248" s="49" t="str">
        <f>IFERROR(__xludf.DUMMYFUNCTION("""COMPUTED_VALUE"""),"")</f>
        <v/>
      </c>
      <c r="K248" s="49"/>
      <c r="L248" s="49" t="s">
        <v>255</v>
      </c>
      <c r="M248" s="49"/>
      <c r="N248" s="49"/>
      <c r="O248" s="49"/>
      <c r="P248" s="49"/>
      <c r="Q248" s="49"/>
      <c r="R248" s="49"/>
      <c r="S248" s="49"/>
      <c r="T248" s="49"/>
    </row>
    <row r="249">
      <c r="A249" s="49"/>
      <c r="B249" s="49"/>
      <c r="C249" s="51"/>
      <c r="D249" s="49"/>
      <c r="E249" s="49"/>
      <c r="F249" s="49"/>
      <c r="G249" s="49" t="str">
        <f>IFERROR(__xludf.DUMMYFUNCTION("""COMPUTED_VALUE"""),"#VALUE!")</f>
        <v>#VALUE!</v>
      </c>
      <c r="H249" s="49" t="str">
        <f>IFERROR(__xludf.DUMMYFUNCTION("""COMPUTED_VALUE"""),"")</f>
        <v/>
      </c>
      <c r="I249" s="49" t="str">
        <f>IFERROR(__xludf.DUMMYFUNCTION("""COMPUTED_VALUE"""),"#VALUE!")</f>
        <v>#VALUE!</v>
      </c>
      <c r="J249" s="49" t="str">
        <f>IFERROR(__xludf.DUMMYFUNCTION("""COMPUTED_VALUE"""),"")</f>
        <v/>
      </c>
      <c r="K249" s="49"/>
      <c r="L249" s="49" t="s">
        <v>255</v>
      </c>
      <c r="M249" s="49"/>
      <c r="N249" s="49"/>
      <c r="O249" s="49"/>
      <c r="P249" s="49"/>
      <c r="Q249" s="49"/>
      <c r="R249" s="49"/>
      <c r="S249" s="49"/>
      <c r="T249" s="49"/>
    </row>
    <row r="250">
      <c r="A250" s="49"/>
      <c r="B250" s="49"/>
      <c r="C250" s="51"/>
      <c r="D250" s="49"/>
      <c r="E250" s="49"/>
      <c r="F250" s="49"/>
      <c r="G250" s="49" t="str">
        <f>IFERROR(__xludf.DUMMYFUNCTION("""COMPUTED_VALUE"""),"#VALUE!")</f>
        <v>#VALUE!</v>
      </c>
      <c r="H250" s="49" t="str">
        <f>IFERROR(__xludf.DUMMYFUNCTION("""COMPUTED_VALUE"""),"")</f>
        <v/>
      </c>
      <c r="I250" s="49" t="str">
        <f>IFERROR(__xludf.DUMMYFUNCTION("""COMPUTED_VALUE"""),"#VALUE!")</f>
        <v>#VALUE!</v>
      </c>
      <c r="J250" s="49" t="str">
        <f>IFERROR(__xludf.DUMMYFUNCTION("""COMPUTED_VALUE"""),"")</f>
        <v/>
      </c>
      <c r="K250" s="49"/>
      <c r="L250" s="49" t="s">
        <v>255</v>
      </c>
      <c r="M250" s="49"/>
      <c r="N250" s="49"/>
      <c r="O250" s="49"/>
      <c r="P250" s="49"/>
      <c r="Q250" s="49"/>
      <c r="R250" s="49"/>
      <c r="S250" s="49"/>
      <c r="T250" s="49"/>
    </row>
    <row r="251">
      <c r="A251" s="49"/>
      <c r="B251" s="49"/>
      <c r="C251" s="51"/>
      <c r="D251" s="49"/>
      <c r="E251" s="49"/>
      <c r="F251" s="49"/>
      <c r="G251" s="49" t="str">
        <f>IFERROR(__xludf.DUMMYFUNCTION("""COMPUTED_VALUE"""),"#VALUE!")</f>
        <v>#VALUE!</v>
      </c>
      <c r="H251" s="49" t="str">
        <f>IFERROR(__xludf.DUMMYFUNCTION("""COMPUTED_VALUE"""),"")</f>
        <v/>
      </c>
      <c r="I251" s="49" t="str">
        <f>IFERROR(__xludf.DUMMYFUNCTION("""COMPUTED_VALUE"""),"#VALUE!")</f>
        <v>#VALUE!</v>
      </c>
      <c r="J251" s="49" t="str">
        <f>IFERROR(__xludf.DUMMYFUNCTION("""COMPUTED_VALUE"""),"")</f>
        <v/>
      </c>
      <c r="K251" s="49"/>
      <c r="L251" s="49" t="s">
        <v>255</v>
      </c>
      <c r="M251" s="49"/>
      <c r="N251" s="49"/>
      <c r="O251" s="49"/>
      <c r="P251" s="49"/>
      <c r="Q251" s="49"/>
      <c r="R251" s="49"/>
      <c r="S251" s="49"/>
      <c r="T251" s="49"/>
    </row>
    <row r="252">
      <c r="A252" s="49"/>
      <c r="B252" s="49"/>
      <c r="C252" s="51"/>
      <c r="D252" s="49"/>
      <c r="E252" s="49"/>
      <c r="F252" s="49"/>
      <c r="G252" s="49" t="str">
        <f>IFERROR(__xludf.DUMMYFUNCTION("""COMPUTED_VALUE"""),"#VALUE!")</f>
        <v>#VALUE!</v>
      </c>
      <c r="H252" s="49" t="str">
        <f>IFERROR(__xludf.DUMMYFUNCTION("""COMPUTED_VALUE"""),"")</f>
        <v/>
      </c>
      <c r="I252" s="49" t="str">
        <f>IFERROR(__xludf.DUMMYFUNCTION("""COMPUTED_VALUE"""),"#VALUE!")</f>
        <v>#VALUE!</v>
      </c>
      <c r="J252" s="49" t="str">
        <f>IFERROR(__xludf.DUMMYFUNCTION("""COMPUTED_VALUE"""),"")</f>
        <v/>
      </c>
      <c r="K252" s="49"/>
      <c r="L252" s="49" t="s">
        <v>255</v>
      </c>
      <c r="M252" s="49"/>
      <c r="N252" s="49"/>
      <c r="O252" s="49"/>
      <c r="P252" s="49"/>
      <c r="Q252" s="49"/>
      <c r="R252" s="49"/>
      <c r="S252" s="49"/>
      <c r="T252" s="49"/>
    </row>
    <row r="253">
      <c r="A253" s="49"/>
      <c r="B253" s="49"/>
      <c r="C253" s="51"/>
      <c r="D253" s="49"/>
      <c r="E253" s="49"/>
      <c r="F253" s="49"/>
      <c r="G253" s="49" t="str">
        <f>IFERROR(__xludf.DUMMYFUNCTION("""COMPUTED_VALUE"""),"#VALUE!")</f>
        <v>#VALUE!</v>
      </c>
      <c r="H253" s="49" t="str">
        <f>IFERROR(__xludf.DUMMYFUNCTION("""COMPUTED_VALUE"""),"")</f>
        <v/>
      </c>
      <c r="I253" s="49" t="str">
        <f>IFERROR(__xludf.DUMMYFUNCTION("""COMPUTED_VALUE"""),"#VALUE!")</f>
        <v>#VALUE!</v>
      </c>
      <c r="J253" s="49" t="str">
        <f>IFERROR(__xludf.DUMMYFUNCTION("""COMPUTED_VALUE"""),"")</f>
        <v/>
      </c>
      <c r="K253" s="49"/>
      <c r="L253" s="49" t="s">
        <v>255</v>
      </c>
      <c r="M253" s="49"/>
      <c r="N253" s="49"/>
      <c r="O253" s="49"/>
      <c r="P253" s="49"/>
      <c r="Q253" s="49"/>
      <c r="R253" s="49"/>
      <c r="S253" s="49"/>
      <c r="T253" s="49"/>
    </row>
    <row r="254">
      <c r="A254" s="49"/>
      <c r="B254" s="49"/>
      <c r="C254" s="51"/>
      <c r="D254" s="49"/>
      <c r="E254" s="49"/>
      <c r="F254" s="49"/>
      <c r="G254" s="49" t="str">
        <f>IFERROR(__xludf.DUMMYFUNCTION("""COMPUTED_VALUE"""),"#VALUE!")</f>
        <v>#VALUE!</v>
      </c>
      <c r="H254" s="49" t="str">
        <f>IFERROR(__xludf.DUMMYFUNCTION("""COMPUTED_VALUE"""),"")</f>
        <v/>
      </c>
      <c r="I254" s="49" t="str">
        <f>IFERROR(__xludf.DUMMYFUNCTION("""COMPUTED_VALUE"""),"#VALUE!")</f>
        <v>#VALUE!</v>
      </c>
      <c r="J254" s="49" t="str">
        <f>IFERROR(__xludf.DUMMYFUNCTION("""COMPUTED_VALUE"""),"")</f>
        <v/>
      </c>
      <c r="K254" s="49"/>
      <c r="L254" s="49" t="s">
        <v>255</v>
      </c>
      <c r="M254" s="49"/>
      <c r="N254" s="49"/>
      <c r="O254" s="49"/>
      <c r="P254" s="49"/>
      <c r="Q254" s="49"/>
      <c r="R254" s="49"/>
      <c r="S254" s="49"/>
      <c r="T254" s="49"/>
    </row>
    <row r="255">
      <c r="A255" s="49"/>
      <c r="B255" s="49"/>
      <c r="C255" s="51"/>
      <c r="D255" s="49"/>
      <c r="E255" s="49"/>
      <c r="F255" s="49"/>
      <c r="G255" s="49" t="str">
        <f>IFERROR(__xludf.DUMMYFUNCTION("""COMPUTED_VALUE"""),"#VALUE!")</f>
        <v>#VALUE!</v>
      </c>
      <c r="H255" s="49" t="str">
        <f>IFERROR(__xludf.DUMMYFUNCTION("""COMPUTED_VALUE"""),"")</f>
        <v/>
      </c>
      <c r="I255" s="49" t="str">
        <f>IFERROR(__xludf.DUMMYFUNCTION("""COMPUTED_VALUE"""),"#VALUE!")</f>
        <v>#VALUE!</v>
      </c>
      <c r="J255" s="49" t="str">
        <f>IFERROR(__xludf.DUMMYFUNCTION("""COMPUTED_VALUE"""),"")</f>
        <v/>
      </c>
      <c r="K255" s="49"/>
      <c r="L255" s="49" t="s">
        <v>255</v>
      </c>
      <c r="M255" s="49"/>
      <c r="N255" s="49"/>
      <c r="O255" s="49"/>
      <c r="P255" s="49"/>
      <c r="Q255" s="49"/>
      <c r="R255" s="49"/>
      <c r="S255" s="49"/>
      <c r="T255" s="49"/>
    </row>
    <row r="256">
      <c r="A256" s="49"/>
      <c r="B256" s="49"/>
      <c r="C256" s="51"/>
      <c r="D256" s="49"/>
      <c r="E256" s="49"/>
      <c r="F256" s="49"/>
      <c r="G256" s="49" t="str">
        <f>IFERROR(__xludf.DUMMYFUNCTION("""COMPUTED_VALUE"""),"#VALUE!")</f>
        <v>#VALUE!</v>
      </c>
      <c r="H256" s="49" t="str">
        <f>IFERROR(__xludf.DUMMYFUNCTION("""COMPUTED_VALUE"""),"")</f>
        <v/>
      </c>
      <c r="I256" s="49" t="str">
        <f>IFERROR(__xludf.DUMMYFUNCTION("""COMPUTED_VALUE"""),"#VALUE!")</f>
        <v>#VALUE!</v>
      </c>
      <c r="J256" s="49" t="str">
        <f>IFERROR(__xludf.DUMMYFUNCTION("""COMPUTED_VALUE"""),"")</f>
        <v/>
      </c>
      <c r="K256" s="49"/>
      <c r="L256" s="49" t="s">
        <v>255</v>
      </c>
      <c r="M256" s="49"/>
      <c r="N256" s="49"/>
      <c r="O256" s="49"/>
      <c r="P256" s="49"/>
      <c r="Q256" s="49"/>
      <c r="R256" s="49"/>
      <c r="S256" s="49"/>
      <c r="T256" s="49"/>
    </row>
    <row r="257">
      <c r="A257" s="49"/>
      <c r="B257" s="49"/>
      <c r="C257" s="51"/>
      <c r="D257" s="49"/>
      <c r="E257" s="49"/>
      <c r="F257" s="49"/>
      <c r="G257" s="49" t="str">
        <f>IFERROR(__xludf.DUMMYFUNCTION("""COMPUTED_VALUE"""),"#VALUE!")</f>
        <v>#VALUE!</v>
      </c>
      <c r="H257" s="49" t="str">
        <f>IFERROR(__xludf.DUMMYFUNCTION("""COMPUTED_VALUE"""),"")</f>
        <v/>
      </c>
      <c r="I257" s="49" t="str">
        <f>IFERROR(__xludf.DUMMYFUNCTION("""COMPUTED_VALUE"""),"#VALUE!")</f>
        <v>#VALUE!</v>
      </c>
      <c r="J257" s="49" t="str">
        <f>IFERROR(__xludf.DUMMYFUNCTION("""COMPUTED_VALUE"""),"")</f>
        <v/>
      </c>
      <c r="K257" s="49"/>
      <c r="L257" s="49" t="s">
        <v>255</v>
      </c>
      <c r="M257" s="49"/>
      <c r="N257" s="49"/>
      <c r="O257" s="49"/>
      <c r="P257" s="49"/>
      <c r="Q257" s="49"/>
      <c r="R257" s="49"/>
      <c r="S257" s="49"/>
      <c r="T257" s="49"/>
    </row>
    <row r="258">
      <c r="A258" s="49"/>
      <c r="B258" s="49"/>
      <c r="C258" s="51"/>
      <c r="D258" s="49"/>
      <c r="E258" s="49"/>
      <c r="F258" s="49"/>
      <c r="G258" s="49" t="str">
        <f>IFERROR(__xludf.DUMMYFUNCTION("""COMPUTED_VALUE"""),"#VALUE!")</f>
        <v>#VALUE!</v>
      </c>
      <c r="H258" s="49" t="str">
        <f>IFERROR(__xludf.DUMMYFUNCTION("""COMPUTED_VALUE"""),"")</f>
        <v/>
      </c>
      <c r="I258" s="49" t="str">
        <f>IFERROR(__xludf.DUMMYFUNCTION("""COMPUTED_VALUE"""),"#VALUE!")</f>
        <v>#VALUE!</v>
      </c>
      <c r="J258" s="49" t="str">
        <f>IFERROR(__xludf.DUMMYFUNCTION("""COMPUTED_VALUE"""),"")</f>
        <v/>
      </c>
      <c r="K258" s="49"/>
      <c r="L258" s="49" t="s">
        <v>255</v>
      </c>
      <c r="M258" s="49"/>
      <c r="N258" s="49"/>
      <c r="O258" s="49"/>
      <c r="P258" s="49"/>
      <c r="Q258" s="49"/>
      <c r="R258" s="49"/>
      <c r="S258" s="49"/>
      <c r="T258" s="49"/>
    </row>
    <row r="259">
      <c r="A259" s="49"/>
      <c r="B259" s="49"/>
      <c r="C259" s="51"/>
      <c r="D259" s="49"/>
      <c r="E259" s="49"/>
      <c r="F259" s="49"/>
      <c r="G259" s="49" t="str">
        <f>IFERROR(__xludf.DUMMYFUNCTION("""COMPUTED_VALUE"""),"#VALUE!")</f>
        <v>#VALUE!</v>
      </c>
      <c r="H259" s="49" t="str">
        <f>IFERROR(__xludf.DUMMYFUNCTION("""COMPUTED_VALUE"""),"")</f>
        <v/>
      </c>
      <c r="I259" s="49" t="str">
        <f>IFERROR(__xludf.DUMMYFUNCTION("""COMPUTED_VALUE"""),"#VALUE!")</f>
        <v>#VALUE!</v>
      </c>
      <c r="J259" s="49" t="str">
        <f>IFERROR(__xludf.DUMMYFUNCTION("""COMPUTED_VALUE"""),"")</f>
        <v/>
      </c>
      <c r="K259" s="49"/>
      <c r="L259" s="49" t="s">
        <v>255</v>
      </c>
      <c r="M259" s="49"/>
      <c r="N259" s="49"/>
      <c r="O259" s="49"/>
      <c r="P259" s="49"/>
      <c r="Q259" s="49"/>
      <c r="R259" s="49"/>
      <c r="S259" s="49"/>
      <c r="T259" s="49"/>
    </row>
    <row r="260">
      <c r="A260" s="49"/>
      <c r="B260" s="49"/>
      <c r="C260" s="51"/>
      <c r="D260" s="49"/>
      <c r="E260" s="49"/>
      <c r="F260" s="49"/>
      <c r="G260" s="49" t="str">
        <f>IFERROR(__xludf.DUMMYFUNCTION("""COMPUTED_VALUE"""),"#VALUE!")</f>
        <v>#VALUE!</v>
      </c>
      <c r="H260" s="49" t="str">
        <f>IFERROR(__xludf.DUMMYFUNCTION("""COMPUTED_VALUE"""),"")</f>
        <v/>
      </c>
      <c r="I260" s="49" t="str">
        <f>IFERROR(__xludf.DUMMYFUNCTION("""COMPUTED_VALUE"""),"#VALUE!")</f>
        <v>#VALUE!</v>
      </c>
      <c r="J260" s="49" t="str">
        <f>IFERROR(__xludf.DUMMYFUNCTION("""COMPUTED_VALUE"""),"")</f>
        <v/>
      </c>
      <c r="K260" s="49"/>
      <c r="L260" s="49" t="s">
        <v>255</v>
      </c>
      <c r="M260" s="49"/>
      <c r="N260" s="49"/>
      <c r="O260" s="49"/>
      <c r="P260" s="49"/>
      <c r="Q260" s="49"/>
      <c r="R260" s="49"/>
      <c r="S260" s="49"/>
      <c r="T260" s="49"/>
    </row>
    <row r="261">
      <c r="A261" s="49"/>
      <c r="B261" s="49"/>
      <c r="C261" s="51"/>
      <c r="D261" s="49"/>
      <c r="E261" s="49"/>
      <c r="F261" s="49"/>
      <c r="G261" s="49" t="str">
        <f>IFERROR(__xludf.DUMMYFUNCTION("""COMPUTED_VALUE"""),"#VALUE!")</f>
        <v>#VALUE!</v>
      </c>
      <c r="H261" s="49" t="str">
        <f>IFERROR(__xludf.DUMMYFUNCTION("""COMPUTED_VALUE"""),"")</f>
        <v/>
      </c>
      <c r="I261" s="49" t="str">
        <f>IFERROR(__xludf.DUMMYFUNCTION("""COMPUTED_VALUE"""),"#VALUE!")</f>
        <v>#VALUE!</v>
      </c>
      <c r="J261" s="49" t="str">
        <f>IFERROR(__xludf.DUMMYFUNCTION("""COMPUTED_VALUE"""),"")</f>
        <v/>
      </c>
      <c r="K261" s="49"/>
      <c r="L261" s="49" t="s">
        <v>255</v>
      </c>
      <c r="M261" s="49"/>
      <c r="N261" s="49"/>
      <c r="O261" s="49"/>
      <c r="P261" s="49"/>
      <c r="Q261" s="49"/>
      <c r="R261" s="49"/>
      <c r="S261" s="49"/>
      <c r="T261" s="49"/>
    </row>
    <row r="262">
      <c r="A262" s="49"/>
      <c r="B262" s="49"/>
      <c r="C262" s="51"/>
      <c r="D262" s="49"/>
      <c r="E262" s="49"/>
      <c r="F262" s="49"/>
      <c r="G262" s="49" t="str">
        <f>IFERROR(__xludf.DUMMYFUNCTION("""COMPUTED_VALUE"""),"#VALUE!")</f>
        <v>#VALUE!</v>
      </c>
      <c r="H262" s="49" t="str">
        <f>IFERROR(__xludf.DUMMYFUNCTION("""COMPUTED_VALUE"""),"")</f>
        <v/>
      </c>
      <c r="I262" s="49" t="str">
        <f>IFERROR(__xludf.DUMMYFUNCTION("""COMPUTED_VALUE"""),"#VALUE!")</f>
        <v>#VALUE!</v>
      </c>
      <c r="J262" s="49" t="str">
        <f>IFERROR(__xludf.DUMMYFUNCTION("""COMPUTED_VALUE"""),"")</f>
        <v/>
      </c>
      <c r="K262" s="49"/>
      <c r="L262" s="49" t="s">
        <v>255</v>
      </c>
      <c r="M262" s="49"/>
      <c r="N262" s="49"/>
      <c r="O262" s="49"/>
      <c r="P262" s="49"/>
      <c r="Q262" s="49"/>
      <c r="R262" s="49"/>
      <c r="S262" s="49"/>
      <c r="T262" s="49"/>
    </row>
    <row r="263">
      <c r="A263" s="49"/>
      <c r="B263" s="49"/>
      <c r="C263" s="51"/>
      <c r="D263" s="49"/>
      <c r="E263" s="49"/>
      <c r="F263" s="49"/>
      <c r="G263" s="49" t="str">
        <f>IFERROR(__xludf.DUMMYFUNCTION("""COMPUTED_VALUE"""),"#VALUE!")</f>
        <v>#VALUE!</v>
      </c>
      <c r="H263" s="49" t="str">
        <f>IFERROR(__xludf.DUMMYFUNCTION("""COMPUTED_VALUE"""),"")</f>
        <v/>
      </c>
      <c r="I263" s="49" t="str">
        <f>IFERROR(__xludf.DUMMYFUNCTION("""COMPUTED_VALUE"""),"#VALUE!")</f>
        <v>#VALUE!</v>
      </c>
      <c r="J263" s="49" t="str">
        <f>IFERROR(__xludf.DUMMYFUNCTION("""COMPUTED_VALUE"""),"")</f>
        <v/>
      </c>
      <c r="K263" s="49"/>
      <c r="L263" s="49" t="s">
        <v>255</v>
      </c>
      <c r="M263" s="49"/>
      <c r="N263" s="49"/>
      <c r="O263" s="49"/>
      <c r="P263" s="49"/>
      <c r="Q263" s="49"/>
      <c r="R263" s="49"/>
      <c r="S263" s="49"/>
      <c r="T263" s="49"/>
    </row>
    <row r="264">
      <c r="A264" s="49"/>
      <c r="B264" s="49"/>
      <c r="C264" s="51"/>
      <c r="D264" s="49"/>
      <c r="E264" s="49"/>
      <c r="F264" s="49"/>
      <c r="G264" s="49" t="str">
        <f>IFERROR(__xludf.DUMMYFUNCTION("""COMPUTED_VALUE"""),"#VALUE!")</f>
        <v>#VALUE!</v>
      </c>
      <c r="H264" s="49" t="str">
        <f>IFERROR(__xludf.DUMMYFUNCTION("""COMPUTED_VALUE"""),"")</f>
        <v/>
      </c>
      <c r="I264" s="49" t="str">
        <f>IFERROR(__xludf.DUMMYFUNCTION("""COMPUTED_VALUE"""),"#VALUE!")</f>
        <v>#VALUE!</v>
      </c>
      <c r="J264" s="49" t="str">
        <f>IFERROR(__xludf.DUMMYFUNCTION("""COMPUTED_VALUE"""),"")</f>
        <v/>
      </c>
      <c r="K264" s="49"/>
      <c r="L264" s="49" t="s">
        <v>255</v>
      </c>
      <c r="M264" s="49"/>
      <c r="N264" s="49"/>
      <c r="O264" s="49"/>
      <c r="P264" s="49"/>
      <c r="Q264" s="49"/>
      <c r="R264" s="49"/>
      <c r="S264" s="49"/>
      <c r="T264" s="49"/>
    </row>
    <row r="265">
      <c r="A265" s="49"/>
      <c r="B265" s="49"/>
      <c r="C265" s="51"/>
      <c r="D265" s="49"/>
      <c r="E265" s="49"/>
      <c r="F265" s="49"/>
      <c r="G265" s="49" t="str">
        <f>IFERROR(__xludf.DUMMYFUNCTION("""COMPUTED_VALUE"""),"#VALUE!")</f>
        <v>#VALUE!</v>
      </c>
      <c r="H265" s="49" t="str">
        <f>IFERROR(__xludf.DUMMYFUNCTION("""COMPUTED_VALUE"""),"")</f>
        <v/>
      </c>
      <c r="I265" s="49" t="str">
        <f>IFERROR(__xludf.DUMMYFUNCTION("""COMPUTED_VALUE"""),"#VALUE!")</f>
        <v>#VALUE!</v>
      </c>
      <c r="J265" s="49" t="str">
        <f>IFERROR(__xludf.DUMMYFUNCTION("""COMPUTED_VALUE"""),"")</f>
        <v/>
      </c>
      <c r="K265" s="49"/>
      <c r="L265" s="49" t="s">
        <v>255</v>
      </c>
      <c r="M265" s="49"/>
      <c r="N265" s="49"/>
      <c r="O265" s="49"/>
      <c r="P265" s="49"/>
      <c r="Q265" s="49"/>
      <c r="R265" s="49"/>
      <c r="S265" s="49"/>
      <c r="T265" s="49"/>
    </row>
    <row r="266">
      <c r="A266" s="49"/>
      <c r="B266" s="49"/>
      <c r="C266" s="51"/>
      <c r="D266" s="49"/>
      <c r="E266" s="49"/>
      <c r="F266" s="49"/>
      <c r="G266" s="49" t="str">
        <f>IFERROR(__xludf.DUMMYFUNCTION("""COMPUTED_VALUE"""),"#VALUE!")</f>
        <v>#VALUE!</v>
      </c>
      <c r="H266" s="49" t="str">
        <f>IFERROR(__xludf.DUMMYFUNCTION("""COMPUTED_VALUE"""),"")</f>
        <v/>
      </c>
      <c r="I266" s="49" t="str">
        <f>IFERROR(__xludf.DUMMYFUNCTION("""COMPUTED_VALUE"""),"#VALUE!")</f>
        <v>#VALUE!</v>
      </c>
      <c r="J266" s="49" t="str">
        <f>IFERROR(__xludf.DUMMYFUNCTION("""COMPUTED_VALUE"""),"")</f>
        <v/>
      </c>
      <c r="K266" s="49"/>
      <c r="L266" s="49" t="s">
        <v>255</v>
      </c>
      <c r="M266" s="49"/>
      <c r="N266" s="49"/>
      <c r="O266" s="49"/>
      <c r="P266" s="49"/>
      <c r="Q266" s="49"/>
      <c r="R266" s="49"/>
      <c r="S266" s="49"/>
      <c r="T266" s="49"/>
    </row>
    <row r="267">
      <c r="A267" s="49"/>
      <c r="B267" s="49"/>
      <c r="C267" s="51"/>
      <c r="D267" s="49"/>
      <c r="E267" s="49"/>
      <c r="F267" s="49"/>
      <c r="G267" s="49" t="str">
        <f>IFERROR(__xludf.DUMMYFUNCTION("""COMPUTED_VALUE"""),"#VALUE!")</f>
        <v>#VALUE!</v>
      </c>
      <c r="H267" s="49" t="str">
        <f>IFERROR(__xludf.DUMMYFUNCTION("""COMPUTED_VALUE"""),"")</f>
        <v/>
      </c>
      <c r="I267" s="49" t="str">
        <f>IFERROR(__xludf.DUMMYFUNCTION("""COMPUTED_VALUE"""),"#VALUE!")</f>
        <v>#VALUE!</v>
      </c>
      <c r="J267" s="49" t="str">
        <f>IFERROR(__xludf.DUMMYFUNCTION("""COMPUTED_VALUE"""),"")</f>
        <v/>
      </c>
      <c r="K267" s="49"/>
      <c r="L267" s="49" t="s">
        <v>255</v>
      </c>
      <c r="M267" s="49"/>
      <c r="N267" s="49"/>
      <c r="O267" s="49"/>
      <c r="P267" s="49"/>
      <c r="Q267" s="49"/>
      <c r="R267" s="49"/>
      <c r="S267" s="49"/>
      <c r="T267" s="49"/>
    </row>
    <row r="268">
      <c r="A268" s="49"/>
      <c r="B268" s="49"/>
      <c r="C268" s="51"/>
      <c r="D268" s="49"/>
      <c r="E268" s="49"/>
      <c r="F268" s="49"/>
      <c r="G268" s="49" t="str">
        <f>IFERROR(__xludf.DUMMYFUNCTION("""COMPUTED_VALUE"""),"#VALUE!")</f>
        <v>#VALUE!</v>
      </c>
      <c r="H268" s="49" t="str">
        <f>IFERROR(__xludf.DUMMYFUNCTION("""COMPUTED_VALUE"""),"")</f>
        <v/>
      </c>
      <c r="I268" s="49" t="str">
        <f>IFERROR(__xludf.DUMMYFUNCTION("""COMPUTED_VALUE"""),"#VALUE!")</f>
        <v>#VALUE!</v>
      </c>
      <c r="J268" s="49" t="str">
        <f>IFERROR(__xludf.DUMMYFUNCTION("""COMPUTED_VALUE"""),"")</f>
        <v/>
      </c>
      <c r="K268" s="49"/>
      <c r="L268" s="49" t="s">
        <v>255</v>
      </c>
      <c r="M268" s="49"/>
      <c r="N268" s="49"/>
      <c r="O268" s="49"/>
      <c r="P268" s="49"/>
      <c r="Q268" s="49"/>
      <c r="R268" s="49"/>
      <c r="S268" s="49"/>
      <c r="T268" s="49"/>
    </row>
    <row r="269">
      <c r="A269" s="49"/>
      <c r="B269" s="49"/>
      <c r="C269" s="51"/>
      <c r="D269" s="49"/>
      <c r="E269" s="49"/>
      <c r="F269" s="49"/>
      <c r="G269" s="49" t="str">
        <f>IFERROR(__xludf.DUMMYFUNCTION("""COMPUTED_VALUE"""),"#VALUE!")</f>
        <v>#VALUE!</v>
      </c>
      <c r="H269" s="49" t="str">
        <f>IFERROR(__xludf.DUMMYFUNCTION("""COMPUTED_VALUE"""),"")</f>
        <v/>
      </c>
      <c r="I269" s="49" t="str">
        <f>IFERROR(__xludf.DUMMYFUNCTION("""COMPUTED_VALUE"""),"#VALUE!")</f>
        <v>#VALUE!</v>
      </c>
      <c r="J269" s="49" t="str">
        <f>IFERROR(__xludf.DUMMYFUNCTION("""COMPUTED_VALUE"""),"")</f>
        <v/>
      </c>
      <c r="K269" s="49"/>
      <c r="L269" s="49" t="s">
        <v>255</v>
      </c>
      <c r="M269" s="49"/>
      <c r="N269" s="49"/>
      <c r="O269" s="49"/>
      <c r="P269" s="49"/>
      <c r="Q269" s="49"/>
      <c r="R269" s="49"/>
      <c r="S269" s="49"/>
      <c r="T269" s="49"/>
    </row>
    <row r="270">
      <c r="A270" s="49"/>
      <c r="B270" s="49"/>
      <c r="C270" s="51"/>
      <c r="D270" s="49"/>
      <c r="E270" s="49"/>
      <c r="F270" s="49"/>
      <c r="G270" s="49" t="str">
        <f>IFERROR(__xludf.DUMMYFUNCTION("""COMPUTED_VALUE"""),"#VALUE!")</f>
        <v>#VALUE!</v>
      </c>
      <c r="H270" s="49" t="str">
        <f>IFERROR(__xludf.DUMMYFUNCTION("""COMPUTED_VALUE"""),"")</f>
        <v/>
      </c>
      <c r="I270" s="49" t="str">
        <f>IFERROR(__xludf.DUMMYFUNCTION("""COMPUTED_VALUE"""),"#VALUE!")</f>
        <v>#VALUE!</v>
      </c>
      <c r="J270" s="49" t="str">
        <f>IFERROR(__xludf.DUMMYFUNCTION("""COMPUTED_VALUE"""),"")</f>
        <v/>
      </c>
      <c r="K270" s="49"/>
      <c r="L270" s="49" t="s">
        <v>255</v>
      </c>
      <c r="M270" s="49"/>
      <c r="N270" s="49"/>
      <c r="O270" s="49"/>
      <c r="P270" s="49"/>
      <c r="Q270" s="49"/>
      <c r="R270" s="49"/>
      <c r="S270" s="49"/>
      <c r="T270" s="49"/>
    </row>
    <row r="271">
      <c r="A271" s="49"/>
      <c r="B271" s="49"/>
      <c r="C271" s="51"/>
      <c r="D271" s="49"/>
      <c r="E271" s="49"/>
      <c r="F271" s="49"/>
      <c r="G271" s="49" t="str">
        <f>IFERROR(__xludf.DUMMYFUNCTION("""COMPUTED_VALUE"""),"#VALUE!")</f>
        <v>#VALUE!</v>
      </c>
      <c r="H271" s="49" t="str">
        <f>IFERROR(__xludf.DUMMYFUNCTION("""COMPUTED_VALUE"""),"")</f>
        <v/>
      </c>
      <c r="I271" s="49" t="str">
        <f>IFERROR(__xludf.DUMMYFUNCTION("""COMPUTED_VALUE"""),"#VALUE!")</f>
        <v>#VALUE!</v>
      </c>
      <c r="J271" s="49" t="str">
        <f>IFERROR(__xludf.DUMMYFUNCTION("""COMPUTED_VALUE"""),"")</f>
        <v/>
      </c>
      <c r="K271" s="49"/>
      <c r="L271" s="49" t="s">
        <v>255</v>
      </c>
      <c r="M271" s="49"/>
      <c r="N271" s="49"/>
      <c r="O271" s="49"/>
      <c r="P271" s="49"/>
      <c r="Q271" s="49"/>
      <c r="R271" s="49"/>
      <c r="S271" s="49"/>
      <c r="T271" s="49"/>
    </row>
    <row r="272">
      <c r="A272" s="49"/>
      <c r="B272" s="49"/>
      <c r="C272" s="51"/>
      <c r="D272" s="49"/>
      <c r="E272" s="49"/>
      <c r="F272" s="49"/>
      <c r="G272" s="49" t="str">
        <f>IFERROR(__xludf.DUMMYFUNCTION("""COMPUTED_VALUE"""),"#VALUE!")</f>
        <v>#VALUE!</v>
      </c>
      <c r="H272" s="49" t="str">
        <f>IFERROR(__xludf.DUMMYFUNCTION("""COMPUTED_VALUE"""),"")</f>
        <v/>
      </c>
      <c r="I272" s="49" t="str">
        <f>IFERROR(__xludf.DUMMYFUNCTION("""COMPUTED_VALUE"""),"#VALUE!")</f>
        <v>#VALUE!</v>
      </c>
      <c r="J272" s="49" t="str">
        <f>IFERROR(__xludf.DUMMYFUNCTION("""COMPUTED_VALUE"""),"")</f>
        <v/>
      </c>
      <c r="K272" s="49"/>
      <c r="L272" s="49" t="s">
        <v>255</v>
      </c>
      <c r="M272" s="49"/>
      <c r="N272" s="49"/>
      <c r="O272" s="49"/>
      <c r="P272" s="49"/>
      <c r="Q272" s="49"/>
      <c r="R272" s="49"/>
      <c r="S272" s="49"/>
      <c r="T272" s="49"/>
    </row>
    <row r="273">
      <c r="A273" s="49"/>
      <c r="B273" s="49"/>
      <c r="C273" s="51"/>
      <c r="D273" s="49"/>
      <c r="E273" s="49"/>
      <c r="F273" s="49"/>
      <c r="G273" s="49" t="str">
        <f>IFERROR(__xludf.DUMMYFUNCTION("""COMPUTED_VALUE"""),"#VALUE!")</f>
        <v>#VALUE!</v>
      </c>
      <c r="H273" s="49" t="str">
        <f>IFERROR(__xludf.DUMMYFUNCTION("""COMPUTED_VALUE"""),"")</f>
        <v/>
      </c>
      <c r="I273" s="49" t="str">
        <f>IFERROR(__xludf.DUMMYFUNCTION("""COMPUTED_VALUE"""),"#VALUE!")</f>
        <v>#VALUE!</v>
      </c>
      <c r="J273" s="49" t="str">
        <f>IFERROR(__xludf.DUMMYFUNCTION("""COMPUTED_VALUE"""),"")</f>
        <v/>
      </c>
      <c r="K273" s="49"/>
      <c r="L273" s="49" t="s">
        <v>255</v>
      </c>
      <c r="M273" s="49"/>
      <c r="N273" s="49"/>
      <c r="O273" s="49"/>
      <c r="P273" s="49"/>
      <c r="Q273" s="49"/>
      <c r="R273" s="49"/>
      <c r="S273" s="49"/>
      <c r="T273" s="49"/>
    </row>
    <row r="274">
      <c r="A274" s="49"/>
      <c r="B274" s="49"/>
      <c r="C274" s="51"/>
      <c r="D274" s="49"/>
      <c r="E274" s="49"/>
      <c r="F274" s="49"/>
      <c r="G274" s="49" t="str">
        <f>IFERROR(__xludf.DUMMYFUNCTION("""COMPUTED_VALUE"""),"#VALUE!")</f>
        <v>#VALUE!</v>
      </c>
      <c r="H274" s="49" t="str">
        <f>IFERROR(__xludf.DUMMYFUNCTION("""COMPUTED_VALUE"""),"")</f>
        <v/>
      </c>
      <c r="I274" s="49" t="str">
        <f>IFERROR(__xludf.DUMMYFUNCTION("""COMPUTED_VALUE"""),"#VALUE!")</f>
        <v>#VALUE!</v>
      </c>
      <c r="J274" s="49" t="str">
        <f>IFERROR(__xludf.DUMMYFUNCTION("""COMPUTED_VALUE"""),"")</f>
        <v/>
      </c>
      <c r="K274" s="49"/>
      <c r="L274" s="49" t="s">
        <v>255</v>
      </c>
      <c r="M274" s="49"/>
      <c r="N274" s="49"/>
      <c r="O274" s="49"/>
      <c r="P274" s="49"/>
      <c r="Q274" s="49"/>
      <c r="R274" s="49"/>
      <c r="S274" s="49"/>
      <c r="T274" s="49"/>
    </row>
    <row r="275">
      <c r="A275" s="49"/>
      <c r="B275" s="49"/>
      <c r="C275" s="51"/>
      <c r="D275" s="49"/>
      <c r="E275" s="49"/>
      <c r="F275" s="49"/>
      <c r="G275" s="49" t="str">
        <f>IFERROR(__xludf.DUMMYFUNCTION("""COMPUTED_VALUE"""),"#VALUE!")</f>
        <v>#VALUE!</v>
      </c>
      <c r="H275" s="49" t="str">
        <f>IFERROR(__xludf.DUMMYFUNCTION("""COMPUTED_VALUE"""),"")</f>
        <v/>
      </c>
      <c r="I275" s="49" t="str">
        <f>IFERROR(__xludf.DUMMYFUNCTION("""COMPUTED_VALUE"""),"#VALUE!")</f>
        <v>#VALUE!</v>
      </c>
      <c r="J275" s="49" t="str">
        <f>IFERROR(__xludf.DUMMYFUNCTION("""COMPUTED_VALUE"""),"")</f>
        <v/>
      </c>
      <c r="K275" s="49"/>
      <c r="L275" s="49" t="s">
        <v>255</v>
      </c>
      <c r="M275" s="49"/>
      <c r="N275" s="49"/>
      <c r="O275" s="49"/>
      <c r="P275" s="49"/>
      <c r="Q275" s="49"/>
      <c r="R275" s="49"/>
      <c r="S275" s="49"/>
      <c r="T275" s="49"/>
    </row>
    <row r="276">
      <c r="A276" s="49"/>
      <c r="B276" s="49"/>
      <c r="C276" s="51"/>
      <c r="D276" s="49"/>
      <c r="E276" s="49"/>
      <c r="F276" s="49"/>
      <c r="G276" s="49" t="str">
        <f>IFERROR(__xludf.DUMMYFUNCTION("""COMPUTED_VALUE"""),"#VALUE!")</f>
        <v>#VALUE!</v>
      </c>
      <c r="H276" s="49" t="str">
        <f>IFERROR(__xludf.DUMMYFUNCTION("""COMPUTED_VALUE"""),"")</f>
        <v/>
      </c>
      <c r="I276" s="49" t="str">
        <f>IFERROR(__xludf.DUMMYFUNCTION("""COMPUTED_VALUE"""),"#VALUE!")</f>
        <v>#VALUE!</v>
      </c>
      <c r="J276" s="49" t="str">
        <f>IFERROR(__xludf.DUMMYFUNCTION("""COMPUTED_VALUE"""),"")</f>
        <v/>
      </c>
      <c r="K276" s="49"/>
      <c r="L276" s="49" t="s">
        <v>255</v>
      </c>
      <c r="M276" s="49"/>
      <c r="N276" s="49"/>
      <c r="O276" s="49"/>
      <c r="P276" s="49"/>
      <c r="Q276" s="49"/>
      <c r="R276" s="49"/>
      <c r="S276" s="49"/>
      <c r="T276" s="49"/>
    </row>
    <row r="277">
      <c r="A277" s="49"/>
      <c r="B277" s="49"/>
      <c r="C277" s="51"/>
      <c r="D277" s="49"/>
      <c r="E277" s="49"/>
      <c r="F277" s="49"/>
      <c r="G277" s="49" t="str">
        <f>IFERROR(__xludf.DUMMYFUNCTION("""COMPUTED_VALUE"""),"#VALUE!")</f>
        <v>#VALUE!</v>
      </c>
      <c r="H277" s="49" t="str">
        <f>IFERROR(__xludf.DUMMYFUNCTION("""COMPUTED_VALUE"""),"")</f>
        <v/>
      </c>
      <c r="I277" s="49" t="str">
        <f>IFERROR(__xludf.DUMMYFUNCTION("""COMPUTED_VALUE"""),"#VALUE!")</f>
        <v>#VALUE!</v>
      </c>
      <c r="J277" s="49" t="str">
        <f>IFERROR(__xludf.DUMMYFUNCTION("""COMPUTED_VALUE"""),"")</f>
        <v/>
      </c>
      <c r="K277" s="49"/>
      <c r="L277" s="49" t="s">
        <v>255</v>
      </c>
      <c r="M277" s="49"/>
      <c r="N277" s="49"/>
      <c r="O277" s="49"/>
      <c r="P277" s="49"/>
      <c r="Q277" s="49"/>
      <c r="R277" s="49"/>
      <c r="S277" s="49"/>
      <c r="T277" s="49"/>
    </row>
    <row r="278">
      <c r="A278" s="49"/>
      <c r="B278" s="49"/>
      <c r="C278" s="51"/>
      <c r="D278" s="49"/>
      <c r="E278" s="49"/>
      <c r="F278" s="49"/>
      <c r="G278" s="49" t="str">
        <f>IFERROR(__xludf.DUMMYFUNCTION("""COMPUTED_VALUE"""),"#VALUE!")</f>
        <v>#VALUE!</v>
      </c>
      <c r="H278" s="49" t="str">
        <f>IFERROR(__xludf.DUMMYFUNCTION("""COMPUTED_VALUE"""),"")</f>
        <v/>
      </c>
      <c r="I278" s="49" t="str">
        <f>IFERROR(__xludf.DUMMYFUNCTION("""COMPUTED_VALUE"""),"#VALUE!")</f>
        <v>#VALUE!</v>
      </c>
      <c r="J278" s="49" t="str">
        <f>IFERROR(__xludf.DUMMYFUNCTION("""COMPUTED_VALUE"""),"")</f>
        <v/>
      </c>
      <c r="K278" s="49"/>
      <c r="L278" s="49" t="s">
        <v>255</v>
      </c>
      <c r="M278" s="49"/>
      <c r="N278" s="49"/>
      <c r="O278" s="49"/>
      <c r="P278" s="49"/>
      <c r="Q278" s="49"/>
      <c r="R278" s="49"/>
      <c r="S278" s="49"/>
      <c r="T278" s="49"/>
    </row>
    <row r="279">
      <c r="A279" s="49"/>
      <c r="B279" s="49"/>
      <c r="C279" s="51"/>
      <c r="D279" s="49"/>
      <c r="E279" s="49"/>
      <c r="F279" s="49"/>
      <c r="G279" s="49" t="str">
        <f>IFERROR(__xludf.DUMMYFUNCTION("""COMPUTED_VALUE"""),"#VALUE!")</f>
        <v>#VALUE!</v>
      </c>
      <c r="H279" s="49" t="str">
        <f>IFERROR(__xludf.DUMMYFUNCTION("""COMPUTED_VALUE"""),"")</f>
        <v/>
      </c>
      <c r="I279" s="49" t="str">
        <f>IFERROR(__xludf.DUMMYFUNCTION("""COMPUTED_VALUE"""),"#VALUE!")</f>
        <v>#VALUE!</v>
      </c>
      <c r="J279" s="49" t="str">
        <f>IFERROR(__xludf.DUMMYFUNCTION("""COMPUTED_VALUE"""),"")</f>
        <v/>
      </c>
      <c r="K279" s="49"/>
      <c r="L279" s="49" t="s">
        <v>255</v>
      </c>
      <c r="M279" s="49"/>
      <c r="N279" s="49"/>
      <c r="O279" s="49"/>
      <c r="P279" s="49"/>
      <c r="Q279" s="49"/>
      <c r="R279" s="49"/>
      <c r="S279" s="49"/>
      <c r="T279" s="49"/>
    </row>
    <row r="280">
      <c r="A280" s="49"/>
      <c r="B280" s="49"/>
      <c r="C280" s="51"/>
      <c r="D280" s="49"/>
      <c r="E280" s="49"/>
      <c r="F280" s="49"/>
      <c r="G280" s="49" t="str">
        <f>IFERROR(__xludf.DUMMYFUNCTION("""COMPUTED_VALUE"""),"#VALUE!")</f>
        <v>#VALUE!</v>
      </c>
      <c r="H280" s="49" t="str">
        <f>IFERROR(__xludf.DUMMYFUNCTION("""COMPUTED_VALUE"""),"")</f>
        <v/>
      </c>
      <c r="I280" s="49" t="str">
        <f>IFERROR(__xludf.DUMMYFUNCTION("""COMPUTED_VALUE"""),"#VALUE!")</f>
        <v>#VALUE!</v>
      </c>
      <c r="J280" s="49" t="str">
        <f>IFERROR(__xludf.DUMMYFUNCTION("""COMPUTED_VALUE"""),"")</f>
        <v/>
      </c>
      <c r="K280" s="49"/>
      <c r="L280" s="49" t="s">
        <v>255</v>
      </c>
      <c r="M280" s="49"/>
      <c r="N280" s="49"/>
      <c r="O280" s="49"/>
      <c r="P280" s="49"/>
      <c r="Q280" s="49"/>
      <c r="R280" s="49"/>
      <c r="S280" s="49"/>
      <c r="T280" s="49"/>
    </row>
    <row r="281">
      <c r="A281" s="49"/>
      <c r="B281" s="49"/>
      <c r="C281" s="51"/>
      <c r="D281" s="49"/>
      <c r="E281" s="49"/>
      <c r="F281" s="49"/>
      <c r="G281" s="49" t="str">
        <f>IFERROR(__xludf.DUMMYFUNCTION("""COMPUTED_VALUE"""),"#VALUE!")</f>
        <v>#VALUE!</v>
      </c>
      <c r="H281" s="49" t="str">
        <f>IFERROR(__xludf.DUMMYFUNCTION("""COMPUTED_VALUE"""),"")</f>
        <v/>
      </c>
      <c r="I281" s="49" t="str">
        <f>IFERROR(__xludf.DUMMYFUNCTION("""COMPUTED_VALUE"""),"#VALUE!")</f>
        <v>#VALUE!</v>
      </c>
      <c r="J281" s="49" t="str">
        <f>IFERROR(__xludf.DUMMYFUNCTION("""COMPUTED_VALUE"""),"")</f>
        <v/>
      </c>
      <c r="K281" s="49"/>
      <c r="L281" s="49" t="s">
        <v>255</v>
      </c>
      <c r="M281" s="49"/>
      <c r="N281" s="49"/>
      <c r="O281" s="49"/>
      <c r="P281" s="49"/>
      <c r="Q281" s="49"/>
      <c r="R281" s="49"/>
      <c r="S281" s="49"/>
      <c r="T281" s="49"/>
    </row>
    <row r="282">
      <c r="A282" s="49"/>
      <c r="B282" s="49"/>
      <c r="C282" s="51"/>
      <c r="D282" s="49"/>
      <c r="E282" s="49"/>
      <c r="F282" s="49"/>
      <c r="G282" s="49" t="str">
        <f>IFERROR(__xludf.DUMMYFUNCTION("""COMPUTED_VALUE"""),"#VALUE!")</f>
        <v>#VALUE!</v>
      </c>
      <c r="H282" s="49" t="str">
        <f>IFERROR(__xludf.DUMMYFUNCTION("""COMPUTED_VALUE"""),"")</f>
        <v/>
      </c>
      <c r="I282" s="49" t="str">
        <f>IFERROR(__xludf.DUMMYFUNCTION("""COMPUTED_VALUE"""),"#VALUE!")</f>
        <v>#VALUE!</v>
      </c>
      <c r="J282" s="49" t="str">
        <f>IFERROR(__xludf.DUMMYFUNCTION("""COMPUTED_VALUE"""),"")</f>
        <v/>
      </c>
      <c r="K282" s="49"/>
      <c r="L282" s="49" t="s">
        <v>255</v>
      </c>
      <c r="M282" s="49"/>
      <c r="N282" s="49"/>
      <c r="O282" s="49"/>
      <c r="P282" s="49"/>
      <c r="Q282" s="49"/>
      <c r="R282" s="49"/>
      <c r="S282" s="49"/>
      <c r="T282" s="49"/>
    </row>
    <row r="283">
      <c r="A283" s="49"/>
      <c r="B283" s="49"/>
      <c r="C283" s="51"/>
      <c r="D283" s="49"/>
      <c r="E283" s="49"/>
      <c r="F283" s="49"/>
      <c r="G283" s="49" t="str">
        <f>IFERROR(__xludf.DUMMYFUNCTION("""COMPUTED_VALUE"""),"#VALUE!")</f>
        <v>#VALUE!</v>
      </c>
      <c r="H283" s="49" t="str">
        <f>IFERROR(__xludf.DUMMYFUNCTION("""COMPUTED_VALUE"""),"")</f>
        <v/>
      </c>
      <c r="I283" s="49" t="str">
        <f>IFERROR(__xludf.DUMMYFUNCTION("""COMPUTED_VALUE"""),"#VALUE!")</f>
        <v>#VALUE!</v>
      </c>
      <c r="J283" s="49" t="str">
        <f>IFERROR(__xludf.DUMMYFUNCTION("""COMPUTED_VALUE"""),"")</f>
        <v/>
      </c>
      <c r="K283" s="49"/>
      <c r="L283" s="49" t="s">
        <v>255</v>
      </c>
      <c r="M283" s="49"/>
      <c r="N283" s="49"/>
      <c r="O283" s="49"/>
      <c r="P283" s="49"/>
      <c r="Q283" s="49"/>
      <c r="R283" s="49"/>
      <c r="S283" s="49"/>
      <c r="T283" s="49"/>
    </row>
    <row r="284">
      <c r="A284" s="49"/>
      <c r="B284" s="49"/>
      <c r="C284" s="51"/>
      <c r="D284" s="49"/>
      <c r="E284" s="49"/>
      <c r="F284" s="49"/>
      <c r="G284" s="49" t="str">
        <f>IFERROR(__xludf.DUMMYFUNCTION("""COMPUTED_VALUE"""),"#VALUE!")</f>
        <v>#VALUE!</v>
      </c>
      <c r="H284" s="49" t="str">
        <f>IFERROR(__xludf.DUMMYFUNCTION("""COMPUTED_VALUE"""),"")</f>
        <v/>
      </c>
      <c r="I284" s="49" t="str">
        <f>IFERROR(__xludf.DUMMYFUNCTION("""COMPUTED_VALUE"""),"#VALUE!")</f>
        <v>#VALUE!</v>
      </c>
      <c r="J284" s="49" t="str">
        <f>IFERROR(__xludf.DUMMYFUNCTION("""COMPUTED_VALUE"""),"")</f>
        <v/>
      </c>
      <c r="K284" s="49"/>
      <c r="L284" s="49" t="s">
        <v>255</v>
      </c>
      <c r="M284" s="49"/>
      <c r="N284" s="49"/>
      <c r="O284" s="49"/>
      <c r="P284" s="49"/>
      <c r="Q284" s="49"/>
      <c r="R284" s="49"/>
      <c r="S284" s="49"/>
      <c r="T284" s="49"/>
    </row>
    <row r="285">
      <c r="A285" s="49"/>
      <c r="B285" s="49"/>
      <c r="C285" s="51"/>
      <c r="D285" s="49"/>
      <c r="E285" s="49"/>
      <c r="F285" s="49"/>
      <c r="G285" s="49" t="str">
        <f>IFERROR(__xludf.DUMMYFUNCTION("""COMPUTED_VALUE"""),"#VALUE!")</f>
        <v>#VALUE!</v>
      </c>
      <c r="H285" s="49" t="str">
        <f>IFERROR(__xludf.DUMMYFUNCTION("""COMPUTED_VALUE"""),"")</f>
        <v/>
      </c>
      <c r="I285" s="49" t="str">
        <f>IFERROR(__xludf.DUMMYFUNCTION("""COMPUTED_VALUE"""),"#VALUE!")</f>
        <v>#VALUE!</v>
      </c>
      <c r="J285" s="49" t="str">
        <f>IFERROR(__xludf.DUMMYFUNCTION("""COMPUTED_VALUE"""),"")</f>
        <v/>
      </c>
      <c r="K285" s="49"/>
      <c r="L285" s="49" t="s">
        <v>255</v>
      </c>
      <c r="M285" s="49"/>
      <c r="N285" s="49"/>
      <c r="O285" s="49"/>
      <c r="P285" s="49"/>
      <c r="Q285" s="49"/>
      <c r="R285" s="49"/>
      <c r="S285" s="49"/>
      <c r="T285" s="49"/>
    </row>
    <row r="286">
      <c r="A286" s="49"/>
      <c r="B286" s="49"/>
      <c r="C286" s="51"/>
      <c r="D286" s="49"/>
      <c r="E286" s="49"/>
      <c r="F286" s="49"/>
      <c r="G286" s="49" t="str">
        <f>IFERROR(__xludf.DUMMYFUNCTION("""COMPUTED_VALUE"""),"#VALUE!")</f>
        <v>#VALUE!</v>
      </c>
      <c r="H286" s="49" t="str">
        <f>IFERROR(__xludf.DUMMYFUNCTION("""COMPUTED_VALUE"""),"")</f>
        <v/>
      </c>
      <c r="I286" s="49" t="str">
        <f>IFERROR(__xludf.DUMMYFUNCTION("""COMPUTED_VALUE"""),"#VALUE!")</f>
        <v>#VALUE!</v>
      </c>
      <c r="J286" s="49" t="str">
        <f>IFERROR(__xludf.DUMMYFUNCTION("""COMPUTED_VALUE"""),"")</f>
        <v/>
      </c>
      <c r="K286" s="49"/>
      <c r="L286" s="49" t="s">
        <v>255</v>
      </c>
      <c r="M286" s="49"/>
      <c r="N286" s="49"/>
      <c r="O286" s="49"/>
      <c r="P286" s="49"/>
      <c r="Q286" s="49"/>
      <c r="R286" s="49"/>
      <c r="S286" s="49"/>
      <c r="T286" s="49"/>
    </row>
    <row r="287">
      <c r="A287" s="49"/>
      <c r="B287" s="49"/>
      <c r="C287" s="51"/>
      <c r="D287" s="49"/>
      <c r="E287" s="49"/>
      <c r="F287" s="49"/>
      <c r="G287" s="49" t="str">
        <f>IFERROR(__xludf.DUMMYFUNCTION("""COMPUTED_VALUE"""),"#VALUE!")</f>
        <v>#VALUE!</v>
      </c>
      <c r="H287" s="49" t="str">
        <f>IFERROR(__xludf.DUMMYFUNCTION("""COMPUTED_VALUE"""),"")</f>
        <v/>
      </c>
      <c r="I287" s="49" t="str">
        <f>IFERROR(__xludf.DUMMYFUNCTION("""COMPUTED_VALUE"""),"#VALUE!")</f>
        <v>#VALUE!</v>
      </c>
      <c r="J287" s="49" t="str">
        <f>IFERROR(__xludf.DUMMYFUNCTION("""COMPUTED_VALUE"""),"")</f>
        <v/>
      </c>
      <c r="K287" s="49"/>
      <c r="L287" s="49" t="s">
        <v>255</v>
      </c>
      <c r="M287" s="49"/>
      <c r="N287" s="49"/>
      <c r="O287" s="49"/>
      <c r="P287" s="49"/>
      <c r="Q287" s="49"/>
      <c r="R287" s="49"/>
      <c r="S287" s="49"/>
      <c r="T287" s="49"/>
    </row>
    <row r="288">
      <c r="A288" s="49"/>
      <c r="B288" s="49"/>
      <c r="C288" s="51"/>
      <c r="D288" s="49"/>
      <c r="E288" s="49"/>
      <c r="F288" s="49"/>
      <c r="G288" s="49" t="str">
        <f>IFERROR(__xludf.DUMMYFUNCTION("""COMPUTED_VALUE"""),"#VALUE!")</f>
        <v>#VALUE!</v>
      </c>
      <c r="H288" s="49" t="str">
        <f>IFERROR(__xludf.DUMMYFUNCTION("""COMPUTED_VALUE"""),"")</f>
        <v/>
      </c>
      <c r="I288" s="49" t="str">
        <f>IFERROR(__xludf.DUMMYFUNCTION("""COMPUTED_VALUE"""),"#VALUE!")</f>
        <v>#VALUE!</v>
      </c>
      <c r="J288" s="49" t="str">
        <f>IFERROR(__xludf.DUMMYFUNCTION("""COMPUTED_VALUE"""),"")</f>
        <v/>
      </c>
      <c r="K288" s="49"/>
      <c r="L288" s="49" t="s">
        <v>255</v>
      </c>
      <c r="M288" s="49"/>
      <c r="N288" s="49"/>
      <c r="O288" s="49"/>
      <c r="P288" s="49"/>
      <c r="Q288" s="49"/>
      <c r="R288" s="49"/>
      <c r="S288" s="49"/>
      <c r="T288" s="49"/>
    </row>
    <row r="289">
      <c r="A289" s="49"/>
      <c r="B289" s="49"/>
      <c r="C289" s="51"/>
      <c r="D289" s="49"/>
      <c r="E289" s="49"/>
      <c r="F289" s="49"/>
      <c r="G289" s="49" t="str">
        <f>IFERROR(__xludf.DUMMYFUNCTION("""COMPUTED_VALUE"""),"#VALUE!")</f>
        <v>#VALUE!</v>
      </c>
      <c r="H289" s="49" t="str">
        <f>IFERROR(__xludf.DUMMYFUNCTION("""COMPUTED_VALUE"""),"")</f>
        <v/>
      </c>
      <c r="I289" s="49" t="str">
        <f>IFERROR(__xludf.DUMMYFUNCTION("""COMPUTED_VALUE"""),"#VALUE!")</f>
        <v>#VALUE!</v>
      </c>
      <c r="J289" s="49" t="str">
        <f>IFERROR(__xludf.DUMMYFUNCTION("""COMPUTED_VALUE"""),"")</f>
        <v/>
      </c>
      <c r="K289" s="49"/>
      <c r="L289" s="49" t="s">
        <v>255</v>
      </c>
      <c r="M289" s="49"/>
      <c r="N289" s="49"/>
      <c r="O289" s="49"/>
      <c r="P289" s="49"/>
      <c r="Q289" s="49"/>
      <c r="R289" s="49"/>
      <c r="S289" s="49"/>
      <c r="T289" s="49"/>
    </row>
    <row r="290">
      <c r="A290" s="49"/>
      <c r="B290" s="49"/>
      <c r="C290" s="51"/>
      <c r="D290" s="49"/>
      <c r="E290" s="49"/>
      <c r="F290" s="49"/>
      <c r="G290" s="49" t="str">
        <f>IFERROR(__xludf.DUMMYFUNCTION("""COMPUTED_VALUE"""),"#VALUE!")</f>
        <v>#VALUE!</v>
      </c>
      <c r="H290" s="49" t="str">
        <f>IFERROR(__xludf.DUMMYFUNCTION("""COMPUTED_VALUE"""),"")</f>
        <v/>
      </c>
      <c r="I290" s="49" t="str">
        <f>IFERROR(__xludf.DUMMYFUNCTION("""COMPUTED_VALUE"""),"#VALUE!")</f>
        <v>#VALUE!</v>
      </c>
      <c r="J290" s="49" t="str">
        <f>IFERROR(__xludf.DUMMYFUNCTION("""COMPUTED_VALUE"""),"")</f>
        <v/>
      </c>
      <c r="K290" s="49"/>
      <c r="L290" s="49" t="s">
        <v>255</v>
      </c>
      <c r="M290" s="49"/>
      <c r="N290" s="49"/>
      <c r="O290" s="49"/>
      <c r="P290" s="49"/>
      <c r="Q290" s="49"/>
      <c r="R290" s="49"/>
      <c r="S290" s="49"/>
      <c r="T290" s="49"/>
    </row>
    <row r="291">
      <c r="A291" s="49"/>
      <c r="B291" s="49"/>
      <c r="C291" s="51"/>
      <c r="D291" s="49"/>
      <c r="E291" s="49"/>
      <c r="F291" s="49"/>
      <c r="G291" s="49" t="str">
        <f>IFERROR(__xludf.DUMMYFUNCTION("""COMPUTED_VALUE"""),"#VALUE!")</f>
        <v>#VALUE!</v>
      </c>
      <c r="H291" s="49" t="str">
        <f>IFERROR(__xludf.DUMMYFUNCTION("""COMPUTED_VALUE"""),"")</f>
        <v/>
      </c>
      <c r="I291" s="49" t="str">
        <f>IFERROR(__xludf.DUMMYFUNCTION("""COMPUTED_VALUE"""),"#VALUE!")</f>
        <v>#VALUE!</v>
      </c>
      <c r="J291" s="49" t="str">
        <f>IFERROR(__xludf.DUMMYFUNCTION("""COMPUTED_VALUE"""),"")</f>
        <v/>
      </c>
      <c r="K291" s="49"/>
      <c r="L291" s="49" t="s">
        <v>255</v>
      </c>
      <c r="M291" s="49"/>
      <c r="N291" s="49"/>
      <c r="O291" s="49"/>
      <c r="P291" s="49"/>
      <c r="Q291" s="49"/>
      <c r="R291" s="49"/>
      <c r="S291" s="49"/>
      <c r="T291" s="49"/>
    </row>
    <row r="292">
      <c r="A292" s="49"/>
      <c r="B292" s="49"/>
      <c r="C292" s="51"/>
      <c r="D292" s="49"/>
      <c r="E292" s="49"/>
      <c r="F292" s="49"/>
      <c r="G292" s="49" t="str">
        <f>IFERROR(__xludf.DUMMYFUNCTION("""COMPUTED_VALUE"""),"#VALUE!")</f>
        <v>#VALUE!</v>
      </c>
      <c r="H292" s="49" t="str">
        <f>IFERROR(__xludf.DUMMYFUNCTION("""COMPUTED_VALUE"""),"")</f>
        <v/>
      </c>
      <c r="I292" s="49" t="str">
        <f>IFERROR(__xludf.DUMMYFUNCTION("""COMPUTED_VALUE"""),"#VALUE!")</f>
        <v>#VALUE!</v>
      </c>
      <c r="J292" s="49" t="str">
        <f>IFERROR(__xludf.DUMMYFUNCTION("""COMPUTED_VALUE"""),"")</f>
        <v/>
      </c>
      <c r="K292" s="49"/>
      <c r="L292" s="49" t="s">
        <v>255</v>
      </c>
      <c r="M292" s="49"/>
      <c r="N292" s="49"/>
      <c r="O292" s="49"/>
      <c r="P292" s="49"/>
      <c r="Q292" s="49"/>
      <c r="R292" s="49"/>
      <c r="S292" s="49"/>
      <c r="T292" s="49"/>
    </row>
    <row r="293">
      <c r="A293" s="49"/>
      <c r="B293" s="49"/>
      <c r="C293" s="51"/>
      <c r="D293" s="49"/>
      <c r="E293" s="49"/>
      <c r="F293" s="49"/>
      <c r="G293" s="49" t="str">
        <f>IFERROR(__xludf.DUMMYFUNCTION("""COMPUTED_VALUE"""),"#VALUE!")</f>
        <v>#VALUE!</v>
      </c>
      <c r="H293" s="49" t="str">
        <f>IFERROR(__xludf.DUMMYFUNCTION("""COMPUTED_VALUE"""),"")</f>
        <v/>
      </c>
      <c r="I293" s="49" t="str">
        <f>IFERROR(__xludf.DUMMYFUNCTION("""COMPUTED_VALUE"""),"#VALUE!")</f>
        <v>#VALUE!</v>
      </c>
      <c r="J293" s="49" t="str">
        <f>IFERROR(__xludf.DUMMYFUNCTION("""COMPUTED_VALUE"""),"")</f>
        <v/>
      </c>
      <c r="K293" s="49"/>
      <c r="L293" s="49" t="s">
        <v>255</v>
      </c>
      <c r="M293" s="49"/>
      <c r="N293" s="49"/>
      <c r="O293" s="49"/>
      <c r="P293" s="49"/>
      <c r="Q293" s="49"/>
      <c r="R293" s="49"/>
      <c r="S293" s="49"/>
      <c r="T293" s="49"/>
    </row>
    <row r="294">
      <c r="A294" s="49"/>
      <c r="B294" s="49"/>
      <c r="C294" s="51"/>
      <c r="D294" s="49"/>
      <c r="E294" s="49"/>
      <c r="F294" s="49"/>
      <c r="G294" s="49" t="str">
        <f>IFERROR(__xludf.DUMMYFUNCTION("""COMPUTED_VALUE"""),"#VALUE!")</f>
        <v>#VALUE!</v>
      </c>
      <c r="H294" s="49" t="str">
        <f>IFERROR(__xludf.DUMMYFUNCTION("""COMPUTED_VALUE"""),"")</f>
        <v/>
      </c>
      <c r="I294" s="49" t="str">
        <f>IFERROR(__xludf.DUMMYFUNCTION("""COMPUTED_VALUE"""),"#VALUE!")</f>
        <v>#VALUE!</v>
      </c>
      <c r="J294" s="49" t="str">
        <f>IFERROR(__xludf.DUMMYFUNCTION("""COMPUTED_VALUE"""),"")</f>
        <v/>
      </c>
      <c r="K294" s="49"/>
      <c r="L294" s="49" t="s">
        <v>255</v>
      </c>
      <c r="M294" s="49"/>
      <c r="N294" s="49"/>
      <c r="O294" s="49"/>
      <c r="P294" s="49"/>
      <c r="Q294" s="49"/>
      <c r="R294" s="49"/>
      <c r="S294" s="49"/>
      <c r="T294" s="49"/>
    </row>
    <row r="295">
      <c r="A295" s="49"/>
      <c r="B295" s="49"/>
      <c r="C295" s="51"/>
      <c r="D295" s="49"/>
      <c r="E295" s="49"/>
      <c r="F295" s="49"/>
      <c r="G295" s="49" t="str">
        <f>IFERROR(__xludf.DUMMYFUNCTION("""COMPUTED_VALUE"""),"#VALUE!")</f>
        <v>#VALUE!</v>
      </c>
      <c r="H295" s="49" t="str">
        <f>IFERROR(__xludf.DUMMYFUNCTION("""COMPUTED_VALUE"""),"")</f>
        <v/>
      </c>
      <c r="I295" s="49" t="str">
        <f>IFERROR(__xludf.DUMMYFUNCTION("""COMPUTED_VALUE"""),"#VALUE!")</f>
        <v>#VALUE!</v>
      </c>
      <c r="J295" s="49" t="str">
        <f>IFERROR(__xludf.DUMMYFUNCTION("""COMPUTED_VALUE"""),"")</f>
        <v/>
      </c>
      <c r="K295" s="49"/>
      <c r="L295" s="49" t="s">
        <v>255</v>
      </c>
      <c r="M295" s="49"/>
      <c r="N295" s="49"/>
      <c r="O295" s="49"/>
      <c r="P295" s="49"/>
      <c r="Q295" s="49"/>
      <c r="R295" s="49"/>
      <c r="S295" s="49"/>
      <c r="T295" s="49"/>
    </row>
    <row r="296">
      <c r="A296" s="49"/>
      <c r="B296" s="49"/>
      <c r="C296" s="51"/>
      <c r="D296" s="49"/>
      <c r="E296" s="49"/>
      <c r="F296" s="49"/>
      <c r="G296" s="49" t="str">
        <f>IFERROR(__xludf.DUMMYFUNCTION("""COMPUTED_VALUE"""),"#VALUE!")</f>
        <v>#VALUE!</v>
      </c>
      <c r="H296" s="49" t="str">
        <f>IFERROR(__xludf.DUMMYFUNCTION("""COMPUTED_VALUE"""),"")</f>
        <v/>
      </c>
      <c r="I296" s="49" t="str">
        <f>IFERROR(__xludf.DUMMYFUNCTION("""COMPUTED_VALUE"""),"#VALUE!")</f>
        <v>#VALUE!</v>
      </c>
      <c r="J296" s="49" t="str">
        <f>IFERROR(__xludf.DUMMYFUNCTION("""COMPUTED_VALUE"""),"")</f>
        <v/>
      </c>
      <c r="K296" s="49"/>
      <c r="L296" s="49" t="s">
        <v>255</v>
      </c>
      <c r="M296" s="49"/>
      <c r="N296" s="49"/>
      <c r="O296" s="49"/>
      <c r="P296" s="49"/>
      <c r="Q296" s="49"/>
      <c r="R296" s="49"/>
      <c r="S296" s="49"/>
      <c r="T296" s="49"/>
    </row>
    <row r="297">
      <c r="A297" s="49"/>
      <c r="B297" s="49"/>
      <c r="C297" s="51"/>
      <c r="D297" s="49"/>
      <c r="E297" s="49"/>
      <c r="F297" s="49"/>
      <c r="G297" s="49" t="str">
        <f>IFERROR(__xludf.DUMMYFUNCTION("""COMPUTED_VALUE"""),"#VALUE!")</f>
        <v>#VALUE!</v>
      </c>
      <c r="H297" s="49" t="str">
        <f>IFERROR(__xludf.DUMMYFUNCTION("""COMPUTED_VALUE"""),"")</f>
        <v/>
      </c>
      <c r="I297" s="49" t="str">
        <f>IFERROR(__xludf.DUMMYFUNCTION("""COMPUTED_VALUE"""),"#VALUE!")</f>
        <v>#VALUE!</v>
      </c>
      <c r="J297" s="49" t="str">
        <f>IFERROR(__xludf.DUMMYFUNCTION("""COMPUTED_VALUE"""),"")</f>
        <v/>
      </c>
      <c r="K297" s="49"/>
      <c r="L297" s="49" t="s">
        <v>255</v>
      </c>
      <c r="M297" s="49"/>
      <c r="N297" s="49"/>
      <c r="O297" s="49"/>
      <c r="P297" s="49"/>
      <c r="Q297" s="49"/>
      <c r="R297" s="49"/>
      <c r="S297" s="49"/>
      <c r="T297" s="49"/>
    </row>
    <row r="298">
      <c r="A298" s="49"/>
      <c r="B298" s="49"/>
      <c r="C298" s="51"/>
      <c r="D298" s="49"/>
      <c r="E298" s="49"/>
      <c r="F298" s="49"/>
      <c r="G298" s="49" t="str">
        <f>IFERROR(__xludf.DUMMYFUNCTION("""COMPUTED_VALUE"""),"#VALUE!")</f>
        <v>#VALUE!</v>
      </c>
      <c r="H298" s="49" t="str">
        <f>IFERROR(__xludf.DUMMYFUNCTION("""COMPUTED_VALUE"""),"")</f>
        <v/>
      </c>
      <c r="I298" s="49" t="str">
        <f>IFERROR(__xludf.DUMMYFUNCTION("""COMPUTED_VALUE"""),"#VALUE!")</f>
        <v>#VALUE!</v>
      </c>
      <c r="J298" s="49" t="str">
        <f>IFERROR(__xludf.DUMMYFUNCTION("""COMPUTED_VALUE"""),"")</f>
        <v/>
      </c>
      <c r="K298" s="49"/>
      <c r="L298" s="49" t="s">
        <v>255</v>
      </c>
      <c r="M298" s="49"/>
      <c r="N298" s="49"/>
      <c r="O298" s="49"/>
      <c r="P298" s="49"/>
      <c r="Q298" s="49"/>
      <c r="R298" s="49"/>
      <c r="S298" s="49"/>
      <c r="T298" s="49"/>
    </row>
    <row r="299">
      <c r="A299" s="49"/>
      <c r="B299" s="49"/>
      <c r="C299" s="51"/>
      <c r="D299" s="49"/>
      <c r="E299" s="49"/>
      <c r="F299" s="49"/>
      <c r="G299" s="49" t="str">
        <f>IFERROR(__xludf.DUMMYFUNCTION("""COMPUTED_VALUE"""),"#VALUE!")</f>
        <v>#VALUE!</v>
      </c>
      <c r="H299" s="49" t="str">
        <f>IFERROR(__xludf.DUMMYFUNCTION("""COMPUTED_VALUE"""),"")</f>
        <v/>
      </c>
      <c r="I299" s="49" t="str">
        <f>IFERROR(__xludf.DUMMYFUNCTION("""COMPUTED_VALUE"""),"#VALUE!")</f>
        <v>#VALUE!</v>
      </c>
      <c r="J299" s="49" t="str">
        <f>IFERROR(__xludf.DUMMYFUNCTION("""COMPUTED_VALUE"""),"")</f>
        <v/>
      </c>
      <c r="K299" s="49"/>
      <c r="L299" s="49" t="s">
        <v>255</v>
      </c>
      <c r="M299" s="49"/>
      <c r="N299" s="49"/>
      <c r="O299" s="49"/>
      <c r="P299" s="49"/>
      <c r="Q299" s="49"/>
      <c r="R299" s="49"/>
      <c r="S299" s="49"/>
      <c r="T299" s="49"/>
    </row>
    <row r="300">
      <c r="A300" s="49"/>
      <c r="B300" s="49"/>
      <c r="C300" s="51"/>
      <c r="D300" s="49"/>
      <c r="E300" s="49"/>
      <c r="F300" s="49"/>
      <c r="G300" s="49" t="str">
        <f>IFERROR(__xludf.DUMMYFUNCTION("""COMPUTED_VALUE"""),"#VALUE!")</f>
        <v>#VALUE!</v>
      </c>
      <c r="H300" s="49" t="str">
        <f>IFERROR(__xludf.DUMMYFUNCTION("""COMPUTED_VALUE"""),"")</f>
        <v/>
      </c>
      <c r="I300" s="49" t="str">
        <f>IFERROR(__xludf.DUMMYFUNCTION("""COMPUTED_VALUE"""),"#VALUE!")</f>
        <v>#VALUE!</v>
      </c>
      <c r="J300" s="49" t="str">
        <f>IFERROR(__xludf.DUMMYFUNCTION("""COMPUTED_VALUE"""),"")</f>
        <v/>
      </c>
      <c r="K300" s="49"/>
      <c r="L300" s="49" t="s">
        <v>255</v>
      </c>
      <c r="M300" s="49"/>
      <c r="N300" s="49"/>
      <c r="O300" s="49"/>
      <c r="P300" s="49"/>
      <c r="Q300" s="49"/>
      <c r="R300" s="49"/>
      <c r="S300" s="49"/>
      <c r="T300" s="49"/>
    </row>
    <row r="301">
      <c r="A301" s="49"/>
      <c r="B301" s="49"/>
      <c r="C301" s="51"/>
      <c r="D301" s="49"/>
      <c r="E301" s="49"/>
      <c r="F301" s="49"/>
      <c r="G301" s="49" t="str">
        <f>IFERROR(__xludf.DUMMYFUNCTION("""COMPUTED_VALUE"""),"#VALUE!")</f>
        <v>#VALUE!</v>
      </c>
      <c r="H301" s="49" t="str">
        <f>IFERROR(__xludf.DUMMYFUNCTION("""COMPUTED_VALUE"""),"")</f>
        <v/>
      </c>
      <c r="I301" s="49" t="str">
        <f>IFERROR(__xludf.DUMMYFUNCTION("""COMPUTED_VALUE"""),"#VALUE!")</f>
        <v>#VALUE!</v>
      </c>
      <c r="J301" s="49" t="str">
        <f>IFERROR(__xludf.DUMMYFUNCTION("""COMPUTED_VALUE"""),"")</f>
        <v/>
      </c>
      <c r="K301" s="49"/>
      <c r="L301" s="49" t="s">
        <v>255</v>
      </c>
      <c r="M301" s="49"/>
      <c r="N301" s="49"/>
      <c r="O301" s="49"/>
      <c r="P301" s="49"/>
      <c r="Q301" s="49"/>
      <c r="R301" s="49"/>
      <c r="S301" s="49"/>
      <c r="T301" s="49"/>
    </row>
    <row r="302">
      <c r="A302" s="49"/>
      <c r="B302" s="49"/>
      <c r="C302" s="51"/>
      <c r="D302" s="49"/>
      <c r="E302" s="49"/>
      <c r="F302" s="49"/>
      <c r="G302" s="49" t="str">
        <f>IFERROR(__xludf.DUMMYFUNCTION("""COMPUTED_VALUE"""),"#VALUE!")</f>
        <v>#VALUE!</v>
      </c>
      <c r="H302" s="49" t="str">
        <f>IFERROR(__xludf.DUMMYFUNCTION("""COMPUTED_VALUE"""),"")</f>
        <v/>
      </c>
      <c r="I302" s="49" t="str">
        <f>IFERROR(__xludf.DUMMYFUNCTION("""COMPUTED_VALUE"""),"#VALUE!")</f>
        <v>#VALUE!</v>
      </c>
      <c r="J302" s="49" t="str">
        <f>IFERROR(__xludf.DUMMYFUNCTION("""COMPUTED_VALUE"""),"")</f>
        <v/>
      </c>
      <c r="K302" s="49"/>
      <c r="L302" s="49" t="s">
        <v>255</v>
      </c>
      <c r="M302" s="49"/>
      <c r="N302" s="49"/>
      <c r="O302" s="49"/>
      <c r="P302" s="49"/>
      <c r="Q302" s="49"/>
      <c r="R302" s="49"/>
      <c r="S302" s="49"/>
      <c r="T302" s="49"/>
    </row>
    <row r="303">
      <c r="A303" s="49"/>
      <c r="B303" s="49"/>
      <c r="C303" s="51"/>
      <c r="D303" s="49"/>
      <c r="E303" s="49"/>
      <c r="F303" s="49"/>
      <c r="G303" s="49" t="str">
        <f>IFERROR(__xludf.DUMMYFUNCTION("""COMPUTED_VALUE"""),"#VALUE!")</f>
        <v>#VALUE!</v>
      </c>
      <c r="H303" s="49" t="str">
        <f>IFERROR(__xludf.DUMMYFUNCTION("""COMPUTED_VALUE"""),"")</f>
        <v/>
      </c>
      <c r="I303" s="49" t="str">
        <f>IFERROR(__xludf.DUMMYFUNCTION("""COMPUTED_VALUE"""),"#VALUE!")</f>
        <v>#VALUE!</v>
      </c>
      <c r="J303" s="49" t="str">
        <f>IFERROR(__xludf.DUMMYFUNCTION("""COMPUTED_VALUE"""),"")</f>
        <v/>
      </c>
      <c r="K303" s="49"/>
      <c r="L303" s="49" t="s">
        <v>255</v>
      </c>
      <c r="M303" s="49"/>
      <c r="N303" s="49"/>
      <c r="O303" s="49"/>
      <c r="P303" s="49"/>
      <c r="Q303" s="49"/>
      <c r="R303" s="49"/>
      <c r="S303" s="49"/>
      <c r="T303" s="49"/>
    </row>
    <row r="304">
      <c r="A304" s="49"/>
      <c r="B304" s="49"/>
      <c r="C304" s="51"/>
      <c r="D304" s="49"/>
      <c r="E304" s="49"/>
      <c r="F304" s="49"/>
      <c r="G304" s="49" t="str">
        <f>IFERROR(__xludf.DUMMYFUNCTION("""COMPUTED_VALUE"""),"#VALUE!")</f>
        <v>#VALUE!</v>
      </c>
      <c r="H304" s="49" t="str">
        <f>IFERROR(__xludf.DUMMYFUNCTION("""COMPUTED_VALUE"""),"")</f>
        <v/>
      </c>
      <c r="I304" s="49" t="str">
        <f>IFERROR(__xludf.DUMMYFUNCTION("""COMPUTED_VALUE"""),"#VALUE!")</f>
        <v>#VALUE!</v>
      </c>
      <c r="J304" s="49" t="str">
        <f>IFERROR(__xludf.DUMMYFUNCTION("""COMPUTED_VALUE"""),"")</f>
        <v/>
      </c>
      <c r="K304" s="49"/>
      <c r="L304" s="49" t="s">
        <v>255</v>
      </c>
      <c r="M304" s="49"/>
      <c r="N304" s="49"/>
      <c r="O304" s="49"/>
      <c r="P304" s="49"/>
      <c r="Q304" s="49"/>
      <c r="R304" s="49"/>
      <c r="S304" s="49"/>
      <c r="T304" s="49"/>
    </row>
    <row r="305">
      <c r="A305" s="49"/>
      <c r="B305" s="49"/>
      <c r="C305" s="51"/>
      <c r="D305" s="49"/>
      <c r="E305" s="49"/>
      <c r="F305" s="49"/>
      <c r="G305" s="49" t="str">
        <f>IFERROR(__xludf.DUMMYFUNCTION("""COMPUTED_VALUE"""),"#VALUE!")</f>
        <v>#VALUE!</v>
      </c>
      <c r="H305" s="49" t="str">
        <f>IFERROR(__xludf.DUMMYFUNCTION("""COMPUTED_VALUE"""),"")</f>
        <v/>
      </c>
      <c r="I305" s="49" t="str">
        <f>IFERROR(__xludf.DUMMYFUNCTION("""COMPUTED_VALUE"""),"#VALUE!")</f>
        <v>#VALUE!</v>
      </c>
      <c r="J305" s="49" t="str">
        <f>IFERROR(__xludf.DUMMYFUNCTION("""COMPUTED_VALUE"""),"")</f>
        <v/>
      </c>
      <c r="K305" s="49"/>
      <c r="L305" s="49" t="s">
        <v>255</v>
      </c>
      <c r="M305" s="49"/>
      <c r="N305" s="49"/>
      <c r="O305" s="49"/>
      <c r="P305" s="49"/>
      <c r="Q305" s="49"/>
      <c r="R305" s="49"/>
      <c r="S305" s="49"/>
      <c r="T305" s="49"/>
    </row>
    <row r="306">
      <c r="A306" s="49"/>
      <c r="B306" s="49"/>
      <c r="C306" s="51"/>
      <c r="D306" s="49"/>
      <c r="E306" s="49"/>
      <c r="F306" s="49"/>
      <c r="G306" s="49" t="str">
        <f>IFERROR(__xludf.DUMMYFUNCTION("""COMPUTED_VALUE"""),"#VALUE!")</f>
        <v>#VALUE!</v>
      </c>
      <c r="H306" s="49" t="str">
        <f>IFERROR(__xludf.DUMMYFUNCTION("""COMPUTED_VALUE"""),"")</f>
        <v/>
      </c>
      <c r="I306" s="49" t="str">
        <f>IFERROR(__xludf.DUMMYFUNCTION("""COMPUTED_VALUE"""),"#VALUE!")</f>
        <v>#VALUE!</v>
      </c>
      <c r="J306" s="49" t="str">
        <f>IFERROR(__xludf.DUMMYFUNCTION("""COMPUTED_VALUE"""),"")</f>
        <v/>
      </c>
      <c r="K306" s="49"/>
      <c r="L306" s="49" t="s">
        <v>255</v>
      </c>
      <c r="M306" s="49"/>
      <c r="N306" s="49"/>
      <c r="O306" s="49"/>
      <c r="P306" s="49"/>
      <c r="Q306" s="49"/>
      <c r="R306" s="49"/>
      <c r="S306" s="49"/>
      <c r="T306" s="49"/>
    </row>
    <row r="307">
      <c r="A307" s="49"/>
      <c r="B307" s="49"/>
      <c r="C307" s="51"/>
      <c r="D307" s="49"/>
      <c r="E307" s="49"/>
      <c r="F307" s="49"/>
      <c r="G307" s="49" t="str">
        <f>IFERROR(__xludf.DUMMYFUNCTION("""COMPUTED_VALUE"""),"#VALUE!")</f>
        <v>#VALUE!</v>
      </c>
      <c r="H307" s="49" t="str">
        <f>IFERROR(__xludf.DUMMYFUNCTION("""COMPUTED_VALUE"""),"")</f>
        <v/>
      </c>
      <c r="I307" s="49" t="str">
        <f>IFERROR(__xludf.DUMMYFUNCTION("""COMPUTED_VALUE"""),"#VALUE!")</f>
        <v>#VALUE!</v>
      </c>
      <c r="J307" s="49" t="str">
        <f>IFERROR(__xludf.DUMMYFUNCTION("""COMPUTED_VALUE"""),"")</f>
        <v/>
      </c>
      <c r="K307" s="49"/>
      <c r="L307" s="49" t="s">
        <v>255</v>
      </c>
      <c r="M307" s="49"/>
      <c r="N307" s="49"/>
      <c r="O307" s="49"/>
      <c r="P307" s="49"/>
      <c r="Q307" s="49"/>
      <c r="R307" s="49"/>
      <c r="S307" s="49"/>
      <c r="T307" s="49"/>
    </row>
    <row r="308">
      <c r="A308" s="49"/>
      <c r="B308" s="49"/>
      <c r="C308" s="51"/>
      <c r="D308" s="49"/>
      <c r="E308" s="49"/>
      <c r="F308" s="49"/>
      <c r="G308" s="49" t="str">
        <f>IFERROR(__xludf.DUMMYFUNCTION("""COMPUTED_VALUE"""),"#VALUE!")</f>
        <v>#VALUE!</v>
      </c>
      <c r="H308" s="49" t="str">
        <f>IFERROR(__xludf.DUMMYFUNCTION("""COMPUTED_VALUE"""),"")</f>
        <v/>
      </c>
      <c r="I308" s="49" t="str">
        <f>IFERROR(__xludf.DUMMYFUNCTION("""COMPUTED_VALUE"""),"#VALUE!")</f>
        <v>#VALUE!</v>
      </c>
      <c r="J308" s="49" t="str">
        <f>IFERROR(__xludf.DUMMYFUNCTION("""COMPUTED_VALUE"""),"")</f>
        <v/>
      </c>
      <c r="K308" s="49"/>
      <c r="L308" s="49" t="s">
        <v>255</v>
      </c>
      <c r="M308" s="49"/>
      <c r="N308" s="49"/>
      <c r="O308" s="49"/>
      <c r="P308" s="49"/>
      <c r="Q308" s="49"/>
      <c r="R308" s="49"/>
      <c r="S308" s="49"/>
      <c r="T308" s="49"/>
    </row>
    <row r="309">
      <c r="A309" s="49"/>
      <c r="B309" s="49"/>
      <c r="C309" s="51"/>
      <c r="D309" s="49"/>
      <c r="E309" s="49"/>
      <c r="F309" s="49"/>
      <c r="G309" s="49" t="str">
        <f>IFERROR(__xludf.DUMMYFUNCTION("""COMPUTED_VALUE"""),"#VALUE!")</f>
        <v>#VALUE!</v>
      </c>
      <c r="H309" s="49" t="str">
        <f>IFERROR(__xludf.DUMMYFUNCTION("""COMPUTED_VALUE"""),"")</f>
        <v/>
      </c>
      <c r="I309" s="49" t="str">
        <f>IFERROR(__xludf.DUMMYFUNCTION("""COMPUTED_VALUE"""),"#VALUE!")</f>
        <v>#VALUE!</v>
      </c>
      <c r="J309" s="49" t="str">
        <f>IFERROR(__xludf.DUMMYFUNCTION("""COMPUTED_VALUE"""),"")</f>
        <v/>
      </c>
      <c r="K309" s="49"/>
      <c r="L309" s="49" t="s">
        <v>255</v>
      </c>
      <c r="M309" s="49"/>
      <c r="N309" s="49"/>
      <c r="O309" s="49"/>
      <c r="P309" s="49"/>
      <c r="Q309" s="49"/>
      <c r="R309" s="49"/>
      <c r="S309" s="49"/>
      <c r="T309" s="49"/>
    </row>
    <row r="310">
      <c r="A310" s="49"/>
      <c r="B310" s="49"/>
      <c r="C310" s="51"/>
      <c r="D310" s="49"/>
      <c r="E310" s="49"/>
      <c r="F310" s="49"/>
      <c r="G310" s="49" t="str">
        <f>IFERROR(__xludf.DUMMYFUNCTION("""COMPUTED_VALUE"""),"#VALUE!")</f>
        <v>#VALUE!</v>
      </c>
      <c r="H310" s="49" t="str">
        <f>IFERROR(__xludf.DUMMYFUNCTION("""COMPUTED_VALUE"""),"")</f>
        <v/>
      </c>
      <c r="I310" s="49" t="str">
        <f>IFERROR(__xludf.DUMMYFUNCTION("""COMPUTED_VALUE"""),"#VALUE!")</f>
        <v>#VALUE!</v>
      </c>
      <c r="J310" s="49" t="str">
        <f>IFERROR(__xludf.DUMMYFUNCTION("""COMPUTED_VALUE"""),"")</f>
        <v/>
      </c>
      <c r="K310" s="49"/>
      <c r="L310" s="49" t="s">
        <v>255</v>
      </c>
      <c r="M310" s="49"/>
      <c r="N310" s="49"/>
      <c r="O310" s="49"/>
      <c r="P310" s="49"/>
      <c r="Q310" s="49"/>
      <c r="R310" s="49"/>
      <c r="S310" s="49"/>
      <c r="T310" s="49"/>
    </row>
    <row r="311">
      <c r="A311" s="49"/>
      <c r="B311" s="49"/>
      <c r="C311" s="51"/>
      <c r="D311" s="49"/>
      <c r="E311" s="49"/>
      <c r="F311" s="49"/>
      <c r="G311" s="49" t="str">
        <f>IFERROR(__xludf.DUMMYFUNCTION("""COMPUTED_VALUE"""),"#VALUE!")</f>
        <v>#VALUE!</v>
      </c>
      <c r="H311" s="49" t="str">
        <f>IFERROR(__xludf.DUMMYFUNCTION("""COMPUTED_VALUE"""),"")</f>
        <v/>
      </c>
      <c r="I311" s="49" t="str">
        <f>IFERROR(__xludf.DUMMYFUNCTION("""COMPUTED_VALUE"""),"#VALUE!")</f>
        <v>#VALUE!</v>
      </c>
      <c r="J311" s="49" t="str">
        <f>IFERROR(__xludf.DUMMYFUNCTION("""COMPUTED_VALUE"""),"")</f>
        <v/>
      </c>
      <c r="K311" s="49"/>
      <c r="L311" s="49" t="s">
        <v>255</v>
      </c>
      <c r="M311" s="49"/>
      <c r="N311" s="49"/>
      <c r="O311" s="49"/>
      <c r="P311" s="49"/>
      <c r="Q311" s="49"/>
      <c r="R311" s="49"/>
      <c r="S311" s="49"/>
      <c r="T311" s="49"/>
    </row>
    <row r="312">
      <c r="A312" s="49"/>
      <c r="B312" s="49"/>
      <c r="C312" s="51"/>
      <c r="D312" s="49"/>
      <c r="E312" s="49"/>
      <c r="F312" s="49"/>
      <c r="G312" s="49" t="str">
        <f>IFERROR(__xludf.DUMMYFUNCTION("""COMPUTED_VALUE"""),"#VALUE!")</f>
        <v>#VALUE!</v>
      </c>
      <c r="H312" s="49" t="str">
        <f>IFERROR(__xludf.DUMMYFUNCTION("""COMPUTED_VALUE"""),"")</f>
        <v/>
      </c>
      <c r="I312" s="49" t="str">
        <f>IFERROR(__xludf.DUMMYFUNCTION("""COMPUTED_VALUE"""),"#VALUE!")</f>
        <v>#VALUE!</v>
      </c>
      <c r="J312" s="49" t="str">
        <f>IFERROR(__xludf.DUMMYFUNCTION("""COMPUTED_VALUE"""),"")</f>
        <v/>
      </c>
      <c r="K312" s="49"/>
      <c r="L312" s="49" t="s">
        <v>255</v>
      </c>
      <c r="M312" s="49"/>
      <c r="N312" s="49"/>
      <c r="O312" s="49"/>
      <c r="P312" s="49"/>
      <c r="Q312" s="49"/>
      <c r="R312" s="49"/>
      <c r="S312" s="49"/>
      <c r="T312" s="49"/>
    </row>
    <row r="313">
      <c r="A313" s="49"/>
      <c r="B313" s="49"/>
      <c r="C313" s="51"/>
      <c r="D313" s="49"/>
      <c r="E313" s="49"/>
      <c r="F313" s="49"/>
      <c r="G313" s="49" t="str">
        <f>IFERROR(__xludf.DUMMYFUNCTION("""COMPUTED_VALUE"""),"#VALUE!")</f>
        <v>#VALUE!</v>
      </c>
      <c r="H313" s="49" t="str">
        <f>IFERROR(__xludf.DUMMYFUNCTION("""COMPUTED_VALUE"""),"")</f>
        <v/>
      </c>
      <c r="I313" s="49" t="str">
        <f>IFERROR(__xludf.DUMMYFUNCTION("""COMPUTED_VALUE"""),"#VALUE!")</f>
        <v>#VALUE!</v>
      </c>
      <c r="J313" s="49" t="str">
        <f>IFERROR(__xludf.DUMMYFUNCTION("""COMPUTED_VALUE"""),"")</f>
        <v/>
      </c>
      <c r="K313" s="49"/>
      <c r="L313" s="49" t="s">
        <v>255</v>
      </c>
      <c r="M313" s="49"/>
      <c r="N313" s="49"/>
      <c r="O313" s="49"/>
      <c r="P313" s="49"/>
      <c r="Q313" s="49"/>
      <c r="R313" s="49"/>
      <c r="S313" s="49"/>
      <c r="T313" s="49"/>
    </row>
    <row r="314">
      <c r="A314" s="49"/>
      <c r="B314" s="49"/>
      <c r="C314" s="51"/>
      <c r="D314" s="49"/>
      <c r="E314" s="49"/>
      <c r="F314" s="49"/>
      <c r="G314" s="49" t="str">
        <f>IFERROR(__xludf.DUMMYFUNCTION("""COMPUTED_VALUE"""),"#VALUE!")</f>
        <v>#VALUE!</v>
      </c>
      <c r="H314" s="49" t="str">
        <f>IFERROR(__xludf.DUMMYFUNCTION("""COMPUTED_VALUE"""),"")</f>
        <v/>
      </c>
      <c r="I314" s="49" t="str">
        <f>IFERROR(__xludf.DUMMYFUNCTION("""COMPUTED_VALUE"""),"#VALUE!")</f>
        <v>#VALUE!</v>
      </c>
      <c r="J314" s="49" t="str">
        <f>IFERROR(__xludf.DUMMYFUNCTION("""COMPUTED_VALUE"""),"")</f>
        <v/>
      </c>
      <c r="K314" s="49"/>
      <c r="L314" s="49" t="s">
        <v>255</v>
      </c>
      <c r="M314" s="49"/>
      <c r="N314" s="49"/>
      <c r="O314" s="49"/>
      <c r="P314" s="49"/>
      <c r="Q314" s="49"/>
      <c r="R314" s="49"/>
      <c r="S314" s="49"/>
      <c r="T314" s="49"/>
    </row>
    <row r="315">
      <c r="A315" s="49"/>
      <c r="B315" s="49"/>
      <c r="C315" s="51"/>
      <c r="D315" s="49"/>
      <c r="E315" s="49"/>
      <c r="F315" s="49"/>
      <c r="G315" s="49" t="str">
        <f>IFERROR(__xludf.DUMMYFUNCTION("""COMPUTED_VALUE"""),"#VALUE!")</f>
        <v>#VALUE!</v>
      </c>
      <c r="H315" s="49" t="str">
        <f>IFERROR(__xludf.DUMMYFUNCTION("""COMPUTED_VALUE"""),"")</f>
        <v/>
      </c>
      <c r="I315" s="49" t="str">
        <f>IFERROR(__xludf.DUMMYFUNCTION("""COMPUTED_VALUE"""),"#VALUE!")</f>
        <v>#VALUE!</v>
      </c>
      <c r="J315" s="49" t="str">
        <f>IFERROR(__xludf.DUMMYFUNCTION("""COMPUTED_VALUE"""),"")</f>
        <v/>
      </c>
      <c r="K315" s="49"/>
      <c r="L315" s="49" t="s">
        <v>255</v>
      </c>
      <c r="M315" s="49"/>
      <c r="N315" s="49"/>
      <c r="O315" s="49"/>
      <c r="P315" s="49"/>
      <c r="Q315" s="49"/>
      <c r="R315" s="49"/>
      <c r="S315" s="49"/>
      <c r="T315" s="49"/>
    </row>
    <row r="316">
      <c r="A316" s="49"/>
      <c r="B316" s="49"/>
      <c r="C316" s="51"/>
      <c r="D316" s="49"/>
      <c r="E316" s="49"/>
      <c r="F316" s="49"/>
      <c r="G316" s="49" t="str">
        <f>IFERROR(__xludf.DUMMYFUNCTION("""COMPUTED_VALUE"""),"#VALUE!")</f>
        <v>#VALUE!</v>
      </c>
      <c r="H316" s="49" t="str">
        <f>IFERROR(__xludf.DUMMYFUNCTION("""COMPUTED_VALUE"""),"")</f>
        <v/>
      </c>
      <c r="I316" s="49" t="str">
        <f>IFERROR(__xludf.DUMMYFUNCTION("""COMPUTED_VALUE"""),"#VALUE!")</f>
        <v>#VALUE!</v>
      </c>
      <c r="J316" s="49" t="str">
        <f>IFERROR(__xludf.DUMMYFUNCTION("""COMPUTED_VALUE"""),"")</f>
        <v/>
      </c>
      <c r="K316" s="49"/>
      <c r="L316" s="49" t="s">
        <v>255</v>
      </c>
      <c r="M316" s="49"/>
      <c r="N316" s="49"/>
      <c r="O316" s="49"/>
      <c r="P316" s="49"/>
      <c r="Q316" s="49"/>
      <c r="R316" s="49"/>
      <c r="S316" s="49"/>
      <c r="T316" s="49"/>
    </row>
    <row r="317">
      <c r="A317" s="49"/>
      <c r="B317" s="49"/>
      <c r="C317" s="51"/>
      <c r="D317" s="49"/>
      <c r="E317" s="49"/>
      <c r="F317" s="49"/>
      <c r="G317" s="49" t="str">
        <f>IFERROR(__xludf.DUMMYFUNCTION("""COMPUTED_VALUE"""),"#VALUE!")</f>
        <v>#VALUE!</v>
      </c>
      <c r="H317" s="49" t="str">
        <f>IFERROR(__xludf.DUMMYFUNCTION("""COMPUTED_VALUE"""),"")</f>
        <v/>
      </c>
      <c r="I317" s="49" t="str">
        <f>IFERROR(__xludf.DUMMYFUNCTION("""COMPUTED_VALUE"""),"#VALUE!")</f>
        <v>#VALUE!</v>
      </c>
      <c r="J317" s="49" t="str">
        <f>IFERROR(__xludf.DUMMYFUNCTION("""COMPUTED_VALUE"""),"")</f>
        <v/>
      </c>
      <c r="K317" s="49"/>
      <c r="L317" s="49" t="s">
        <v>255</v>
      </c>
      <c r="M317" s="49"/>
      <c r="N317" s="49"/>
      <c r="O317" s="49"/>
      <c r="P317" s="49"/>
      <c r="Q317" s="49"/>
      <c r="R317" s="49"/>
      <c r="S317" s="49"/>
      <c r="T317" s="49"/>
    </row>
    <row r="318">
      <c r="A318" s="49"/>
      <c r="B318" s="49"/>
      <c r="C318" s="51"/>
      <c r="D318" s="49"/>
      <c r="E318" s="49"/>
      <c r="F318" s="49"/>
      <c r="G318" s="49" t="str">
        <f>IFERROR(__xludf.DUMMYFUNCTION("""COMPUTED_VALUE"""),"#VALUE!")</f>
        <v>#VALUE!</v>
      </c>
      <c r="H318" s="49" t="str">
        <f>IFERROR(__xludf.DUMMYFUNCTION("""COMPUTED_VALUE"""),"")</f>
        <v/>
      </c>
      <c r="I318" s="49" t="str">
        <f>IFERROR(__xludf.DUMMYFUNCTION("""COMPUTED_VALUE"""),"#VALUE!")</f>
        <v>#VALUE!</v>
      </c>
      <c r="J318" s="49" t="str">
        <f>IFERROR(__xludf.DUMMYFUNCTION("""COMPUTED_VALUE"""),"")</f>
        <v/>
      </c>
      <c r="K318" s="49"/>
      <c r="L318" s="49" t="s">
        <v>255</v>
      </c>
      <c r="M318" s="49"/>
      <c r="N318" s="49"/>
      <c r="O318" s="49"/>
      <c r="P318" s="49"/>
      <c r="Q318" s="49"/>
      <c r="R318" s="49"/>
      <c r="S318" s="49"/>
      <c r="T318" s="49"/>
    </row>
    <row r="319">
      <c r="A319" s="49"/>
      <c r="B319" s="49"/>
      <c r="C319" s="51"/>
      <c r="D319" s="49"/>
      <c r="E319" s="49"/>
      <c r="F319" s="49"/>
      <c r="G319" s="49" t="str">
        <f>IFERROR(__xludf.DUMMYFUNCTION("""COMPUTED_VALUE"""),"#VALUE!")</f>
        <v>#VALUE!</v>
      </c>
      <c r="H319" s="49" t="str">
        <f>IFERROR(__xludf.DUMMYFUNCTION("""COMPUTED_VALUE"""),"")</f>
        <v/>
      </c>
      <c r="I319" s="49" t="str">
        <f>IFERROR(__xludf.DUMMYFUNCTION("""COMPUTED_VALUE"""),"#VALUE!")</f>
        <v>#VALUE!</v>
      </c>
      <c r="J319" s="49" t="str">
        <f>IFERROR(__xludf.DUMMYFUNCTION("""COMPUTED_VALUE"""),"")</f>
        <v/>
      </c>
      <c r="K319" s="49"/>
      <c r="L319" s="49" t="s">
        <v>255</v>
      </c>
      <c r="M319" s="49"/>
      <c r="N319" s="49"/>
      <c r="O319" s="49"/>
      <c r="P319" s="49"/>
      <c r="Q319" s="49"/>
      <c r="R319" s="49"/>
      <c r="S319" s="49"/>
      <c r="T319" s="49"/>
    </row>
    <row r="320">
      <c r="A320" s="49"/>
      <c r="B320" s="49"/>
      <c r="C320" s="51"/>
      <c r="D320" s="49"/>
      <c r="E320" s="49"/>
      <c r="F320" s="49"/>
      <c r="G320" s="49" t="str">
        <f>IFERROR(__xludf.DUMMYFUNCTION("""COMPUTED_VALUE"""),"#VALUE!")</f>
        <v>#VALUE!</v>
      </c>
      <c r="H320" s="49" t="str">
        <f>IFERROR(__xludf.DUMMYFUNCTION("""COMPUTED_VALUE"""),"")</f>
        <v/>
      </c>
      <c r="I320" s="49" t="str">
        <f>IFERROR(__xludf.DUMMYFUNCTION("""COMPUTED_VALUE"""),"#VALUE!")</f>
        <v>#VALUE!</v>
      </c>
      <c r="J320" s="49" t="str">
        <f>IFERROR(__xludf.DUMMYFUNCTION("""COMPUTED_VALUE"""),"")</f>
        <v/>
      </c>
      <c r="K320" s="49"/>
      <c r="L320" s="49" t="s">
        <v>255</v>
      </c>
      <c r="M320" s="49"/>
      <c r="N320" s="49"/>
      <c r="O320" s="49"/>
      <c r="P320" s="49"/>
      <c r="Q320" s="49"/>
      <c r="R320" s="49"/>
      <c r="S320" s="49"/>
      <c r="T320" s="49"/>
    </row>
    <row r="321">
      <c r="A321" s="49"/>
      <c r="B321" s="49"/>
      <c r="C321" s="51"/>
      <c r="D321" s="49"/>
      <c r="E321" s="49"/>
      <c r="F321" s="49"/>
      <c r="G321" s="49" t="str">
        <f>IFERROR(__xludf.DUMMYFUNCTION("""COMPUTED_VALUE"""),"#VALUE!")</f>
        <v>#VALUE!</v>
      </c>
      <c r="H321" s="49" t="str">
        <f>IFERROR(__xludf.DUMMYFUNCTION("""COMPUTED_VALUE"""),"")</f>
        <v/>
      </c>
      <c r="I321" s="49" t="str">
        <f>IFERROR(__xludf.DUMMYFUNCTION("""COMPUTED_VALUE"""),"#VALUE!")</f>
        <v>#VALUE!</v>
      </c>
      <c r="J321" s="49" t="str">
        <f>IFERROR(__xludf.DUMMYFUNCTION("""COMPUTED_VALUE"""),"")</f>
        <v/>
      </c>
      <c r="K321" s="49"/>
      <c r="L321" s="49" t="s">
        <v>255</v>
      </c>
      <c r="M321" s="49"/>
      <c r="N321" s="49"/>
      <c r="O321" s="49"/>
      <c r="P321" s="49"/>
      <c r="Q321" s="49"/>
      <c r="R321" s="49"/>
      <c r="S321" s="49"/>
      <c r="T321" s="49"/>
    </row>
    <row r="322">
      <c r="A322" s="49"/>
      <c r="B322" s="49"/>
      <c r="C322" s="51"/>
      <c r="D322" s="49"/>
      <c r="E322" s="49"/>
      <c r="F322" s="49"/>
      <c r="G322" s="49" t="str">
        <f>IFERROR(__xludf.DUMMYFUNCTION("""COMPUTED_VALUE"""),"#VALUE!")</f>
        <v>#VALUE!</v>
      </c>
      <c r="H322" s="49" t="str">
        <f>IFERROR(__xludf.DUMMYFUNCTION("""COMPUTED_VALUE"""),"")</f>
        <v/>
      </c>
      <c r="I322" s="49" t="str">
        <f>IFERROR(__xludf.DUMMYFUNCTION("""COMPUTED_VALUE"""),"#VALUE!")</f>
        <v>#VALUE!</v>
      </c>
      <c r="J322" s="49" t="str">
        <f>IFERROR(__xludf.DUMMYFUNCTION("""COMPUTED_VALUE"""),"")</f>
        <v/>
      </c>
      <c r="K322" s="49"/>
      <c r="L322" s="49" t="s">
        <v>255</v>
      </c>
      <c r="M322" s="49"/>
      <c r="N322" s="49"/>
      <c r="O322" s="49"/>
      <c r="P322" s="49"/>
      <c r="Q322" s="49"/>
      <c r="R322" s="49"/>
      <c r="S322" s="49"/>
      <c r="T322" s="49"/>
    </row>
    <row r="323">
      <c r="A323" s="49"/>
      <c r="B323" s="49"/>
      <c r="C323" s="51"/>
      <c r="D323" s="49"/>
      <c r="E323" s="49"/>
      <c r="F323" s="49"/>
      <c r="G323" s="49" t="str">
        <f>IFERROR(__xludf.DUMMYFUNCTION("""COMPUTED_VALUE"""),"#VALUE!")</f>
        <v>#VALUE!</v>
      </c>
      <c r="H323" s="49" t="str">
        <f>IFERROR(__xludf.DUMMYFUNCTION("""COMPUTED_VALUE"""),"")</f>
        <v/>
      </c>
      <c r="I323" s="49" t="str">
        <f>IFERROR(__xludf.DUMMYFUNCTION("""COMPUTED_VALUE"""),"#VALUE!")</f>
        <v>#VALUE!</v>
      </c>
      <c r="J323" s="49" t="str">
        <f>IFERROR(__xludf.DUMMYFUNCTION("""COMPUTED_VALUE"""),"")</f>
        <v/>
      </c>
      <c r="K323" s="49"/>
      <c r="L323" s="49" t="s">
        <v>255</v>
      </c>
      <c r="M323" s="49"/>
      <c r="N323" s="49"/>
      <c r="O323" s="49"/>
      <c r="P323" s="49"/>
      <c r="Q323" s="49"/>
      <c r="R323" s="49"/>
      <c r="S323" s="49"/>
      <c r="T323" s="49"/>
    </row>
    <row r="324">
      <c r="A324" s="49"/>
      <c r="B324" s="49"/>
      <c r="C324" s="51"/>
      <c r="D324" s="49"/>
      <c r="E324" s="49"/>
      <c r="F324" s="49"/>
      <c r="G324" s="49" t="str">
        <f>IFERROR(__xludf.DUMMYFUNCTION("""COMPUTED_VALUE"""),"#VALUE!")</f>
        <v>#VALUE!</v>
      </c>
      <c r="H324" s="49" t="str">
        <f>IFERROR(__xludf.DUMMYFUNCTION("""COMPUTED_VALUE"""),"")</f>
        <v/>
      </c>
      <c r="I324" s="49" t="str">
        <f>IFERROR(__xludf.DUMMYFUNCTION("""COMPUTED_VALUE"""),"#VALUE!")</f>
        <v>#VALUE!</v>
      </c>
      <c r="J324" s="49" t="str">
        <f>IFERROR(__xludf.DUMMYFUNCTION("""COMPUTED_VALUE"""),"")</f>
        <v/>
      </c>
      <c r="K324" s="49"/>
      <c r="L324" s="49" t="s">
        <v>255</v>
      </c>
      <c r="M324" s="49"/>
      <c r="N324" s="49"/>
      <c r="O324" s="49"/>
      <c r="P324" s="49"/>
      <c r="Q324" s="49"/>
      <c r="R324" s="49"/>
      <c r="S324" s="49"/>
      <c r="T324" s="49"/>
    </row>
    <row r="325">
      <c r="A325" s="49"/>
      <c r="B325" s="49"/>
      <c r="C325" s="51"/>
      <c r="D325" s="49"/>
      <c r="E325" s="49"/>
      <c r="F325" s="49"/>
      <c r="G325" s="49" t="str">
        <f>IFERROR(__xludf.DUMMYFUNCTION("""COMPUTED_VALUE"""),"#VALUE!")</f>
        <v>#VALUE!</v>
      </c>
      <c r="H325" s="49" t="str">
        <f>IFERROR(__xludf.DUMMYFUNCTION("""COMPUTED_VALUE"""),"")</f>
        <v/>
      </c>
      <c r="I325" s="49" t="str">
        <f>IFERROR(__xludf.DUMMYFUNCTION("""COMPUTED_VALUE"""),"#VALUE!")</f>
        <v>#VALUE!</v>
      </c>
      <c r="J325" s="49" t="str">
        <f>IFERROR(__xludf.DUMMYFUNCTION("""COMPUTED_VALUE"""),"")</f>
        <v/>
      </c>
      <c r="K325" s="49"/>
      <c r="L325" s="49" t="s">
        <v>255</v>
      </c>
      <c r="M325" s="49"/>
      <c r="N325" s="49"/>
      <c r="O325" s="49"/>
      <c r="P325" s="49"/>
      <c r="Q325" s="49"/>
      <c r="R325" s="49"/>
      <c r="S325" s="49"/>
      <c r="T325" s="49"/>
    </row>
    <row r="326">
      <c r="A326" s="49"/>
      <c r="B326" s="49"/>
      <c r="C326" s="51"/>
      <c r="D326" s="49"/>
      <c r="E326" s="49"/>
      <c r="F326" s="49"/>
      <c r="G326" s="49" t="str">
        <f>IFERROR(__xludf.DUMMYFUNCTION("""COMPUTED_VALUE"""),"#VALUE!")</f>
        <v>#VALUE!</v>
      </c>
      <c r="H326" s="49" t="str">
        <f>IFERROR(__xludf.DUMMYFUNCTION("""COMPUTED_VALUE"""),"")</f>
        <v/>
      </c>
      <c r="I326" s="49" t="str">
        <f>IFERROR(__xludf.DUMMYFUNCTION("""COMPUTED_VALUE"""),"#VALUE!")</f>
        <v>#VALUE!</v>
      </c>
      <c r="J326" s="49" t="str">
        <f>IFERROR(__xludf.DUMMYFUNCTION("""COMPUTED_VALUE"""),"")</f>
        <v/>
      </c>
      <c r="K326" s="49"/>
      <c r="L326" s="49" t="s">
        <v>255</v>
      </c>
      <c r="M326" s="49"/>
      <c r="N326" s="49"/>
      <c r="O326" s="49"/>
      <c r="P326" s="49"/>
      <c r="Q326" s="49"/>
      <c r="R326" s="49"/>
      <c r="S326" s="49"/>
      <c r="T326" s="49"/>
    </row>
    <row r="327">
      <c r="A327" s="49"/>
      <c r="B327" s="49"/>
      <c r="C327" s="51"/>
      <c r="D327" s="49"/>
      <c r="E327" s="49"/>
      <c r="F327" s="49"/>
      <c r="G327" s="49" t="str">
        <f>IFERROR(__xludf.DUMMYFUNCTION("""COMPUTED_VALUE"""),"#VALUE!")</f>
        <v>#VALUE!</v>
      </c>
      <c r="H327" s="49" t="str">
        <f>IFERROR(__xludf.DUMMYFUNCTION("""COMPUTED_VALUE"""),"")</f>
        <v/>
      </c>
      <c r="I327" s="49" t="str">
        <f>IFERROR(__xludf.DUMMYFUNCTION("""COMPUTED_VALUE"""),"#VALUE!")</f>
        <v>#VALUE!</v>
      </c>
      <c r="J327" s="49" t="str">
        <f>IFERROR(__xludf.DUMMYFUNCTION("""COMPUTED_VALUE"""),"")</f>
        <v/>
      </c>
      <c r="K327" s="49"/>
      <c r="L327" s="49" t="s">
        <v>255</v>
      </c>
      <c r="M327" s="49"/>
      <c r="N327" s="49"/>
      <c r="O327" s="49"/>
      <c r="P327" s="49"/>
      <c r="Q327" s="49"/>
      <c r="R327" s="49"/>
      <c r="S327" s="49"/>
      <c r="T327" s="49"/>
    </row>
    <row r="328">
      <c r="A328" s="49"/>
      <c r="B328" s="49"/>
      <c r="C328" s="51"/>
      <c r="D328" s="49"/>
      <c r="E328" s="49"/>
      <c r="F328" s="49"/>
      <c r="G328" s="49" t="str">
        <f>IFERROR(__xludf.DUMMYFUNCTION("""COMPUTED_VALUE"""),"#VALUE!")</f>
        <v>#VALUE!</v>
      </c>
      <c r="H328" s="49" t="str">
        <f>IFERROR(__xludf.DUMMYFUNCTION("""COMPUTED_VALUE"""),"")</f>
        <v/>
      </c>
      <c r="I328" s="49" t="str">
        <f>IFERROR(__xludf.DUMMYFUNCTION("""COMPUTED_VALUE"""),"#VALUE!")</f>
        <v>#VALUE!</v>
      </c>
      <c r="J328" s="49" t="str">
        <f>IFERROR(__xludf.DUMMYFUNCTION("""COMPUTED_VALUE"""),"")</f>
        <v/>
      </c>
      <c r="K328" s="49"/>
      <c r="L328" s="49" t="s">
        <v>255</v>
      </c>
      <c r="M328" s="49"/>
      <c r="N328" s="49"/>
      <c r="O328" s="49"/>
      <c r="P328" s="49"/>
      <c r="Q328" s="49"/>
      <c r="R328" s="49"/>
      <c r="S328" s="49"/>
      <c r="T328" s="49"/>
    </row>
    <row r="329">
      <c r="A329" s="49"/>
      <c r="B329" s="49"/>
      <c r="C329" s="51"/>
      <c r="D329" s="49"/>
      <c r="E329" s="49"/>
      <c r="F329" s="49"/>
      <c r="G329" s="49" t="str">
        <f>IFERROR(__xludf.DUMMYFUNCTION("""COMPUTED_VALUE"""),"#VALUE!")</f>
        <v>#VALUE!</v>
      </c>
      <c r="H329" s="49" t="str">
        <f>IFERROR(__xludf.DUMMYFUNCTION("""COMPUTED_VALUE"""),"")</f>
        <v/>
      </c>
      <c r="I329" s="49" t="str">
        <f>IFERROR(__xludf.DUMMYFUNCTION("""COMPUTED_VALUE"""),"#VALUE!")</f>
        <v>#VALUE!</v>
      </c>
      <c r="J329" s="49" t="str">
        <f>IFERROR(__xludf.DUMMYFUNCTION("""COMPUTED_VALUE"""),"")</f>
        <v/>
      </c>
      <c r="K329" s="49"/>
      <c r="L329" s="49" t="s">
        <v>255</v>
      </c>
      <c r="M329" s="49"/>
      <c r="N329" s="49"/>
      <c r="O329" s="49"/>
      <c r="P329" s="49"/>
      <c r="Q329" s="49"/>
      <c r="R329" s="49"/>
      <c r="S329" s="49"/>
      <c r="T329" s="49"/>
    </row>
    <row r="330">
      <c r="A330" s="49"/>
      <c r="B330" s="49"/>
      <c r="C330" s="51"/>
      <c r="D330" s="49"/>
      <c r="E330" s="49"/>
      <c r="F330" s="49"/>
      <c r="G330" s="49" t="str">
        <f>IFERROR(__xludf.DUMMYFUNCTION("""COMPUTED_VALUE"""),"#VALUE!")</f>
        <v>#VALUE!</v>
      </c>
      <c r="H330" s="49" t="str">
        <f>IFERROR(__xludf.DUMMYFUNCTION("""COMPUTED_VALUE"""),"")</f>
        <v/>
      </c>
      <c r="I330" s="49" t="str">
        <f>IFERROR(__xludf.DUMMYFUNCTION("""COMPUTED_VALUE"""),"#VALUE!")</f>
        <v>#VALUE!</v>
      </c>
      <c r="J330" s="49" t="str">
        <f>IFERROR(__xludf.DUMMYFUNCTION("""COMPUTED_VALUE"""),"")</f>
        <v/>
      </c>
      <c r="K330" s="49"/>
      <c r="L330" s="49" t="s">
        <v>255</v>
      </c>
      <c r="M330" s="49"/>
      <c r="N330" s="49"/>
      <c r="O330" s="49"/>
      <c r="P330" s="49"/>
      <c r="Q330" s="49"/>
      <c r="R330" s="49"/>
      <c r="S330" s="49"/>
      <c r="T330" s="49"/>
    </row>
    <row r="331">
      <c r="A331" s="49"/>
      <c r="B331" s="49"/>
      <c r="C331" s="51"/>
      <c r="D331" s="49"/>
      <c r="E331" s="49"/>
      <c r="F331" s="49"/>
      <c r="G331" s="49" t="str">
        <f>IFERROR(__xludf.DUMMYFUNCTION("""COMPUTED_VALUE"""),"#VALUE!")</f>
        <v>#VALUE!</v>
      </c>
      <c r="H331" s="49" t="str">
        <f>IFERROR(__xludf.DUMMYFUNCTION("""COMPUTED_VALUE"""),"")</f>
        <v/>
      </c>
      <c r="I331" s="49" t="str">
        <f>IFERROR(__xludf.DUMMYFUNCTION("""COMPUTED_VALUE"""),"#VALUE!")</f>
        <v>#VALUE!</v>
      </c>
      <c r="J331" s="49" t="str">
        <f>IFERROR(__xludf.DUMMYFUNCTION("""COMPUTED_VALUE"""),"")</f>
        <v/>
      </c>
      <c r="K331" s="49"/>
      <c r="L331" s="49" t="s">
        <v>255</v>
      </c>
      <c r="M331" s="49"/>
      <c r="N331" s="49"/>
      <c r="O331" s="49"/>
      <c r="P331" s="49"/>
      <c r="Q331" s="49"/>
      <c r="R331" s="49"/>
      <c r="S331" s="49"/>
      <c r="T331" s="49"/>
    </row>
    <row r="332">
      <c r="A332" s="49"/>
      <c r="B332" s="49"/>
      <c r="C332" s="51"/>
      <c r="D332" s="49"/>
      <c r="E332" s="49"/>
      <c r="F332" s="49"/>
      <c r="G332" s="49" t="str">
        <f>IFERROR(__xludf.DUMMYFUNCTION("""COMPUTED_VALUE"""),"#VALUE!")</f>
        <v>#VALUE!</v>
      </c>
      <c r="H332" s="49" t="str">
        <f>IFERROR(__xludf.DUMMYFUNCTION("""COMPUTED_VALUE"""),"")</f>
        <v/>
      </c>
      <c r="I332" s="49" t="str">
        <f>IFERROR(__xludf.DUMMYFUNCTION("""COMPUTED_VALUE"""),"#VALUE!")</f>
        <v>#VALUE!</v>
      </c>
      <c r="J332" s="49" t="str">
        <f>IFERROR(__xludf.DUMMYFUNCTION("""COMPUTED_VALUE"""),"")</f>
        <v/>
      </c>
      <c r="K332" s="49"/>
      <c r="L332" s="49" t="s">
        <v>255</v>
      </c>
      <c r="M332" s="49"/>
      <c r="N332" s="49"/>
      <c r="O332" s="49"/>
      <c r="P332" s="49"/>
      <c r="Q332" s="49"/>
      <c r="R332" s="49"/>
      <c r="S332" s="49"/>
      <c r="T332" s="49"/>
    </row>
    <row r="333">
      <c r="A333" s="49"/>
      <c r="B333" s="49"/>
      <c r="C333" s="51"/>
      <c r="D333" s="49"/>
      <c r="E333" s="49"/>
      <c r="F333" s="49"/>
      <c r="G333" s="49" t="str">
        <f>IFERROR(__xludf.DUMMYFUNCTION("""COMPUTED_VALUE"""),"#VALUE!")</f>
        <v>#VALUE!</v>
      </c>
      <c r="H333" s="49" t="str">
        <f>IFERROR(__xludf.DUMMYFUNCTION("""COMPUTED_VALUE"""),"")</f>
        <v/>
      </c>
      <c r="I333" s="49" t="str">
        <f>IFERROR(__xludf.DUMMYFUNCTION("""COMPUTED_VALUE"""),"#VALUE!")</f>
        <v>#VALUE!</v>
      </c>
      <c r="J333" s="49" t="str">
        <f>IFERROR(__xludf.DUMMYFUNCTION("""COMPUTED_VALUE"""),"")</f>
        <v/>
      </c>
      <c r="K333" s="49"/>
      <c r="L333" s="49" t="s">
        <v>255</v>
      </c>
      <c r="M333" s="49"/>
      <c r="N333" s="49"/>
      <c r="O333" s="49"/>
      <c r="P333" s="49"/>
      <c r="Q333" s="49"/>
      <c r="R333" s="49"/>
      <c r="S333" s="49"/>
      <c r="T333" s="49"/>
    </row>
    <row r="334">
      <c r="A334" s="49"/>
      <c r="B334" s="49"/>
      <c r="C334" s="51"/>
      <c r="D334" s="49"/>
      <c r="E334" s="49"/>
      <c r="F334" s="49"/>
      <c r="G334" s="49" t="str">
        <f>IFERROR(__xludf.DUMMYFUNCTION("""COMPUTED_VALUE"""),"#VALUE!")</f>
        <v>#VALUE!</v>
      </c>
      <c r="H334" s="49" t="str">
        <f>IFERROR(__xludf.DUMMYFUNCTION("""COMPUTED_VALUE"""),"")</f>
        <v/>
      </c>
      <c r="I334" s="49" t="str">
        <f>IFERROR(__xludf.DUMMYFUNCTION("""COMPUTED_VALUE"""),"#VALUE!")</f>
        <v>#VALUE!</v>
      </c>
      <c r="J334" s="49" t="str">
        <f>IFERROR(__xludf.DUMMYFUNCTION("""COMPUTED_VALUE"""),"")</f>
        <v/>
      </c>
      <c r="K334" s="49"/>
      <c r="L334" s="49" t="s">
        <v>255</v>
      </c>
      <c r="M334" s="49"/>
      <c r="N334" s="49"/>
      <c r="O334" s="49"/>
      <c r="P334" s="49"/>
      <c r="Q334" s="49"/>
      <c r="R334" s="49"/>
      <c r="S334" s="49"/>
      <c r="T334" s="49"/>
    </row>
    <row r="335">
      <c r="A335" s="49"/>
      <c r="B335" s="49"/>
      <c r="C335" s="51"/>
      <c r="D335" s="49"/>
      <c r="E335" s="49"/>
      <c r="F335" s="49"/>
      <c r="G335" s="49" t="str">
        <f>IFERROR(__xludf.DUMMYFUNCTION("""COMPUTED_VALUE"""),"#VALUE!")</f>
        <v>#VALUE!</v>
      </c>
      <c r="H335" s="49" t="str">
        <f>IFERROR(__xludf.DUMMYFUNCTION("""COMPUTED_VALUE"""),"")</f>
        <v/>
      </c>
      <c r="I335" s="49" t="str">
        <f>IFERROR(__xludf.DUMMYFUNCTION("""COMPUTED_VALUE"""),"#VALUE!")</f>
        <v>#VALUE!</v>
      </c>
      <c r="J335" s="49" t="str">
        <f>IFERROR(__xludf.DUMMYFUNCTION("""COMPUTED_VALUE"""),"")</f>
        <v/>
      </c>
      <c r="K335" s="49"/>
      <c r="L335" s="49" t="s">
        <v>255</v>
      </c>
      <c r="M335" s="49"/>
      <c r="N335" s="49"/>
      <c r="O335" s="49"/>
      <c r="P335" s="49"/>
      <c r="Q335" s="49"/>
      <c r="R335" s="49"/>
      <c r="S335" s="49"/>
      <c r="T335" s="49"/>
    </row>
    <row r="336">
      <c r="A336" s="49"/>
      <c r="B336" s="49"/>
      <c r="C336" s="51"/>
      <c r="D336" s="49"/>
      <c r="E336" s="49"/>
      <c r="F336" s="49"/>
      <c r="G336" s="49" t="str">
        <f>IFERROR(__xludf.DUMMYFUNCTION("""COMPUTED_VALUE"""),"#VALUE!")</f>
        <v>#VALUE!</v>
      </c>
      <c r="H336" s="49" t="str">
        <f>IFERROR(__xludf.DUMMYFUNCTION("""COMPUTED_VALUE"""),"")</f>
        <v/>
      </c>
      <c r="I336" s="49" t="str">
        <f>IFERROR(__xludf.DUMMYFUNCTION("""COMPUTED_VALUE"""),"#VALUE!")</f>
        <v>#VALUE!</v>
      </c>
      <c r="J336" s="49" t="str">
        <f>IFERROR(__xludf.DUMMYFUNCTION("""COMPUTED_VALUE"""),"")</f>
        <v/>
      </c>
      <c r="K336" s="49"/>
      <c r="L336" s="49" t="s">
        <v>255</v>
      </c>
      <c r="M336" s="49"/>
      <c r="N336" s="49"/>
      <c r="O336" s="49"/>
      <c r="P336" s="49"/>
      <c r="Q336" s="49"/>
      <c r="R336" s="49"/>
      <c r="S336" s="49"/>
      <c r="T336" s="49"/>
    </row>
    <row r="337">
      <c r="A337" s="49"/>
      <c r="B337" s="49"/>
      <c r="C337" s="51"/>
      <c r="D337" s="49"/>
      <c r="E337" s="49"/>
      <c r="F337" s="49"/>
      <c r="G337" s="49" t="str">
        <f>IFERROR(__xludf.DUMMYFUNCTION("""COMPUTED_VALUE"""),"#VALUE!")</f>
        <v>#VALUE!</v>
      </c>
      <c r="H337" s="49" t="str">
        <f>IFERROR(__xludf.DUMMYFUNCTION("""COMPUTED_VALUE"""),"")</f>
        <v/>
      </c>
      <c r="I337" s="49" t="str">
        <f>IFERROR(__xludf.DUMMYFUNCTION("""COMPUTED_VALUE"""),"#VALUE!")</f>
        <v>#VALUE!</v>
      </c>
      <c r="J337" s="49" t="str">
        <f>IFERROR(__xludf.DUMMYFUNCTION("""COMPUTED_VALUE"""),"")</f>
        <v/>
      </c>
      <c r="K337" s="49"/>
      <c r="L337" s="49" t="s">
        <v>255</v>
      </c>
      <c r="M337" s="49"/>
      <c r="N337" s="49"/>
      <c r="O337" s="49"/>
      <c r="P337" s="49"/>
      <c r="Q337" s="49"/>
      <c r="R337" s="49"/>
      <c r="S337" s="49"/>
      <c r="T337" s="49"/>
    </row>
    <row r="338">
      <c r="A338" s="49"/>
      <c r="B338" s="49"/>
      <c r="C338" s="51"/>
      <c r="D338" s="49"/>
      <c r="E338" s="49"/>
      <c r="F338" s="49"/>
      <c r="G338" s="49" t="str">
        <f>IFERROR(__xludf.DUMMYFUNCTION("""COMPUTED_VALUE"""),"#VALUE!")</f>
        <v>#VALUE!</v>
      </c>
      <c r="H338" s="49" t="str">
        <f>IFERROR(__xludf.DUMMYFUNCTION("""COMPUTED_VALUE"""),"")</f>
        <v/>
      </c>
      <c r="I338" s="49" t="str">
        <f>IFERROR(__xludf.DUMMYFUNCTION("""COMPUTED_VALUE"""),"#VALUE!")</f>
        <v>#VALUE!</v>
      </c>
      <c r="J338" s="49" t="str">
        <f>IFERROR(__xludf.DUMMYFUNCTION("""COMPUTED_VALUE"""),"")</f>
        <v/>
      </c>
      <c r="K338" s="49"/>
      <c r="L338" s="49" t="s">
        <v>255</v>
      </c>
      <c r="M338" s="49"/>
      <c r="N338" s="49"/>
      <c r="O338" s="49"/>
      <c r="P338" s="49"/>
      <c r="Q338" s="49"/>
      <c r="R338" s="49"/>
      <c r="S338" s="49"/>
      <c r="T338" s="49"/>
    </row>
    <row r="339">
      <c r="A339" s="49"/>
      <c r="B339" s="49"/>
      <c r="C339" s="51"/>
      <c r="D339" s="49"/>
      <c r="E339" s="49"/>
      <c r="F339" s="49"/>
      <c r="G339" s="49" t="str">
        <f>IFERROR(__xludf.DUMMYFUNCTION("""COMPUTED_VALUE"""),"#VALUE!")</f>
        <v>#VALUE!</v>
      </c>
      <c r="H339" s="49" t="str">
        <f>IFERROR(__xludf.DUMMYFUNCTION("""COMPUTED_VALUE"""),"")</f>
        <v/>
      </c>
      <c r="I339" s="49" t="str">
        <f>IFERROR(__xludf.DUMMYFUNCTION("""COMPUTED_VALUE"""),"#VALUE!")</f>
        <v>#VALUE!</v>
      </c>
      <c r="J339" s="49" t="str">
        <f>IFERROR(__xludf.DUMMYFUNCTION("""COMPUTED_VALUE"""),"")</f>
        <v/>
      </c>
      <c r="K339" s="49"/>
      <c r="L339" s="49" t="s">
        <v>255</v>
      </c>
      <c r="M339" s="49"/>
      <c r="N339" s="49"/>
      <c r="O339" s="49"/>
      <c r="P339" s="49"/>
      <c r="Q339" s="49"/>
      <c r="R339" s="49"/>
      <c r="S339" s="49"/>
      <c r="T339" s="49"/>
    </row>
    <row r="340">
      <c r="A340" s="49"/>
      <c r="B340" s="49"/>
      <c r="C340" s="51"/>
      <c r="D340" s="49"/>
      <c r="E340" s="49"/>
      <c r="F340" s="49"/>
      <c r="G340" s="49" t="str">
        <f>IFERROR(__xludf.DUMMYFUNCTION("""COMPUTED_VALUE"""),"#VALUE!")</f>
        <v>#VALUE!</v>
      </c>
      <c r="H340" s="49" t="str">
        <f>IFERROR(__xludf.DUMMYFUNCTION("""COMPUTED_VALUE"""),"")</f>
        <v/>
      </c>
      <c r="I340" s="49" t="str">
        <f>IFERROR(__xludf.DUMMYFUNCTION("""COMPUTED_VALUE"""),"#VALUE!")</f>
        <v>#VALUE!</v>
      </c>
      <c r="J340" s="49" t="str">
        <f>IFERROR(__xludf.DUMMYFUNCTION("""COMPUTED_VALUE"""),"")</f>
        <v/>
      </c>
      <c r="K340" s="49"/>
      <c r="L340" s="49" t="s">
        <v>255</v>
      </c>
      <c r="M340" s="49"/>
      <c r="N340" s="49"/>
      <c r="O340" s="49"/>
      <c r="P340" s="49"/>
      <c r="Q340" s="49"/>
      <c r="R340" s="49"/>
      <c r="S340" s="49"/>
      <c r="T340" s="49"/>
    </row>
    <row r="341">
      <c r="A341" s="49"/>
      <c r="B341" s="49"/>
      <c r="C341" s="51"/>
      <c r="D341" s="49"/>
      <c r="E341" s="49"/>
      <c r="F341" s="49"/>
      <c r="G341" s="49" t="str">
        <f>IFERROR(__xludf.DUMMYFUNCTION("""COMPUTED_VALUE"""),"#VALUE!")</f>
        <v>#VALUE!</v>
      </c>
      <c r="H341" s="49" t="str">
        <f>IFERROR(__xludf.DUMMYFUNCTION("""COMPUTED_VALUE"""),"")</f>
        <v/>
      </c>
      <c r="I341" s="49" t="str">
        <f>IFERROR(__xludf.DUMMYFUNCTION("""COMPUTED_VALUE"""),"#VALUE!")</f>
        <v>#VALUE!</v>
      </c>
      <c r="J341" s="49" t="str">
        <f>IFERROR(__xludf.DUMMYFUNCTION("""COMPUTED_VALUE"""),"")</f>
        <v/>
      </c>
      <c r="K341" s="49"/>
      <c r="L341" s="49" t="s">
        <v>255</v>
      </c>
      <c r="M341" s="49"/>
      <c r="N341" s="49"/>
      <c r="O341" s="49"/>
      <c r="P341" s="49"/>
      <c r="Q341" s="49"/>
      <c r="R341" s="49"/>
      <c r="S341" s="49"/>
      <c r="T341" s="49"/>
    </row>
    <row r="342">
      <c r="A342" s="49"/>
      <c r="B342" s="49"/>
      <c r="C342" s="51"/>
      <c r="D342" s="49"/>
      <c r="E342" s="49"/>
      <c r="F342" s="49"/>
      <c r="G342" s="49" t="str">
        <f>IFERROR(__xludf.DUMMYFUNCTION("""COMPUTED_VALUE"""),"#VALUE!")</f>
        <v>#VALUE!</v>
      </c>
      <c r="H342" s="49" t="str">
        <f>IFERROR(__xludf.DUMMYFUNCTION("""COMPUTED_VALUE"""),"")</f>
        <v/>
      </c>
      <c r="I342" s="49" t="str">
        <f>IFERROR(__xludf.DUMMYFUNCTION("""COMPUTED_VALUE"""),"#VALUE!")</f>
        <v>#VALUE!</v>
      </c>
      <c r="J342" s="49" t="str">
        <f>IFERROR(__xludf.DUMMYFUNCTION("""COMPUTED_VALUE"""),"")</f>
        <v/>
      </c>
      <c r="K342" s="49"/>
      <c r="L342" s="49" t="s">
        <v>255</v>
      </c>
      <c r="M342" s="49"/>
      <c r="N342" s="49"/>
      <c r="O342" s="49"/>
      <c r="P342" s="49"/>
      <c r="Q342" s="49"/>
      <c r="R342" s="49"/>
      <c r="S342" s="49"/>
      <c r="T342" s="49"/>
    </row>
    <row r="343">
      <c r="A343" s="49"/>
      <c r="B343" s="49"/>
      <c r="C343" s="51"/>
      <c r="D343" s="49"/>
      <c r="E343" s="49"/>
      <c r="F343" s="49"/>
      <c r="G343" s="49" t="str">
        <f>IFERROR(__xludf.DUMMYFUNCTION("""COMPUTED_VALUE"""),"#VALUE!")</f>
        <v>#VALUE!</v>
      </c>
      <c r="H343" s="49" t="str">
        <f>IFERROR(__xludf.DUMMYFUNCTION("""COMPUTED_VALUE"""),"")</f>
        <v/>
      </c>
      <c r="I343" s="49" t="str">
        <f>IFERROR(__xludf.DUMMYFUNCTION("""COMPUTED_VALUE"""),"#VALUE!")</f>
        <v>#VALUE!</v>
      </c>
      <c r="J343" s="49" t="str">
        <f>IFERROR(__xludf.DUMMYFUNCTION("""COMPUTED_VALUE"""),"")</f>
        <v/>
      </c>
      <c r="K343" s="49"/>
      <c r="L343" s="49" t="s">
        <v>255</v>
      </c>
      <c r="M343" s="49"/>
      <c r="N343" s="49"/>
      <c r="O343" s="49"/>
      <c r="P343" s="49"/>
      <c r="Q343" s="49"/>
      <c r="R343" s="49"/>
      <c r="S343" s="49"/>
      <c r="T343" s="49"/>
    </row>
    <row r="344">
      <c r="A344" s="49"/>
      <c r="B344" s="49"/>
      <c r="C344" s="51"/>
      <c r="D344" s="49"/>
      <c r="E344" s="49"/>
      <c r="F344" s="49"/>
      <c r="G344" s="49" t="str">
        <f>IFERROR(__xludf.DUMMYFUNCTION("""COMPUTED_VALUE"""),"#VALUE!")</f>
        <v>#VALUE!</v>
      </c>
      <c r="H344" s="49" t="str">
        <f>IFERROR(__xludf.DUMMYFUNCTION("""COMPUTED_VALUE"""),"")</f>
        <v/>
      </c>
      <c r="I344" s="49" t="str">
        <f>IFERROR(__xludf.DUMMYFUNCTION("""COMPUTED_VALUE"""),"#VALUE!")</f>
        <v>#VALUE!</v>
      </c>
      <c r="J344" s="49" t="str">
        <f>IFERROR(__xludf.DUMMYFUNCTION("""COMPUTED_VALUE"""),"")</f>
        <v/>
      </c>
      <c r="K344" s="49"/>
      <c r="L344" s="49" t="s">
        <v>255</v>
      </c>
      <c r="M344" s="49"/>
      <c r="N344" s="49"/>
      <c r="O344" s="49"/>
      <c r="P344" s="49"/>
      <c r="Q344" s="49"/>
      <c r="R344" s="49"/>
      <c r="S344" s="49"/>
      <c r="T344" s="49"/>
    </row>
    <row r="345">
      <c r="A345" s="49"/>
      <c r="B345" s="49"/>
      <c r="C345" s="51"/>
      <c r="D345" s="49"/>
      <c r="E345" s="49"/>
      <c r="F345" s="49"/>
      <c r="G345" s="49" t="str">
        <f>IFERROR(__xludf.DUMMYFUNCTION("""COMPUTED_VALUE"""),"#VALUE!")</f>
        <v>#VALUE!</v>
      </c>
      <c r="H345" s="49" t="str">
        <f>IFERROR(__xludf.DUMMYFUNCTION("""COMPUTED_VALUE"""),"")</f>
        <v/>
      </c>
      <c r="I345" s="49" t="str">
        <f>IFERROR(__xludf.DUMMYFUNCTION("""COMPUTED_VALUE"""),"#VALUE!")</f>
        <v>#VALUE!</v>
      </c>
      <c r="J345" s="49" t="str">
        <f>IFERROR(__xludf.DUMMYFUNCTION("""COMPUTED_VALUE"""),"")</f>
        <v/>
      </c>
      <c r="K345" s="49"/>
      <c r="L345" s="49" t="s">
        <v>255</v>
      </c>
      <c r="M345" s="49"/>
      <c r="N345" s="49"/>
      <c r="O345" s="49"/>
      <c r="P345" s="49"/>
      <c r="Q345" s="49"/>
      <c r="R345" s="49"/>
      <c r="S345" s="49"/>
      <c r="T345" s="49"/>
    </row>
    <row r="346">
      <c r="A346" s="49"/>
      <c r="B346" s="49"/>
      <c r="C346" s="51"/>
      <c r="D346" s="49"/>
      <c r="E346" s="49"/>
      <c r="F346" s="49"/>
      <c r="G346" s="49" t="str">
        <f>IFERROR(__xludf.DUMMYFUNCTION("""COMPUTED_VALUE"""),"#VALUE!")</f>
        <v>#VALUE!</v>
      </c>
      <c r="H346" s="49" t="str">
        <f>IFERROR(__xludf.DUMMYFUNCTION("""COMPUTED_VALUE"""),"")</f>
        <v/>
      </c>
      <c r="I346" s="49" t="str">
        <f>IFERROR(__xludf.DUMMYFUNCTION("""COMPUTED_VALUE"""),"#VALUE!")</f>
        <v>#VALUE!</v>
      </c>
      <c r="J346" s="49" t="str">
        <f>IFERROR(__xludf.DUMMYFUNCTION("""COMPUTED_VALUE"""),"")</f>
        <v/>
      </c>
      <c r="K346" s="49"/>
      <c r="L346" s="49" t="s">
        <v>255</v>
      </c>
      <c r="M346" s="49"/>
      <c r="N346" s="49"/>
      <c r="O346" s="49"/>
      <c r="P346" s="49"/>
      <c r="Q346" s="49"/>
      <c r="R346" s="49"/>
      <c r="S346" s="49"/>
      <c r="T346" s="49"/>
    </row>
    <row r="347">
      <c r="A347" s="49"/>
      <c r="B347" s="49"/>
      <c r="C347" s="51"/>
      <c r="D347" s="49"/>
      <c r="E347" s="49"/>
      <c r="F347" s="49"/>
      <c r="G347" s="49" t="str">
        <f>IFERROR(__xludf.DUMMYFUNCTION("""COMPUTED_VALUE"""),"#VALUE!")</f>
        <v>#VALUE!</v>
      </c>
      <c r="H347" s="49" t="str">
        <f>IFERROR(__xludf.DUMMYFUNCTION("""COMPUTED_VALUE"""),"")</f>
        <v/>
      </c>
      <c r="I347" s="49" t="str">
        <f>IFERROR(__xludf.DUMMYFUNCTION("""COMPUTED_VALUE"""),"#VALUE!")</f>
        <v>#VALUE!</v>
      </c>
      <c r="J347" s="49" t="str">
        <f>IFERROR(__xludf.DUMMYFUNCTION("""COMPUTED_VALUE"""),"")</f>
        <v/>
      </c>
      <c r="K347" s="49"/>
      <c r="L347" s="49" t="s">
        <v>255</v>
      </c>
      <c r="M347" s="49"/>
      <c r="N347" s="49"/>
      <c r="O347" s="49"/>
      <c r="P347" s="49"/>
      <c r="Q347" s="49"/>
      <c r="R347" s="49"/>
      <c r="S347" s="49"/>
      <c r="T347" s="49"/>
    </row>
    <row r="348">
      <c r="A348" s="49"/>
      <c r="B348" s="49"/>
      <c r="C348" s="51"/>
      <c r="D348" s="49"/>
      <c r="E348" s="49"/>
      <c r="F348" s="49"/>
      <c r="G348" s="49" t="str">
        <f>IFERROR(__xludf.DUMMYFUNCTION("""COMPUTED_VALUE"""),"#VALUE!")</f>
        <v>#VALUE!</v>
      </c>
      <c r="H348" s="49" t="str">
        <f>IFERROR(__xludf.DUMMYFUNCTION("""COMPUTED_VALUE"""),"")</f>
        <v/>
      </c>
      <c r="I348" s="49" t="str">
        <f>IFERROR(__xludf.DUMMYFUNCTION("""COMPUTED_VALUE"""),"#VALUE!")</f>
        <v>#VALUE!</v>
      </c>
      <c r="J348" s="49" t="str">
        <f>IFERROR(__xludf.DUMMYFUNCTION("""COMPUTED_VALUE"""),"")</f>
        <v/>
      </c>
      <c r="K348" s="49"/>
      <c r="L348" s="49" t="s">
        <v>255</v>
      </c>
      <c r="M348" s="49"/>
      <c r="N348" s="49"/>
      <c r="O348" s="49"/>
      <c r="P348" s="49"/>
      <c r="Q348" s="49"/>
      <c r="R348" s="49"/>
      <c r="S348" s="49"/>
      <c r="T348" s="49"/>
    </row>
    <row r="349">
      <c r="A349" s="49"/>
      <c r="B349" s="49"/>
      <c r="C349" s="51"/>
      <c r="D349" s="49"/>
      <c r="E349" s="49"/>
      <c r="F349" s="49"/>
      <c r="G349" s="49" t="str">
        <f>IFERROR(__xludf.DUMMYFUNCTION("""COMPUTED_VALUE"""),"#VALUE!")</f>
        <v>#VALUE!</v>
      </c>
      <c r="H349" s="49" t="str">
        <f>IFERROR(__xludf.DUMMYFUNCTION("""COMPUTED_VALUE"""),"")</f>
        <v/>
      </c>
      <c r="I349" s="49" t="str">
        <f>IFERROR(__xludf.DUMMYFUNCTION("""COMPUTED_VALUE"""),"#VALUE!")</f>
        <v>#VALUE!</v>
      </c>
      <c r="J349" s="49" t="str">
        <f>IFERROR(__xludf.DUMMYFUNCTION("""COMPUTED_VALUE"""),"")</f>
        <v/>
      </c>
      <c r="K349" s="49"/>
      <c r="L349" s="49" t="s">
        <v>255</v>
      </c>
      <c r="M349" s="49"/>
      <c r="N349" s="49"/>
      <c r="O349" s="49"/>
      <c r="P349" s="49"/>
      <c r="Q349" s="49"/>
      <c r="R349" s="49"/>
      <c r="S349" s="49"/>
      <c r="T349" s="49"/>
    </row>
    <row r="350">
      <c r="A350" s="49"/>
      <c r="B350" s="49"/>
      <c r="C350" s="51"/>
      <c r="D350" s="49"/>
      <c r="E350" s="49"/>
      <c r="F350" s="49"/>
      <c r="G350" s="49" t="str">
        <f>IFERROR(__xludf.DUMMYFUNCTION("""COMPUTED_VALUE"""),"#VALUE!")</f>
        <v>#VALUE!</v>
      </c>
      <c r="H350" s="49" t="str">
        <f>IFERROR(__xludf.DUMMYFUNCTION("""COMPUTED_VALUE"""),"")</f>
        <v/>
      </c>
      <c r="I350" s="49" t="str">
        <f>IFERROR(__xludf.DUMMYFUNCTION("""COMPUTED_VALUE"""),"#VALUE!")</f>
        <v>#VALUE!</v>
      </c>
      <c r="J350" s="49" t="str">
        <f>IFERROR(__xludf.DUMMYFUNCTION("""COMPUTED_VALUE"""),"")</f>
        <v/>
      </c>
      <c r="K350" s="49"/>
      <c r="L350" s="49" t="s">
        <v>255</v>
      </c>
      <c r="M350" s="49"/>
      <c r="N350" s="49"/>
      <c r="O350" s="49"/>
      <c r="P350" s="49"/>
      <c r="Q350" s="49"/>
      <c r="R350" s="49"/>
      <c r="S350" s="49"/>
      <c r="T350" s="49"/>
    </row>
    <row r="351">
      <c r="A351" s="49"/>
      <c r="B351" s="49"/>
      <c r="C351" s="51"/>
      <c r="D351" s="49"/>
      <c r="E351" s="49"/>
      <c r="F351" s="49"/>
      <c r="G351" s="49" t="str">
        <f>IFERROR(__xludf.DUMMYFUNCTION("""COMPUTED_VALUE"""),"#VALUE!")</f>
        <v>#VALUE!</v>
      </c>
      <c r="H351" s="49" t="str">
        <f>IFERROR(__xludf.DUMMYFUNCTION("""COMPUTED_VALUE"""),"")</f>
        <v/>
      </c>
      <c r="I351" s="49" t="str">
        <f>IFERROR(__xludf.DUMMYFUNCTION("""COMPUTED_VALUE"""),"#VALUE!")</f>
        <v>#VALUE!</v>
      </c>
      <c r="J351" s="49" t="str">
        <f>IFERROR(__xludf.DUMMYFUNCTION("""COMPUTED_VALUE"""),"")</f>
        <v/>
      </c>
      <c r="K351" s="49"/>
      <c r="L351" s="49" t="s">
        <v>255</v>
      </c>
      <c r="M351" s="49"/>
      <c r="N351" s="49"/>
      <c r="O351" s="49"/>
      <c r="P351" s="49"/>
      <c r="Q351" s="49"/>
      <c r="R351" s="49"/>
      <c r="S351" s="49"/>
      <c r="T351" s="49"/>
    </row>
    <row r="352">
      <c r="A352" s="49"/>
      <c r="B352" s="49"/>
      <c r="C352" s="51"/>
      <c r="D352" s="49"/>
      <c r="E352" s="49"/>
      <c r="F352" s="49"/>
      <c r="G352" s="49" t="str">
        <f>IFERROR(__xludf.DUMMYFUNCTION("""COMPUTED_VALUE"""),"#VALUE!")</f>
        <v>#VALUE!</v>
      </c>
      <c r="H352" s="49" t="str">
        <f>IFERROR(__xludf.DUMMYFUNCTION("""COMPUTED_VALUE"""),"")</f>
        <v/>
      </c>
      <c r="I352" s="49" t="str">
        <f>IFERROR(__xludf.DUMMYFUNCTION("""COMPUTED_VALUE"""),"#VALUE!")</f>
        <v>#VALUE!</v>
      </c>
      <c r="J352" s="49" t="str">
        <f>IFERROR(__xludf.DUMMYFUNCTION("""COMPUTED_VALUE"""),"")</f>
        <v/>
      </c>
      <c r="K352" s="49"/>
      <c r="L352" s="49" t="s">
        <v>255</v>
      </c>
      <c r="M352" s="49"/>
      <c r="N352" s="49"/>
      <c r="O352" s="49"/>
      <c r="P352" s="49"/>
      <c r="Q352" s="49"/>
      <c r="R352" s="49"/>
      <c r="S352" s="49"/>
      <c r="T352" s="49"/>
    </row>
    <row r="353">
      <c r="A353" s="49"/>
      <c r="B353" s="49"/>
      <c r="C353" s="51"/>
      <c r="D353" s="49"/>
      <c r="E353" s="49"/>
      <c r="F353" s="49"/>
      <c r="G353" s="49" t="str">
        <f>IFERROR(__xludf.DUMMYFUNCTION("""COMPUTED_VALUE"""),"#VALUE!")</f>
        <v>#VALUE!</v>
      </c>
      <c r="H353" s="49" t="str">
        <f>IFERROR(__xludf.DUMMYFUNCTION("""COMPUTED_VALUE"""),"")</f>
        <v/>
      </c>
      <c r="I353" s="49" t="str">
        <f>IFERROR(__xludf.DUMMYFUNCTION("""COMPUTED_VALUE"""),"#VALUE!")</f>
        <v>#VALUE!</v>
      </c>
      <c r="J353" s="49" t="str">
        <f>IFERROR(__xludf.DUMMYFUNCTION("""COMPUTED_VALUE"""),"")</f>
        <v/>
      </c>
      <c r="K353" s="49"/>
      <c r="L353" s="49" t="s">
        <v>255</v>
      </c>
      <c r="M353" s="49"/>
      <c r="N353" s="49"/>
      <c r="O353" s="49"/>
      <c r="P353" s="49"/>
      <c r="Q353" s="49"/>
      <c r="R353" s="49"/>
      <c r="S353" s="49"/>
      <c r="T353" s="49"/>
    </row>
    <row r="354">
      <c r="A354" s="49"/>
      <c r="B354" s="49"/>
      <c r="C354" s="51"/>
      <c r="D354" s="49"/>
      <c r="E354" s="49"/>
      <c r="F354" s="49"/>
      <c r="G354" s="49" t="str">
        <f>IFERROR(__xludf.DUMMYFUNCTION("""COMPUTED_VALUE"""),"#VALUE!")</f>
        <v>#VALUE!</v>
      </c>
      <c r="H354" s="49" t="str">
        <f>IFERROR(__xludf.DUMMYFUNCTION("""COMPUTED_VALUE"""),"")</f>
        <v/>
      </c>
      <c r="I354" s="49" t="str">
        <f>IFERROR(__xludf.DUMMYFUNCTION("""COMPUTED_VALUE"""),"#VALUE!")</f>
        <v>#VALUE!</v>
      </c>
      <c r="J354" s="49" t="str">
        <f>IFERROR(__xludf.DUMMYFUNCTION("""COMPUTED_VALUE"""),"")</f>
        <v/>
      </c>
      <c r="K354" s="49"/>
      <c r="L354" s="49" t="s">
        <v>255</v>
      </c>
      <c r="M354" s="49"/>
      <c r="N354" s="49"/>
      <c r="O354" s="49"/>
      <c r="P354" s="49"/>
      <c r="Q354" s="49"/>
      <c r="R354" s="49"/>
      <c r="S354" s="49"/>
      <c r="T354" s="49"/>
    </row>
    <row r="355">
      <c r="A355" s="49"/>
      <c r="B355" s="49"/>
      <c r="C355" s="51"/>
      <c r="D355" s="49"/>
      <c r="E355" s="49"/>
      <c r="F355" s="49"/>
      <c r="G355" s="49" t="str">
        <f>IFERROR(__xludf.DUMMYFUNCTION("""COMPUTED_VALUE"""),"#VALUE!")</f>
        <v>#VALUE!</v>
      </c>
      <c r="H355" s="49" t="str">
        <f>IFERROR(__xludf.DUMMYFUNCTION("""COMPUTED_VALUE"""),"")</f>
        <v/>
      </c>
      <c r="I355" s="49" t="str">
        <f>IFERROR(__xludf.DUMMYFUNCTION("""COMPUTED_VALUE"""),"#VALUE!")</f>
        <v>#VALUE!</v>
      </c>
      <c r="J355" s="49" t="str">
        <f>IFERROR(__xludf.DUMMYFUNCTION("""COMPUTED_VALUE"""),"")</f>
        <v/>
      </c>
      <c r="K355" s="49"/>
      <c r="L355" s="49" t="s">
        <v>255</v>
      </c>
      <c r="M355" s="49"/>
      <c r="N355" s="49"/>
      <c r="O355" s="49"/>
      <c r="P355" s="49"/>
      <c r="Q355" s="49"/>
      <c r="R355" s="49"/>
      <c r="S355" s="49"/>
      <c r="T355" s="49"/>
    </row>
    <row r="356">
      <c r="A356" s="49"/>
      <c r="B356" s="49"/>
      <c r="C356" s="51"/>
      <c r="D356" s="49"/>
      <c r="E356" s="49"/>
      <c r="F356" s="49"/>
      <c r="G356" s="49" t="str">
        <f>IFERROR(__xludf.DUMMYFUNCTION("""COMPUTED_VALUE"""),"#VALUE!")</f>
        <v>#VALUE!</v>
      </c>
      <c r="H356" s="49" t="str">
        <f>IFERROR(__xludf.DUMMYFUNCTION("""COMPUTED_VALUE"""),"")</f>
        <v/>
      </c>
      <c r="I356" s="49" t="str">
        <f>IFERROR(__xludf.DUMMYFUNCTION("""COMPUTED_VALUE"""),"#VALUE!")</f>
        <v>#VALUE!</v>
      </c>
      <c r="J356" s="49" t="str">
        <f>IFERROR(__xludf.DUMMYFUNCTION("""COMPUTED_VALUE"""),"")</f>
        <v/>
      </c>
      <c r="K356" s="49"/>
      <c r="L356" s="49" t="s">
        <v>255</v>
      </c>
      <c r="M356" s="49"/>
      <c r="N356" s="49"/>
      <c r="O356" s="49"/>
      <c r="P356" s="49"/>
      <c r="Q356" s="49"/>
      <c r="R356" s="49"/>
      <c r="S356" s="49"/>
      <c r="T356" s="49"/>
    </row>
    <row r="357">
      <c r="A357" s="49"/>
      <c r="B357" s="49"/>
      <c r="C357" s="51"/>
      <c r="D357" s="49"/>
      <c r="E357" s="49"/>
      <c r="F357" s="49"/>
      <c r="G357" s="49" t="str">
        <f>IFERROR(__xludf.DUMMYFUNCTION("""COMPUTED_VALUE"""),"#VALUE!")</f>
        <v>#VALUE!</v>
      </c>
      <c r="H357" s="49" t="str">
        <f>IFERROR(__xludf.DUMMYFUNCTION("""COMPUTED_VALUE"""),"")</f>
        <v/>
      </c>
      <c r="I357" s="49" t="str">
        <f>IFERROR(__xludf.DUMMYFUNCTION("""COMPUTED_VALUE"""),"#VALUE!")</f>
        <v>#VALUE!</v>
      </c>
      <c r="J357" s="49" t="str">
        <f>IFERROR(__xludf.DUMMYFUNCTION("""COMPUTED_VALUE"""),"")</f>
        <v/>
      </c>
      <c r="K357" s="49"/>
      <c r="L357" s="49" t="s">
        <v>255</v>
      </c>
      <c r="M357" s="49"/>
      <c r="N357" s="49"/>
      <c r="O357" s="49"/>
      <c r="P357" s="49"/>
      <c r="Q357" s="49"/>
      <c r="R357" s="49"/>
      <c r="S357" s="49"/>
      <c r="T357" s="49"/>
    </row>
    <row r="358">
      <c r="A358" s="49"/>
      <c r="B358" s="49"/>
      <c r="C358" s="51"/>
      <c r="D358" s="49"/>
      <c r="E358" s="49"/>
      <c r="F358" s="49"/>
      <c r="G358" s="49" t="str">
        <f>IFERROR(__xludf.DUMMYFUNCTION("""COMPUTED_VALUE"""),"#VALUE!")</f>
        <v>#VALUE!</v>
      </c>
      <c r="H358" s="49" t="str">
        <f>IFERROR(__xludf.DUMMYFUNCTION("""COMPUTED_VALUE"""),"")</f>
        <v/>
      </c>
      <c r="I358" s="49" t="str">
        <f>IFERROR(__xludf.DUMMYFUNCTION("""COMPUTED_VALUE"""),"#VALUE!")</f>
        <v>#VALUE!</v>
      </c>
      <c r="J358" s="49" t="str">
        <f>IFERROR(__xludf.DUMMYFUNCTION("""COMPUTED_VALUE"""),"")</f>
        <v/>
      </c>
      <c r="K358" s="49"/>
      <c r="L358" s="49" t="s">
        <v>255</v>
      </c>
      <c r="M358" s="49"/>
      <c r="N358" s="49"/>
      <c r="O358" s="49"/>
      <c r="P358" s="49"/>
      <c r="Q358" s="49"/>
      <c r="R358" s="49"/>
      <c r="S358" s="49"/>
      <c r="T358" s="49"/>
    </row>
    <row r="359">
      <c r="A359" s="49"/>
      <c r="B359" s="49"/>
      <c r="C359" s="51"/>
      <c r="D359" s="49"/>
      <c r="E359" s="49"/>
      <c r="F359" s="49"/>
      <c r="G359" s="49" t="str">
        <f>IFERROR(__xludf.DUMMYFUNCTION("""COMPUTED_VALUE"""),"#VALUE!")</f>
        <v>#VALUE!</v>
      </c>
      <c r="H359" s="49" t="str">
        <f>IFERROR(__xludf.DUMMYFUNCTION("""COMPUTED_VALUE"""),"")</f>
        <v/>
      </c>
      <c r="I359" s="49" t="str">
        <f>IFERROR(__xludf.DUMMYFUNCTION("""COMPUTED_VALUE"""),"#VALUE!")</f>
        <v>#VALUE!</v>
      </c>
      <c r="J359" s="49" t="str">
        <f>IFERROR(__xludf.DUMMYFUNCTION("""COMPUTED_VALUE"""),"")</f>
        <v/>
      </c>
      <c r="K359" s="49"/>
      <c r="L359" s="49" t="s">
        <v>255</v>
      </c>
      <c r="M359" s="49"/>
      <c r="N359" s="49"/>
      <c r="O359" s="49"/>
      <c r="P359" s="49"/>
      <c r="Q359" s="49"/>
      <c r="R359" s="49"/>
      <c r="S359" s="49"/>
      <c r="T359" s="49"/>
    </row>
    <row r="360">
      <c r="A360" s="49"/>
      <c r="B360" s="49"/>
      <c r="C360" s="51"/>
      <c r="D360" s="49"/>
      <c r="E360" s="49"/>
      <c r="F360" s="49"/>
      <c r="G360" s="49" t="str">
        <f>IFERROR(__xludf.DUMMYFUNCTION("""COMPUTED_VALUE"""),"#VALUE!")</f>
        <v>#VALUE!</v>
      </c>
      <c r="H360" s="49" t="str">
        <f>IFERROR(__xludf.DUMMYFUNCTION("""COMPUTED_VALUE"""),"")</f>
        <v/>
      </c>
      <c r="I360" s="49" t="str">
        <f>IFERROR(__xludf.DUMMYFUNCTION("""COMPUTED_VALUE"""),"#VALUE!")</f>
        <v>#VALUE!</v>
      </c>
      <c r="J360" s="49" t="str">
        <f>IFERROR(__xludf.DUMMYFUNCTION("""COMPUTED_VALUE"""),"")</f>
        <v/>
      </c>
      <c r="K360" s="49"/>
      <c r="L360" s="49" t="s">
        <v>255</v>
      </c>
      <c r="M360" s="49"/>
      <c r="N360" s="49"/>
      <c r="O360" s="49"/>
      <c r="P360" s="49"/>
      <c r="Q360" s="49"/>
      <c r="R360" s="49"/>
      <c r="S360" s="49"/>
      <c r="T360" s="49"/>
    </row>
    <row r="361">
      <c r="A361" s="49"/>
      <c r="B361" s="49"/>
      <c r="C361" s="51"/>
      <c r="D361" s="49"/>
      <c r="E361" s="49"/>
      <c r="F361" s="49"/>
      <c r="G361" s="49" t="str">
        <f>IFERROR(__xludf.DUMMYFUNCTION("""COMPUTED_VALUE"""),"#VALUE!")</f>
        <v>#VALUE!</v>
      </c>
      <c r="H361" s="49" t="str">
        <f>IFERROR(__xludf.DUMMYFUNCTION("""COMPUTED_VALUE"""),"")</f>
        <v/>
      </c>
      <c r="I361" s="49" t="str">
        <f>IFERROR(__xludf.DUMMYFUNCTION("""COMPUTED_VALUE"""),"#VALUE!")</f>
        <v>#VALUE!</v>
      </c>
      <c r="J361" s="49" t="str">
        <f>IFERROR(__xludf.DUMMYFUNCTION("""COMPUTED_VALUE"""),"")</f>
        <v/>
      </c>
      <c r="K361" s="49"/>
      <c r="L361" s="49" t="s">
        <v>255</v>
      </c>
      <c r="M361" s="49"/>
      <c r="N361" s="49"/>
      <c r="O361" s="49"/>
      <c r="P361" s="49"/>
      <c r="Q361" s="49"/>
      <c r="R361" s="49"/>
      <c r="S361" s="49"/>
      <c r="T361" s="49"/>
    </row>
    <row r="362">
      <c r="A362" s="49"/>
      <c r="B362" s="49"/>
      <c r="C362" s="51"/>
      <c r="D362" s="49"/>
      <c r="E362" s="49"/>
      <c r="F362" s="49"/>
      <c r="G362" s="49" t="str">
        <f>IFERROR(__xludf.DUMMYFUNCTION("""COMPUTED_VALUE"""),"#VALUE!")</f>
        <v>#VALUE!</v>
      </c>
      <c r="H362" s="49" t="str">
        <f>IFERROR(__xludf.DUMMYFUNCTION("""COMPUTED_VALUE"""),"")</f>
        <v/>
      </c>
      <c r="I362" s="49" t="str">
        <f>IFERROR(__xludf.DUMMYFUNCTION("""COMPUTED_VALUE"""),"#VALUE!")</f>
        <v>#VALUE!</v>
      </c>
      <c r="J362" s="49" t="str">
        <f>IFERROR(__xludf.DUMMYFUNCTION("""COMPUTED_VALUE"""),"")</f>
        <v/>
      </c>
      <c r="K362" s="49"/>
      <c r="L362" s="49" t="s">
        <v>255</v>
      </c>
      <c r="M362" s="49"/>
      <c r="N362" s="49"/>
      <c r="O362" s="49"/>
      <c r="P362" s="49"/>
      <c r="Q362" s="49"/>
      <c r="R362" s="49"/>
      <c r="S362" s="49"/>
      <c r="T362" s="49"/>
    </row>
    <row r="363">
      <c r="A363" s="49"/>
      <c r="B363" s="49"/>
      <c r="C363" s="51"/>
      <c r="D363" s="49"/>
      <c r="E363" s="49"/>
      <c r="F363" s="49"/>
      <c r="G363" s="49" t="str">
        <f>IFERROR(__xludf.DUMMYFUNCTION("""COMPUTED_VALUE"""),"#VALUE!")</f>
        <v>#VALUE!</v>
      </c>
      <c r="H363" s="49" t="str">
        <f>IFERROR(__xludf.DUMMYFUNCTION("""COMPUTED_VALUE"""),"")</f>
        <v/>
      </c>
      <c r="I363" s="49" t="str">
        <f>IFERROR(__xludf.DUMMYFUNCTION("""COMPUTED_VALUE"""),"#VALUE!")</f>
        <v>#VALUE!</v>
      </c>
      <c r="J363" s="49" t="str">
        <f>IFERROR(__xludf.DUMMYFUNCTION("""COMPUTED_VALUE"""),"")</f>
        <v/>
      </c>
      <c r="K363" s="49"/>
      <c r="L363" s="49" t="s">
        <v>255</v>
      </c>
      <c r="M363" s="49"/>
      <c r="N363" s="49"/>
      <c r="O363" s="49"/>
      <c r="P363" s="49"/>
      <c r="Q363" s="49"/>
      <c r="R363" s="49"/>
      <c r="S363" s="49"/>
      <c r="T363" s="49"/>
    </row>
    <row r="364">
      <c r="A364" s="49"/>
      <c r="B364" s="49"/>
      <c r="C364" s="51"/>
      <c r="D364" s="49"/>
      <c r="E364" s="49"/>
      <c r="F364" s="49"/>
      <c r="G364" s="49" t="str">
        <f>IFERROR(__xludf.DUMMYFUNCTION("""COMPUTED_VALUE"""),"#VALUE!")</f>
        <v>#VALUE!</v>
      </c>
      <c r="H364" s="49" t="str">
        <f>IFERROR(__xludf.DUMMYFUNCTION("""COMPUTED_VALUE"""),"")</f>
        <v/>
      </c>
      <c r="I364" s="49" t="str">
        <f>IFERROR(__xludf.DUMMYFUNCTION("""COMPUTED_VALUE"""),"#VALUE!")</f>
        <v>#VALUE!</v>
      </c>
      <c r="J364" s="49" t="str">
        <f>IFERROR(__xludf.DUMMYFUNCTION("""COMPUTED_VALUE"""),"")</f>
        <v/>
      </c>
      <c r="K364" s="49"/>
      <c r="L364" s="49" t="s">
        <v>255</v>
      </c>
      <c r="M364" s="49"/>
      <c r="N364" s="49"/>
      <c r="O364" s="49"/>
      <c r="P364" s="49"/>
      <c r="Q364" s="49"/>
      <c r="R364" s="49"/>
      <c r="S364" s="49"/>
      <c r="T364" s="49"/>
    </row>
    <row r="365">
      <c r="A365" s="49"/>
      <c r="B365" s="49"/>
      <c r="C365" s="51"/>
      <c r="D365" s="49"/>
      <c r="E365" s="49"/>
      <c r="F365" s="49"/>
      <c r="G365" s="49" t="str">
        <f>IFERROR(__xludf.DUMMYFUNCTION("""COMPUTED_VALUE"""),"#VALUE!")</f>
        <v>#VALUE!</v>
      </c>
      <c r="H365" s="49" t="str">
        <f>IFERROR(__xludf.DUMMYFUNCTION("""COMPUTED_VALUE"""),"")</f>
        <v/>
      </c>
      <c r="I365" s="49" t="str">
        <f>IFERROR(__xludf.DUMMYFUNCTION("""COMPUTED_VALUE"""),"#VALUE!")</f>
        <v>#VALUE!</v>
      </c>
      <c r="J365" s="49" t="str">
        <f>IFERROR(__xludf.DUMMYFUNCTION("""COMPUTED_VALUE"""),"")</f>
        <v/>
      </c>
      <c r="K365" s="49"/>
      <c r="L365" s="49" t="s">
        <v>255</v>
      </c>
      <c r="M365" s="49"/>
      <c r="N365" s="49"/>
      <c r="O365" s="49"/>
      <c r="P365" s="49"/>
      <c r="Q365" s="49"/>
      <c r="R365" s="49"/>
      <c r="S365" s="49"/>
      <c r="T365" s="49"/>
    </row>
    <row r="366">
      <c r="A366" s="49"/>
      <c r="B366" s="49"/>
      <c r="C366" s="51"/>
      <c r="D366" s="49"/>
      <c r="E366" s="49"/>
      <c r="F366" s="49"/>
      <c r="G366" s="49" t="str">
        <f>IFERROR(__xludf.DUMMYFUNCTION("""COMPUTED_VALUE"""),"#VALUE!")</f>
        <v>#VALUE!</v>
      </c>
      <c r="H366" s="49" t="str">
        <f>IFERROR(__xludf.DUMMYFUNCTION("""COMPUTED_VALUE"""),"")</f>
        <v/>
      </c>
      <c r="I366" s="49" t="str">
        <f>IFERROR(__xludf.DUMMYFUNCTION("""COMPUTED_VALUE"""),"#VALUE!")</f>
        <v>#VALUE!</v>
      </c>
      <c r="J366" s="49" t="str">
        <f>IFERROR(__xludf.DUMMYFUNCTION("""COMPUTED_VALUE"""),"")</f>
        <v/>
      </c>
      <c r="K366" s="49"/>
      <c r="L366" s="49" t="s">
        <v>255</v>
      </c>
      <c r="M366" s="49"/>
      <c r="N366" s="49"/>
      <c r="O366" s="49"/>
      <c r="P366" s="49"/>
      <c r="Q366" s="49"/>
      <c r="R366" s="49"/>
      <c r="S366" s="49"/>
      <c r="T366" s="49"/>
    </row>
    <row r="367">
      <c r="A367" s="49"/>
      <c r="B367" s="49"/>
      <c r="C367" s="51"/>
      <c r="D367" s="49"/>
      <c r="E367" s="49"/>
      <c r="F367" s="49"/>
      <c r="G367" s="49" t="str">
        <f>IFERROR(__xludf.DUMMYFUNCTION("""COMPUTED_VALUE"""),"#VALUE!")</f>
        <v>#VALUE!</v>
      </c>
      <c r="H367" s="49" t="str">
        <f>IFERROR(__xludf.DUMMYFUNCTION("""COMPUTED_VALUE"""),"")</f>
        <v/>
      </c>
      <c r="I367" s="49" t="str">
        <f>IFERROR(__xludf.DUMMYFUNCTION("""COMPUTED_VALUE"""),"#VALUE!")</f>
        <v>#VALUE!</v>
      </c>
      <c r="J367" s="49" t="str">
        <f>IFERROR(__xludf.DUMMYFUNCTION("""COMPUTED_VALUE"""),"")</f>
        <v/>
      </c>
      <c r="K367" s="49"/>
      <c r="L367" s="49" t="s">
        <v>255</v>
      </c>
      <c r="M367" s="49"/>
      <c r="N367" s="49"/>
      <c r="O367" s="49"/>
      <c r="P367" s="49"/>
      <c r="Q367" s="49"/>
      <c r="R367" s="49"/>
      <c r="S367" s="49"/>
      <c r="T367" s="49"/>
    </row>
    <row r="368">
      <c r="A368" s="49"/>
      <c r="B368" s="49"/>
      <c r="C368" s="51"/>
      <c r="D368" s="49"/>
      <c r="E368" s="49"/>
      <c r="F368" s="49"/>
      <c r="G368" s="49" t="str">
        <f>IFERROR(__xludf.DUMMYFUNCTION("""COMPUTED_VALUE"""),"#VALUE!")</f>
        <v>#VALUE!</v>
      </c>
      <c r="H368" s="49" t="str">
        <f>IFERROR(__xludf.DUMMYFUNCTION("""COMPUTED_VALUE"""),"")</f>
        <v/>
      </c>
      <c r="I368" s="49" t="str">
        <f>IFERROR(__xludf.DUMMYFUNCTION("""COMPUTED_VALUE"""),"#VALUE!")</f>
        <v>#VALUE!</v>
      </c>
      <c r="J368" s="49" t="str">
        <f>IFERROR(__xludf.DUMMYFUNCTION("""COMPUTED_VALUE"""),"")</f>
        <v/>
      </c>
      <c r="K368" s="49"/>
      <c r="L368" s="49" t="s">
        <v>255</v>
      </c>
      <c r="M368" s="49"/>
      <c r="N368" s="49"/>
      <c r="O368" s="49"/>
      <c r="P368" s="49"/>
      <c r="Q368" s="49"/>
      <c r="R368" s="49"/>
      <c r="S368" s="49"/>
      <c r="T368" s="49"/>
    </row>
    <row r="369">
      <c r="A369" s="49"/>
      <c r="B369" s="49"/>
      <c r="C369" s="51"/>
      <c r="D369" s="49"/>
      <c r="E369" s="49"/>
      <c r="F369" s="49"/>
      <c r="G369" s="49" t="str">
        <f>IFERROR(__xludf.DUMMYFUNCTION("""COMPUTED_VALUE"""),"#VALUE!")</f>
        <v>#VALUE!</v>
      </c>
      <c r="H369" s="49" t="str">
        <f>IFERROR(__xludf.DUMMYFUNCTION("""COMPUTED_VALUE"""),"")</f>
        <v/>
      </c>
      <c r="I369" s="49" t="str">
        <f>IFERROR(__xludf.DUMMYFUNCTION("""COMPUTED_VALUE"""),"#VALUE!")</f>
        <v>#VALUE!</v>
      </c>
      <c r="J369" s="49" t="str">
        <f>IFERROR(__xludf.DUMMYFUNCTION("""COMPUTED_VALUE"""),"")</f>
        <v/>
      </c>
      <c r="K369" s="49"/>
      <c r="L369" s="49" t="s">
        <v>255</v>
      </c>
      <c r="M369" s="49"/>
      <c r="N369" s="49"/>
      <c r="O369" s="49"/>
      <c r="P369" s="49"/>
      <c r="Q369" s="49"/>
      <c r="R369" s="49"/>
      <c r="S369" s="49"/>
      <c r="T369" s="49"/>
    </row>
    <row r="370">
      <c r="A370" s="49"/>
      <c r="B370" s="49"/>
      <c r="C370" s="51"/>
      <c r="D370" s="49"/>
      <c r="E370" s="49"/>
      <c r="F370" s="49"/>
      <c r="G370" s="49" t="str">
        <f>IFERROR(__xludf.DUMMYFUNCTION("""COMPUTED_VALUE"""),"#VALUE!")</f>
        <v>#VALUE!</v>
      </c>
      <c r="H370" s="49" t="str">
        <f>IFERROR(__xludf.DUMMYFUNCTION("""COMPUTED_VALUE"""),"")</f>
        <v/>
      </c>
      <c r="I370" s="49" t="str">
        <f>IFERROR(__xludf.DUMMYFUNCTION("""COMPUTED_VALUE"""),"#VALUE!")</f>
        <v>#VALUE!</v>
      </c>
      <c r="J370" s="49" t="str">
        <f>IFERROR(__xludf.DUMMYFUNCTION("""COMPUTED_VALUE"""),"")</f>
        <v/>
      </c>
      <c r="K370" s="49"/>
      <c r="L370" s="49" t="s">
        <v>255</v>
      </c>
      <c r="M370" s="49"/>
      <c r="N370" s="49"/>
      <c r="O370" s="49"/>
      <c r="P370" s="49"/>
      <c r="Q370" s="49"/>
      <c r="R370" s="49"/>
      <c r="S370" s="49"/>
      <c r="T370" s="49"/>
    </row>
    <row r="371">
      <c r="A371" s="49"/>
      <c r="B371" s="49"/>
      <c r="C371" s="51"/>
      <c r="D371" s="49"/>
      <c r="E371" s="49"/>
      <c r="F371" s="49"/>
      <c r="G371" s="49" t="str">
        <f>IFERROR(__xludf.DUMMYFUNCTION("""COMPUTED_VALUE"""),"#VALUE!")</f>
        <v>#VALUE!</v>
      </c>
      <c r="H371" s="49" t="str">
        <f>IFERROR(__xludf.DUMMYFUNCTION("""COMPUTED_VALUE"""),"")</f>
        <v/>
      </c>
      <c r="I371" s="49" t="str">
        <f>IFERROR(__xludf.DUMMYFUNCTION("""COMPUTED_VALUE"""),"#VALUE!")</f>
        <v>#VALUE!</v>
      </c>
      <c r="J371" s="49" t="str">
        <f>IFERROR(__xludf.DUMMYFUNCTION("""COMPUTED_VALUE"""),"")</f>
        <v/>
      </c>
      <c r="K371" s="49"/>
      <c r="L371" s="49" t="s">
        <v>255</v>
      </c>
      <c r="M371" s="49"/>
      <c r="N371" s="49"/>
      <c r="O371" s="49"/>
      <c r="P371" s="49"/>
      <c r="Q371" s="49"/>
      <c r="R371" s="49"/>
      <c r="S371" s="49"/>
      <c r="T371" s="49"/>
    </row>
    <row r="372">
      <c r="A372" s="49"/>
      <c r="B372" s="49"/>
      <c r="C372" s="51"/>
      <c r="D372" s="49"/>
      <c r="E372" s="49"/>
      <c r="F372" s="49"/>
      <c r="G372" s="49" t="str">
        <f>IFERROR(__xludf.DUMMYFUNCTION("""COMPUTED_VALUE"""),"#VALUE!")</f>
        <v>#VALUE!</v>
      </c>
      <c r="H372" s="49" t="str">
        <f>IFERROR(__xludf.DUMMYFUNCTION("""COMPUTED_VALUE"""),"")</f>
        <v/>
      </c>
      <c r="I372" s="49" t="str">
        <f>IFERROR(__xludf.DUMMYFUNCTION("""COMPUTED_VALUE"""),"#VALUE!")</f>
        <v>#VALUE!</v>
      </c>
      <c r="J372" s="49" t="str">
        <f>IFERROR(__xludf.DUMMYFUNCTION("""COMPUTED_VALUE"""),"")</f>
        <v/>
      </c>
      <c r="K372" s="49"/>
      <c r="L372" s="49" t="s">
        <v>255</v>
      </c>
      <c r="M372" s="49"/>
      <c r="N372" s="49"/>
      <c r="O372" s="49"/>
      <c r="P372" s="49"/>
      <c r="Q372" s="49"/>
      <c r="R372" s="49"/>
      <c r="S372" s="49"/>
      <c r="T372" s="49"/>
    </row>
    <row r="373">
      <c r="A373" s="49"/>
      <c r="B373" s="49"/>
      <c r="C373" s="51"/>
      <c r="D373" s="49"/>
      <c r="E373" s="49"/>
      <c r="F373" s="49"/>
      <c r="G373" s="49" t="str">
        <f>IFERROR(__xludf.DUMMYFUNCTION("""COMPUTED_VALUE"""),"#VALUE!")</f>
        <v>#VALUE!</v>
      </c>
      <c r="H373" s="49" t="str">
        <f>IFERROR(__xludf.DUMMYFUNCTION("""COMPUTED_VALUE"""),"")</f>
        <v/>
      </c>
      <c r="I373" s="49" t="str">
        <f>IFERROR(__xludf.DUMMYFUNCTION("""COMPUTED_VALUE"""),"#VALUE!")</f>
        <v>#VALUE!</v>
      </c>
      <c r="J373" s="49" t="str">
        <f>IFERROR(__xludf.DUMMYFUNCTION("""COMPUTED_VALUE"""),"")</f>
        <v/>
      </c>
      <c r="K373" s="49"/>
      <c r="L373" s="49" t="s">
        <v>255</v>
      </c>
      <c r="M373" s="49"/>
      <c r="N373" s="49"/>
      <c r="O373" s="49"/>
      <c r="P373" s="49"/>
      <c r="Q373" s="49"/>
      <c r="R373" s="49"/>
      <c r="S373" s="49"/>
      <c r="T373" s="49"/>
    </row>
    <row r="374">
      <c r="A374" s="49"/>
      <c r="B374" s="49"/>
      <c r="C374" s="51"/>
      <c r="D374" s="49"/>
      <c r="E374" s="49"/>
      <c r="F374" s="49"/>
      <c r="G374" s="49" t="str">
        <f>IFERROR(__xludf.DUMMYFUNCTION("""COMPUTED_VALUE"""),"#VALUE!")</f>
        <v>#VALUE!</v>
      </c>
      <c r="H374" s="49" t="str">
        <f>IFERROR(__xludf.DUMMYFUNCTION("""COMPUTED_VALUE"""),"")</f>
        <v/>
      </c>
      <c r="I374" s="49" t="str">
        <f>IFERROR(__xludf.DUMMYFUNCTION("""COMPUTED_VALUE"""),"#VALUE!")</f>
        <v>#VALUE!</v>
      </c>
      <c r="J374" s="49" t="str">
        <f>IFERROR(__xludf.DUMMYFUNCTION("""COMPUTED_VALUE"""),"")</f>
        <v/>
      </c>
      <c r="K374" s="49"/>
      <c r="L374" s="49" t="s">
        <v>255</v>
      </c>
      <c r="M374" s="49"/>
      <c r="N374" s="49"/>
      <c r="O374" s="49"/>
      <c r="P374" s="49"/>
      <c r="Q374" s="49"/>
      <c r="R374" s="49"/>
      <c r="S374" s="49"/>
      <c r="T374" s="49"/>
    </row>
    <row r="375">
      <c r="A375" s="49"/>
      <c r="B375" s="49"/>
      <c r="C375" s="51"/>
      <c r="D375" s="49"/>
      <c r="E375" s="49"/>
      <c r="F375" s="49"/>
      <c r="G375" s="49" t="str">
        <f>IFERROR(__xludf.DUMMYFUNCTION("""COMPUTED_VALUE"""),"#VALUE!")</f>
        <v>#VALUE!</v>
      </c>
      <c r="H375" s="49" t="str">
        <f>IFERROR(__xludf.DUMMYFUNCTION("""COMPUTED_VALUE"""),"")</f>
        <v/>
      </c>
      <c r="I375" s="49" t="str">
        <f>IFERROR(__xludf.DUMMYFUNCTION("""COMPUTED_VALUE"""),"#VALUE!")</f>
        <v>#VALUE!</v>
      </c>
      <c r="J375" s="49" t="str">
        <f>IFERROR(__xludf.DUMMYFUNCTION("""COMPUTED_VALUE"""),"")</f>
        <v/>
      </c>
      <c r="K375" s="49"/>
      <c r="L375" s="49" t="s">
        <v>255</v>
      </c>
      <c r="M375" s="49"/>
      <c r="N375" s="49"/>
      <c r="O375" s="49"/>
      <c r="P375" s="49"/>
      <c r="Q375" s="49"/>
      <c r="R375" s="49"/>
      <c r="S375" s="49"/>
      <c r="T375" s="49"/>
    </row>
    <row r="376">
      <c r="A376" s="49"/>
      <c r="B376" s="49"/>
      <c r="C376" s="51"/>
      <c r="D376" s="49"/>
      <c r="E376" s="49"/>
      <c r="F376" s="49"/>
      <c r="G376" s="49" t="str">
        <f>IFERROR(__xludf.DUMMYFUNCTION("""COMPUTED_VALUE"""),"#VALUE!")</f>
        <v>#VALUE!</v>
      </c>
      <c r="H376" s="49" t="str">
        <f>IFERROR(__xludf.DUMMYFUNCTION("""COMPUTED_VALUE"""),"")</f>
        <v/>
      </c>
      <c r="I376" s="49" t="str">
        <f>IFERROR(__xludf.DUMMYFUNCTION("""COMPUTED_VALUE"""),"#VALUE!")</f>
        <v>#VALUE!</v>
      </c>
      <c r="J376" s="49" t="str">
        <f>IFERROR(__xludf.DUMMYFUNCTION("""COMPUTED_VALUE"""),"")</f>
        <v/>
      </c>
      <c r="K376" s="49"/>
      <c r="L376" s="49" t="s">
        <v>255</v>
      </c>
      <c r="M376" s="49"/>
      <c r="N376" s="49"/>
      <c r="O376" s="49"/>
      <c r="P376" s="49"/>
      <c r="Q376" s="49"/>
      <c r="R376" s="49"/>
      <c r="S376" s="49"/>
      <c r="T376" s="49"/>
    </row>
    <row r="377">
      <c r="A377" s="49"/>
      <c r="B377" s="49"/>
      <c r="C377" s="51"/>
      <c r="D377" s="49"/>
      <c r="E377" s="49"/>
      <c r="F377" s="49"/>
      <c r="G377" s="49" t="str">
        <f>IFERROR(__xludf.DUMMYFUNCTION("""COMPUTED_VALUE"""),"#VALUE!")</f>
        <v>#VALUE!</v>
      </c>
      <c r="H377" s="49" t="str">
        <f>IFERROR(__xludf.DUMMYFUNCTION("""COMPUTED_VALUE"""),"")</f>
        <v/>
      </c>
      <c r="I377" s="49" t="str">
        <f>IFERROR(__xludf.DUMMYFUNCTION("""COMPUTED_VALUE"""),"#VALUE!")</f>
        <v>#VALUE!</v>
      </c>
      <c r="J377" s="49" t="str">
        <f>IFERROR(__xludf.DUMMYFUNCTION("""COMPUTED_VALUE"""),"")</f>
        <v/>
      </c>
      <c r="K377" s="49"/>
      <c r="L377" s="49" t="s">
        <v>255</v>
      </c>
      <c r="M377" s="49"/>
      <c r="N377" s="49"/>
      <c r="O377" s="49"/>
      <c r="P377" s="49"/>
      <c r="Q377" s="49"/>
      <c r="R377" s="49"/>
      <c r="S377" s="49"/>
      <c r="T377" s="49"/>
    </row>
    <row r="378">
      <c r="A378" s="49"/>
      <c r="B378" s="49"/>
      <c r="C378" s="51"/>
      <c r="D378" s="49"/>
      <c r="E378" s="49"/>
      <c r="F378" s="49"/>
      <c r="G378" s="49" t="str">
        <f>IFERROR(__xludf.DUMMYFUNCTION("""COMPUTED_VALUE"""),"#VALUE!")</f>
        <v>#VALUE!</v>
      </c>
      <c r="H378" s="49" t="str">
        <f>IFERROR(__xludf.DUMMYFUNCTION("""COMPUTED_VALUE"""),"")</f>
        <v/>
      </c>
      <c r="I378" s="49" t="str">
        <f>IFERROR(__xludf.DUMMYFUNCTION("""COMPUTED_VALUE"""),"#VALUE!")</f>
        <v>#VALUE!</v>
      </c>
      <c r="J378" s="49" t="str">
        <f>IFERROR(__xludf.DUMMYFUNCTION("""COMPUTED_VALUE"""),"")</f>
        <v/>
      </c>
      <c r="K378" s="49"/>
      <c r="L378" s="49" t="s">
        <v>255</v>
      </c>
      <c r="M378" s="49"/>
      <c r="N378" s="49"/>
      <c r="O378" s="49"/>
      <c r="P378" s="49"/>
      <c r="Q378" s="49"/>
      <c r="R378" s="49"/>
      <c r="S378" s="49"/>
      <c r="T378" s="49"/>
    </row>
    <row r="379">
      <c r="A379" s="49"/>
      <c r="B379" s="49"/>
      <c r="C379" s="51"/>
      <c r="D379" s="49"/>
      <c r="E379" s="49"/>
      <c r="F379" s="49"/>
      <c r="G379" s="49" t="str">
        <f>IFERROR(__xludf.DUMMYFUNCTION("""COMPUTED_VALUE"""),"#VALUE!")</f>
        <v>#VALUE!</v>
      </c>
      <c r="H379" s="49" t="str">
        <f>IFERROR(__xludf.DUMMYFUNCTION("""COMPUTED_VALUE"""),"")</f>
        <v/>
      </c>
      <c r="I379" s="49" t="str">
        <f>IFERROR(__xludf.DUMMYFUNCTION("""COMPUTED_VALUE"""),"#VALUE!")</f>
        <v>#VALUE!</v>
      </c>
      <c r="J379" s="49" t="str">
        <f>IFERROR(__xludf.DUMMYFUNCTION("""COMPUTED_VALUE"""),"")</f>
        <v/>
      </c>
      <c r="K379" s="49"/>
      <c r="L379" s="49" t="s">
        <v>255</v>
      </c>
      <c r="M379" s="49"/>
      <c r="N379" s="49"/>
      <c r="O379" s="49"/>
      <c r="P379" s="49"/>
      <c r="Q379" s="49"/>
      <c r="R379" s="49"/>
      <c r="S379" s="49"/>
      <c r="T379" s="49"/>
    </row>
    <row r="380">
      <c r="A380" s="49"/>
      <c r="B380" s="49"/>
      <c r="C380" s="51"/>
      <c r="D380" s="49"/>
      <c r="E380" s="49"/>
      <c r="F380" s="49"/>
      <c r="G380" s="49" t="str">
        <f>IFERROR(__xludf.DUMMYFUNCTION("""COMPUTED_VALUE"""),"#VALUE!")</f>
        <v>#VALUE!</v>
      </c>
      <c r="H380" s="49" t="str">
        <f>IFERROR(__xludf.DUMMYFUNCTION("""COMPUTED_VALUE"""),"")</f>
        <v/>
      </c>
      <c r="I380" s="49" t="str">
        <f>IFERROR(__xludf.DUMMYFUNCTION("""COMPUTED_VALUE"""),"#VALUE!")</f>
        <v>#VALUE!</v>
      </c>
      <c r="J380" s="49" t="str">
        <f>IFERROR(__xludf.DUMMYFUNCTION("""COMPUTED_VALUE"""),"")</f>
        <v/>
      </c>
      <c r="K380" s="49"/>
      <c r="L380" s="49" t="s">
        <v>255</v>
      </c>
      <c r="M380" s="49"/>
      <c r="N380" s="49"/>
      <c r="O380" s="49"/>
      <c r="P380" s="49"/>
      <c r="Q380" s="49"/>
      <c r="R380" s="49"/>
      <c r="S380" s="49"/>
      <c r="T380" s="49"/>
    </row>
    <row r="381">
      <c r="A381" s="49"/>
      <c r="B381" s="49"/>
      <c r="C381" s="51"/>
      <c r="D381" s="49"/>
      <c r="E381" s="49"/>
      <c r="F381" s="49"/>
      <c r="G381" s="49" t="str">
        <f>IFERROR(__xludf.DUMMYFUNCTION("""COMPUTED_VALUE"""),"#VALUE!")</f>
        <v>#VALUE!</v>
      </c>
      <c r="H381" s="49" t="str">
        <f>IFERROR(__xludf.DUMMYFUNCTION("""COMPUTED_VALUE"""),"")</f>
        <v/>
      </c>
      <c r="I381" s="49" t="str">
        <f>IFERROR(__xludf.DUMMYFUNCTION("""COMPUTED_VALUE"""),"#VALUE!")</f>
        <v>#VALUE!</v>
      </c>
      <c r="J381" s="49" t="str">
        <f>IFERROR(__xludf.DUMMYFUNCTION("""COMPUTED_VALUE"""),"")</f>
        <v/>
      </c>
      <c r="K381" s="49"/>
      <c r="L381" s="49" t="s">
        <v>255</v>
      </c>
      <c r="M381" s="49"/>
      <c r="N381" s="49"/>
      <c r="O381" s="49"/>
      <c r="P381" s="49"/>
      <c r="Q381" s="49"/>
      <c r="R381" s="49"/>
      <c r="S381" s="49"/>
      <c r="T381" s="49"/>
    </row>
    <row r="382">
      <c r="A382" s="49"/>
      <c r="B382" s="49"/>
      <c r="C382" s="51"/>
      <c r="D382" s="49"/>
      <c r="E382" s="49"/>
      <c r="F382" s="49"/>
      <c r="G382" s="49" t="str">
        <f>IFERROR(__xludf.DUMMYFUNCTION("""COMPUTED_VALUE"""),"#VALUE!")</f>
        <v>#VALUE!</v>
      </c>
      <c r="H382" s="49" t="str">
        <f>IFERROR(__xludf.DUMMYFUNCTION("""COMPUTED_VALUE"""),"")</f>
        <v/>
      </c>
      <c r="I382" s="49" t="str">
        <f>IFERROR(__xludf.DUMMYFUNCTION("""COMPUTED_VALUE"""),"#VALUE!")</f>
        <v>#VALUE!</v>
      </c>
      <c r="J382" s="49" t="str">
        <f>IFERROR(__xludf.DUMMYFUNCTION("""COMPUTED_VALUE"""),"")</f>
        <v/>
      </c>
      <c r="K382" s="49"/>
      <c r="L382" s="49" t="s">
        <v>255</v>
      </c>
      <c r="M382" s="49"/>
      <c r="N382" s="49"/>
      <c r="O382" s="49"/>
      <c r="P382" s="49"/>
      <c r="Q382" s="49"/>
      <c r="R382" s="49"/>
      <c r="S382" s="49"/>
      <c r="T382" s="49"/>
    </row>
    <row r="383">
      <c r="A383" s="49"/>
      <c r="B383" s="49"/>
      <c r="C383" s="51"/>
      <c r="D383" s="49"/>
      <c r="E383" s="49"/>
      <c r="F383" s="49"/>
      <c r="G383" s="49" t="str">
        <f>IFERROR(__xludf.DUMMYFUNCTION("""COMPUTED_VALUE"""),"#VALUE!")</f>
        <v>#VALUE!</v>
      </c>
      <c r="H383" s="49" t="str">
        <f>IFERROR(__xludf.DUMMYFUNCTION("""COMPUTED_VALUE"""),"")</f>
        <v/>
      </c>
      <c r="I383" s="49" t="str">
        <f>IFERROR(__xludf.DUMMYFUNCTION("""COMPUTED_VALUE"""),"#VALUE!")</f>
        <v>#VALUE!</v>
      </c>
      <c r="J383" s="49" t="str">
        <f>IFERROR(__xludf.DUMMYFUNCTION("""COMPUTED_VALUE"""),"")</f>
        <v/>
      </c>
      <c r="K383" s="49"/>
      <c r="L383" s="49" t="s">
        <v>255</v>
      </c>
      <c r="M383" s="49"/>
      <c r="N383" s="49"/>
      <c r="O383" s="49"/>
      <c r="P383" s="49"/>
      <c r="Q383" s="49"/>
      <c r="R383" s="49"/>
      <c r="S383" s="49"/>
      <c r="T383" s="49"/>
    </row>
    <row r="384">
      <c r="A384" s="49"/>
      <c r="B384" s="49"/>
      <c r="C384" s="51"/>
      <c r="D384" s="49"/>
      <c r="E384" s="49"/>
      <c r="F384" s="49"/>
      <c r="G384" s="49" t="str">
        <f>IFERROR(__xludf.DUMMYFUNCTION("""COMPUTED_VALUE"""),"#VALUE!")</f>
        <v>#VALUE!</v>
      </c>
      <c r="H384" s="49" t="str">
        <f>IFERROR(__xludf.DUMMYFUNCTION("""COMPUTED_VALUE"""),"")</f>
        <v/>
      </c>
      <c r="I384" s="49" t="str">
        <f>IFERROR(__xludf.DUMMYFUNCTION("""COMPUTED_VALUE"""),"#VALUE!")</f>
        <v>#VALUE!</v>
      </c>
      <c r="J384" s="49" t="str">
        <f>IFERROR(__xludf.DUMMYFUNCTION("""COMPUTED_VALUE"""),"")</f>
        <v/>
      </c>
      <c r="K384" s="49"/>
      <c r="L384" s="49" t="s">
        <v>255</v>
      </c>
      <c r="M384" s="49"/>
      <c r="N384" s="49"/>
      <c r="O384" s="49"/>
      <c r="P384" s="49"/>
      <c r="Q384" s="49"/>
      <c r="R384" s="49"/>
      <c r="S384" s="49"/>
      <c r="T384" s="49"/>
    </row>
    <row r="385">
      <c r="A385" s="49"/>
      <c r="B385" s="49"/>
      <c r="C385" s="51"/>
      <c r="D385" s="49"/>
      <c r="E385" s="49"/>
      <c r="F385" s="49"/>
      <c r="G385" s="49" t="str">
        <f>IFERROR(__xludf.DUMMYFUNCTION("""COMPUTED_VALUE"""),"#VALUE!")</f>
        <v>#VALUE!</v>
      </c>
      <c r="H385" s="49" t="str">
        <f>IFERROR(__xludf.DUMMYFUNCTION("""COMPUTED_VALUE"""),"")</f>
        <v/>
      </c>
      <c r="I385" s="49" t="str">
        <f>IFERROR(__xludf.DUMMYFUNCTION("""COMPUTED_VALUE"""),"#VALUE!")</f>
        <v>#VALUE!</v>
      </c>
      <c r="J385" s="49" t="str">
        <f>IFERROR(__xludf.DUMMYFUNCTION("""COMPUTED_VALUE"""),"")</f>
        <v/>
      </c>
      <c r="K385" s="49"/>
      <c r="L385" s="49" t="s">
        <v>255</v>
      </c>
      <c r="M385" s="49"/>
      <c r="N385" s="49"/>
      <c r="O385" s="49"/>
      <c r="P385" s="49"/>
      <c r="Q385" s="49"/>
      <c r="R385" s="49"/>
      <c r="S385" s="49"/>
      <c r="T385" s="49"/>
    </row>
    <row r="386">
      <c r="A386" s="49"/>
      <c r="B386" s="49"/>
      <c r="C386" s="51"/>
      <c r="D386" s="49"/>
      <c r="E386" s="49"/>
      <c r="F386" s="49"/>
      <c r="G386" s="49" t="str">
        <f>IFERROR(__xludf.DUMMYFUNCTION("""COMPUTED_VALUE"""),"#VALUE!")</f>
        <v>#VALUE!</v>
      </c>
      <c r="H386" s="49" t="str">
        <f>IFERROR(__xludf.DUMMYFUNCTION("""COMPUTED_VALUE"""),"")</f>
        <v/>
      </c>
      <c r="I386" s="49" t="str">
        <f>IFERROR(__xludf.DUMMYFUNCTION("""COMPUTED_VALUE"""),"#VALUE!")</f>
        <v>#VALUE!</v>
      </c>
      <c r="J386" s="49" t="str">
        <f>IFERROR(__xludf.DUMMYFUNCTION("""COMPUTED_VALUE"""),"")</f>
        <v/>
      </c>
      <c r="K386" s="49"/>
      <c r="L386" s="49" t="s">
        <v>255</v>
      </c>
      <c r="M386" s="49"/>
      <c r="N386" s="49"/>
      <c r="O386" s="49"/>
      <c r="P386" s="49"/>
      <c r="Q386" s="49"/>
      <c r="R386" s="49"/>
      <c r="S386" s="49"/>
      <c r="T386" s="49"/>
    </row>
    <row r="387">
      <c r="A387" s="49"/>
      <c r="B387" s="49"/>
      <c r="C387" s="51"/>
      <c r="D387" s="49"/>
      <c r="E387" s="49"/>
      <c r="F387" s="49"/>
      <c r="G387" s="49" t="str">
        <f>IFERROR(__xludf.DUMMYFUNCTION("""COMPUTED_VALUE"""),"#VALUE!")</f>
        <v>#VALUE!</v>
      </c>
      <c r="H387" s="49" t="str">
        <f>IFERROR(__xludf.DUMMYFUNCTION("""COMPUTED_VALUE"""),"")</f>
        <v/>
      </c>
      <c r="I387" s="49" t="str">
        <f>IFERROR(__xludf.DUMMYFUNCTION("""COMPUTED_VALUE"""),"#VALUE!")</f>
        <v>#VALUE!</v>
      </c>
      <c r="J387" s="49" t="str">
        <f>IFERROR(__xludf.DUMMYFUNCTION("""COMPUTED_VALUE"""),"")</f>
        <v/>
      </c>
      <c r="K387" s="49"/>
      <c r="L387" s="49" t="s">
        <v>255</v>
      </c>
      <c r="M387" s="49"/>
      <c r="N387" s="49"/>
      <c r="O387" s="49"/>
      <c r="P387" s="49"/>
      <c r="Q387" s="49"/>
      <c r="R387" s="49"/>
      <c r="S387" s="49"/>
      <c r="T387" s="49"/>
    </row>
    <row r="388">
      <c r="A388" s="49"/>
      <c r="B388" s="49"/>
      <c r="C388" s="51"/>
      <c r="D388" s="49"/>
      <c r="E388" s="49"/>
      <c r="F388" s="49"/>
      <c r="G388" s="49" t="str">
        <f>IFERROR(__xludf.DUMMYFUNCTION("""COMPUTED_VALUE"""),"#VALUE!")</f>
        <v>#VALUE!</v>
      </c>
      <c r="H388" s="49" t="str">
        <f>IFERROR(__xludf.DUMMYFUNCTION("""COMPUTED_VALUE"""),"")</f>
        <v/>
      </c>
      <c r="I388" s="49" t="str">
        <f>IFERROR(__xludf.DUMMYFUNCTION("""COMPUTED_VALUE"""),"#VALUE!")</f>
        <v>#VALUE!</v>
      </c>
      <c r="J388" s="49" t="str">
        <f>IFERROR(__xludf.DUMMYFUNCTION("""COMPUTED_VALUE"""),"")</f>
        <v/>
      </c>
      <c r="K388" s="49"/>
      <c r="L388" s="49" t="s">
        <v>255</v>
      </c>
      <c r="M388" s="49"/>
      <c r="N388" s="49"/>
      <c r="O388" s="49"/>
      <c r="P388" s="49"/>
      <c r="Q388" s="49"/>
      <c r="R388" s="49"/>
      <c r="S388" s="49"/>
      <c r="T388" s="49"/>
    </row>
    <row r="389">
      <c r="A389" s="49"/>
      <c r="B389" s="49"/>
      <c r="C389" s="51"/>
      <c r="D389" s="49"/>
      <c r="E389" s="49"/>
      <c r="F389" s="49"/>
      <c r="G389" s="49" t="str">
        <f>IFERROR(__xludf.DUMMYFUNCTION("""COMPUTED_VALUE"""),"#VALUE!")</f>
        <v>#VALUE!</v>
      </c>
      <c r="H389" s="49" t="str">
        <f>IFERROR(__xludf.DUMMYFUNCTION("""COMPUTED_VALUE"""),"")</f>
        <v/>
      </c>
      <c r="I389" s="49" t="str">
        <f>IFERROR(__xludf.DUMMYFUNCTION("""COMPUTED_VALUE"""),"#VALUE!")</f>
        <v>#VALUE!</v>
      </c>
      <c r="J389" s="49" t="str">
        <f>IFERROR(__xludf.DUMMYFUNCTION("""COMPUTED_VALUE"""),"")</f>
        <v/>
      </c>
      <c r="K389" s="49"/>
      <c r="L389" s="49" t="s">
        <v>255</v>
      </c>
      <c r="M389" s="49"/>
      <c r="N389" s="49"/>
      <c r="O389" s="49"/>
      <c r="P389" s="49"/>
      <c r="Q389" s="49"/>
      <c r="R389" s="49"/>
      <c r="S389" s="49"/>
      <c r="T389" s="49"/>
    </row>
    <row r="390">
      <c r="A390" s="49"/>
      <c r="B390" s="49"/>
      <c r="C390" s="51"/>
      <c r="D390" s="49"/>
      <c r="E390" s="49"/>
      <c r="F390" s="49"/>
      <c r="G390" s="49" t="str">
        <f>IFERROR(__xludf.DUMMYFUNCTION("""COMPUTED_VALUE"""),"#VALUE!")</f>
        <v>#VALUE!</v>
      </c>
      <c r="H390" s="49" t="str">
        <f>IFERROR(__xludf.DUMMYFUNCTION("""COMPUTED_VALUE"""),"")</f>
        <v/>
      </c>
      <c r="I390" s="49" t="str">
        <f>IFERROR(__xludf.DUMMYFUNCTION("""COMPUTED_VALUE"""),"#VALUE!")</f>
        <v>#VALUE!</v>
      </c>
      <c r="J390" s="49" t="str">
        <f>IFERROR(__xludf.DUMMYFUNCTION("""COMPUTED_VALUE"""),"")</f>
        <v/>
      </c>
      <c r="K390" s="49"/>
      <c r="L390" s="49" t="s">
        <v>255</v>
      </c>
      <c r="M390" s="49"/>
      <c r="N390" s="49"/>
      <c r="O390" s="49"/>
      <c r="P390" s="49"/>
      <c r="Q390" s="49"/>
      <c r="R390" s="49"/>
      <c r="S390" s="49"/>
      <c r="T390" s="49"/>
    </row>
    <row r="391">
      <c r="A391" s="49"/>
      <c r="B391" s="49"/>
      <c r="C391" s="51"/>
      <c r="D391" s="49"/>
      <c r="E391" s="49"/>
      <c r="F391" s="49"/>
      <c r="G391" s="49" t="str">
        <f>IFERROR(__xludf.DUMMYFUNCTION("""COMPUTED_VALUE"""),"#VALUE!")</f>
        <v>#VALUE!</v>
      </c>
      <c r="H391" s="49" t="str">
        <f>IFERROR(__xludf.DUMMYFUNCTION("""COMPUTED_VALUE"""),"")</f>
        <v/>
      </c>
      <c r="I391" s="49" t="str">
        <f>IFERROR(__xludf.DUMMYFUNCTION("""COMPUTED_VALUE"""),"#VALUE!")</f>
        <v>#VALUE!</v>
      </c>
      <c r="J391" s="49" t="str">
        <f>IFERROR(__xludf.DUMMYFUNCTION("""COMPUTED_VALUE"""),"")</f>
        <v/>
      </c>
      <c r="K391" s="49"/>
      <c r="L391" s="49" t="s">
        <v>255</v>
      </c>
      <c r="M391" s="49"/>
      <c r="N391" s="49"/>
      <c r="O391" s="49"/>
      <c r="P391" s="49"/>
      <c r="Q391" s="49"/>
      <c r="R391" s="49"/>
      <c r="S391" s="49"/>
      <c r="T391" s="49"/>
    </row>
    <row r="392">
      <c r="A392" s="49"/>
      <c r="B392" s="49"/>
      <c r="C392" s="51"/>
      <c r="D392" s="49"/>
      <c r="E392" s="49"/>
      <c r="F392" s="49"/>
      <c r="G392" s="49" t="str">
        <f>IFERROR(__xludf.DUMMYFUNCTION("""COMPUTED_VALUE"""),"#VALUE!")</f>
        <v>#VALUE!</v>
      </c>
      <c r="H392" s="49" t="str">
        <f>IFERROR(__xludf.DUMMYFUNCTION("""COMPUTED_VALUE"""),"")</f>
        <v/>
      </c>
      <c r="I392" s="49" t="str">
        <f>IFERROR(__xludf.DUMMYFUNCTION("""COMPUTED_VALUE"""),"#VALUE!")</f>
        <v>#VALUE!</v>
      </c>
      <c r="J392" s="49" t="str">
        <f>IFERROR(__xludf.DUMMYFUNCTION("""COMPUTED_VALUE"""),"")</f>
        <v/>
      </c>
      <c r="K392" s="49"/>
      <c r="L392" s="49" t="s">
        <v>255</v>
      </c>
      <c r="M392" s="49"/>
      <c r="N392" s="49"/>
      <c r="O392" s="49"/>
      <c r="P392" s="49"/>
      <c r="Q392" s="49"/>
      <c r="R392" s="49"/>
      <c r="S392" s="49"/>
      <c r="T392" s="49"/>
    </row>
    <row r="393">
      <c r="A393" s="49"/>
      <c r="B393" s="49"/>
      <c r="C393" s="51"/>
      <c r="D393" s="49"/>
      <c r="E393" s="49"/>
      <c r="F393" s="49"/>
      <c r="G393" s="49" t="str">
        <f>IFERROR(__xludf.DUMMYFUNCTION("""COMPUTED_VALUE"""),"#VALUE!")</f>
        <v>#VALUE!</v>
      </c>
      <c r="H393" s="49" t="str">
        <f>IFERROR(__xludf.DUMMYFUNCTION("""COMPUTED_VALUE"""),"")</f>
        <v/>
      </c>
      <c r="I393" s="49" t="str">
        <f>IFERROR(__xludf.DUMMYFUNCTION("""COMPUTED_VALUE"""),"#VALUE!")</f>
        <v>#VALUE!</v>
      </c>
      <c r="J393" s="49" t="str">
        <f>IFERROR(__xludf.DUMMYFUNCTION("""COMPUTED_VALUE"""),"")</f>
        <v/>
      </c>
      <c r="K393" s="49"/>
      <c r="L393" s="49" t="s">
        <v>255</v>
      </c>
      <c r="M393" s="49"/>
      <c r="N393" s="49"/>
      <c r="O393" s="49"/>
      <c r="P393" s="49"/>
      <c r="Q393" s="49"/>
      <c r="R393" s="49"/>
      <c r="S393" s="49"/>
      <c r="T393" s="49"/>
    </row>
    <row r="394">
      <c r="A394" s="49"/>
      <c r="B394" s="49"/>
      <c r="C394" s="51"/>
      <c r="D394" s="49"/>
      <c r="E394" s="49"/>
      <c r="F394" s="49"/>
      <c r="G394" s="49" t="str">
        <f>IFERROR(__xludf.DUMMYFUNCTION("""COMPUTED_VALUE"""),"#VALUE!")</f>
        <v>#VALUE!</v>
      </c>
      <c r="H394" s="49" t="str">
        <f>IFERROR(__xludf.DUMMYFUNCTION("""COMPUTED_VALUE"""),"")</f>
        <v/>
      </c>
      <c r="I394" s="49" t="str">
        <f>IFERROR(__xludf.DUMMYFUNCTION("""COMPUTED_VALUE"""),"#VALUE!")</f>
        <v>#VALUE!</v>
      </c>
      <c r="J394" s="49" t="str">
        <f>IFERROR(__xludf.DUMMYFUNCTION("""COMPUTED_VALUE"""),"")</f>
        <v/>
      </c>
      <c r="K394" s="49"/>
      <c r="L394" s="49" t="s">
        <v>255</v>
      </c>
      <c r="M394" s="49"/>
      <c r="N394" s="49"/>
      <c r="O394" s="49"/>
      <c r="P394" s="49"/>
      <c r="Q394" s="49"/>
      <c r="R394" s="49"/>
      <c r="S394" s="49"/>
      <c r="T394" s="49"/>
    </row>
    <row r="395">
      <c r="A395" s="49"/>
      <c r="B395" s="49"/>
      <c r="C395" s="51"/>
      <c r="D395" s="49"/>
      <c r="E395" s="49"/>
      <c r="F395" s="49"/>
      <c r="G395" s="49" t="str">
        <f>IFERROR(__xludf.DUMMYFUNCTION("""COMPUTED_VALUE"""),"#VALUE!")</f>
        <v>#VALUE!</v>
      </c>
      <c r="H395" s="49" t="str">
        <f>IFERROR(__xludf.DUMMYFUNCTION("""COMPUTED_VALUE"""),"")</f>
        <v/>
      </c>
      <c r="I395" s="49" t="str">
        <f>IFERROR(__xludf.DUMMYFUNCTION("""COMPUTED_VALUE"""),"#VALUE!")</f>
        <v>#VALUE!</v>
      </c>
      <c r="J395" s="49" t="str">
        <f>IFERROR(__xludf.DUMMYFUNCTION("""COMPUTED_VALUE"""),"")</f>
        <v/>
      </c>
      <c r="K395" s="49"/>
      <c r="L395" s="49" t="s">
        <v>255</v>
      </c>
      <c r="M395" s="49"/>
      <c r="N395" s="49"/>
      <c r="O395" s="49"/>
      <c r="P395" s="49"/>
      <c r="Q395" s="49"/>
      <c r="R395" s="49"/>
      <c r="S395" s="49"/>
      <c r="T395" s="49"/>
    </row>
    <row r="396">
      <c r="A396" s="49"/>
      <c r="B396" s="49"/>
      <c r="C396" s="51"/>
      <c r="D396" s="49"/>
      <c r="E396" s="49"/>
      <c r="F396" s="49"/>
      <c r="G396" s="49" t="str">
        <f>IFERROR(__xludf.DUMMYFUNCTION("""COMPUTED_VALUE"""),"#VALUE!")</f>
        <v>#VALUE!</v>
      </c>
      <c r="H396" s="49" t="str">
        <f>IFERROR(__xludf.DUMMYFUNCTION("""COMPUTED_VALUE"""),"")</f>
        <v/>
      </c>
      <c r="I396" s="49" t="str">
        <f>IFERROR(__xludf.DUMMYFUNCTION("""COMPUTED_VALUE"""),"#VALUE!")</f>
        <v>#VALUE!</v>
      </c>
      <c r="J396" s="49" t="str">
        <f>IFERROR(__xludf.DUMMYFUNCTION("""COMPUTED_VALUE"""),"")</f>
        <v/>
      </c>
      <c r="K396" s="49"/>
      <c r="L396" s="49" t="s">
        <v>255</v>
      </c>
      <c r="M396" s="49"/>
      <c r="N396" s="49"/>
      <c r="O396" s="49"/>
      <c r="P396" s="49"/>
      <c r="Q396" s="49"/>
      <c r="R396" s="49"/>
      <c r="S396" s="49"/>
      <c r="T396" s="49"/>
    </row>
    <row r="397">
      <c r="A397" s="49"/>
      <c r="B397" s="49"/>
      <c r="C397" s="51"/>
      <c r="D397" s="49"/>
      <c r="E397" s="49"/>
      <c r="F397" s="49"/>
      <c r="G397" s="49" t="str">
        <f>IFERROR(__xludf.DUMMYFUNCTION("""COMPUTED_VALUE"""),"#VALUE!")</f>
        <v>#VALUE!</v>
      </c>
      <c r="H397" s="49" t="str">
        <f>IFERROR(__xludf.DUMMYFUNCTION("""COMPUTED_VALUE"""),"")</f>
        <v/>
      </c>
      <c r="I397" s="49" t="str">
        <f>IFERROR(__xludf.DUMMYFUNCTION("""COMPUTED_VALUE"""),"#VALUE!")</f>
        <v>#VALUE!</v>
      </c>
      <c r="J397" s="49" t="str">
        <f>IFERROR(__xludf.DUMMYFUNCTION("""COMPUTED_VALUE"""),"")</f>
        <v/>
      </c>
      <c r="K397" s="49"/>
      <c r="L397" s="49" t="s">
        <v>255</v>
      </c>
      <c r="M397" s="49"/>
      <c r="N397" s="49"/>
      <c r="O397" s="49"/>
      <c r="P397" s="49"/>
      <c r="Q397" s="49"/>
      <c r="R397" s="49"/>
      <c r="S397" s="49"/>
      <c r="T397" s="49"/>
    </row>
    <row r="398">
      <c r="A398" s="49"/>
      <c r="B398" s="49"/>
      <c r="C398" s="51"/>
      <c r="D398" s="49"/>
      <c r="E398" s="49"/>
      <c r="F398" s="49"/>
      <c r="G398" s="49" t="str">
        <f>IFERROR(__xludf.DUMMYFUNCTION("""COMPUTED_VALUE"""),"#VALUE!")</f>
        <v>#VALUE!</v>
      </c>
      <c r="H398" s="49" t="str">
        <f>IFERROR(__xludf.DUMMYFUNCTION("""COMPUTED_VALUE"""),"")</f>
        <v/>
      </c>
      <c r="I398" s="49" t="str">
        <f>IFERROR(__xludf.DUMMYFUNCTION("""COMPUTED_VALUE"""),"#VALUE!")</f>
        <v>#VALUE!</v>
      </c>
      <c r="J398" s="49" t="str">
        <f>IFERROR(__xludf.DUMMYFUNCTION("""COMPUTED_VALUE"""),"")</f>
        <v/>
      </c>
      <c r="K398" s="49"/>
      <c r="L398" s="49" t="s">
        <v>255</v>
      </c>
      <c r="M398" s="49"/>
      <c r="N398" s="49"/>
      <c r="O398" s="49"/>
      <c r="P398" s="49"/>
      <c r="Q398" s="49"/>
      <c r="R398" s="49"/>
      <c r="S398" s="49"/>
      <c r="T398" s="49"/>
    </row>
    <row r="399">
      <c r="A399" s="49"/>
      <c r="B399" s="49"/>
      <c r="C399" s="51"/>
      <c r="D399" s="49"/>
      <c r="E399" s="49"/>
      <c r="F399" s="49"/>
      <c r="G399" s="49" t="str">
        <f>IFERROR(__xludf.DUMMYFUNCTION("""COMPUTED_VALUE"""),"#VALUE!")</f>
        <v>#VALUE!</v>
      </c>
      <c r="H399" s="49" t="str">
        <f>IFERROR(__xludf.DUMMYFUNCTION("""COMPUTED_VALUE"""),"")</f>
        <v/>
      </c>
      <c r="I399" s="49" t="str">
        <f>IFERROR(__xludf.DUMMYFUNCTION("""COMPUTED_VALUE"""),"#VALUE!")</f>
        <v>#VALUE!</v>
      </c>
      <c r="J399" s="49" t="str">
        <f>IFERROR(__xludf.DUMMYFUNCTION("""COMPUTED_VALUE"""),"")</f>
        <v/>
      </c>
      <c r="K399" s="49"/>
      <c r="L399" s="49" t="s">
        <v>255</v>
      </c>
      <c r="M399" s="49"/>
      <c r="N399" s="49"/>
      <c r="O399" s="49"/>
      <c r="P399" s="49"/>
      <c r="Q399" s="49"/>
      <c r="R399" s="49"/>
      <c r="S399" s="49"/>
      <c r="T399" s="49"/>
    </row>
    <row r="400">
      <c r="A400" s="49"/>
      <c r="B400" s="49"/>
      <c r="C400" s="51"/>
      <c r="D400" s="49"/>
      <c r="E400" s="49"/>
      <c r="F400" s="49"/>
      <c r="G400" s="49" t="str">
        <f>IFERROR(__xludf.DUMMYFUNCTION("""COMPUTED_VALUE"""),"#VALUE!")</f>
        <v>#VALUE!</v>
      </c>
      <c r="H400" s="49" t="str">
        <f>IFERROR(__xludf.DUMMYFUNCTION("""COMPUTED_VALUE"""),"")</f>
        <v/>
      </c>
      <c r="I400" s="49" t="str">
        <f>IFERROR(__xludf.DUMMYFUNCTION("""COMPUTED_VALUE"""),"#VALUE!")</f>
        <v>#VALUE!</v>
      </c>
      <c r="J400" s="49" t="str">
        <f>IFERROR(__xludf.DUMMYFUNCTION("""COMPUTED_VALUE"""),"")</f>
        <v/>
      </c>
      <c r="K400" s="49"/>
      <c r="L400" s="49" t="s">
        <v>255</v>
      </c>
      <c r="M400" s="49"/>
      <c r="N400" s="49"/>
      <c r="O400" s="49"/>
      <c r="P400" s="49"/>
      <c r="Q400" s="49"/>
      <c r="R400" s="49"/>
      <c r="S400" s="49"/>
      <c r="T400" s="49"/>
    </row>
    <row r="401">
      <c r="A401" s="49"/>
      <c r="B401" s="49"/>
      <c r="C401" s="51"/>
      <c r="D401" s="49"/>
      <c r="E401" s="49"/>
      <c r="F401" s="49"/>
      <c r="G401" s="49" t="str">
        <f>IFERROR(__xludf.DUMMYFUNCTION("""COMPUTED_VALUE"""),"#VALUE!")</f>
        <v>#VALUE!</v>
      </c>
      <c r="H401" s="49" t="str">
        <f>IFERROR(__xludf.DUMMYFUNCTION("""COMPUTED_VALUE"""),"")</f>
        <v/>
      </c>
      <c r="I401" s="49" t="str">
        <f>IFERROR(__xludf.DUMMYFUNCTION("""COMPUTED_VALUE"""),"#VALUE!")</f>
        <v>#VALUE!</v>
      </c>
      <c r="J401" s="49" t="str">
        <f>IFERROR(__xludf.DUMMYFUNCTION("""COMPUTED_VALUE"""),"")</f>
        <v/>
      </c>
      <c r="K401" s="49"/>
      <c r="L401" s="49" t="s">
        <v>255</v>
      </c>
      <c r="M401" s="49"/>
      <c r="N401" s="49"/>
      <c r="O401" s="49"/>
      <c r="P401" s="49"/>
      <c r="Q401" s="49"/>
      <c r="R401" s="49"/>
      <c r="S401" s="49"/>
      <c r="T401" s="49"/>
    </row>
    <row r="402">
      <c r="A402" s="49"/>
      <c r="B402" s="49"/>
      <c r="C402" s="51"/>
      <c r="D402" s="49"/>
      <c r="E402" s="49"/>
      <c r="F402" s="49"/>
      <c r="G402" s="49" t="str">
        <f>IFERROR(__xludf.DUMMYFUNCTION("""COMPUTED_VALUE"""),"#VALUE!")</f>
        <v>#VALUE!</v>
      </c>
      <c r="H402" s="49" t="str">
        <f>IFERROR(__xludf.DUMMYFUNCTION("""COMPUTED_VALUE"""),"")</f>
        <v/>
      </c>
      <c r="I402" s="49" t="str">
        <f>IFERROR(__xludf.DUMMYFUNCTION("""COMPUTED_VALUE"""),"#VALUE!")</f>
        <v>#VALUE!</v>
      </c>
      <c r="J402" s="49" t="str">
        <f>IFERROR(__xludf.DUMMYFUNCTION("""COMPUTED_VALUE"""),"")</f>
        <v/>
      </c>
      <c r="K402" s="49"/>
      <c r="L402" s="49" t="s">
        <v>255</v>
      </c>
      <c r="M402" s="49"/>
      <c r="N402" s="49"/>
      <c r="O402" s="49"/>
      <c r="P402" s="49"/>
      <c r="Q402" s="49"/>
      <c r="R402" s="49"/>
      <c r="S402" s="49"/>
      <c r="T402" s="49"/>
    </row>
    <row r="403">
      <c r="A403" s="49"/>
      <c r="B403" s="49"/>
      <c r="C403" s="51"/>
      <c r="D403" s="49"/>
      <c r="E403" s="49"/>
      <c r="F403" s="49"/>
      <c r="G403" s="49" t="str">
        <f>IFERROR(__xludf.DUMMYFUNCTION("""COMPUTED_VALUE"""),"#VALUE!")</f>
        <v>#VALUE!</v>
      </c>
      <c r="H403" s="49" t="str">
        <f>IFERROR(__xludf.DUMMYFUNCTION("""COMPUTED_VALUE"""),"")</f>
        <v/>
      </c>
      <c r="I403" s="49" t="str">
        <f>IFERROR(__xludf.DUMMYFUNCTION("""COMPUTED_VALUE"""),"#VALUE!")</f>
        <v>#VALUE!</v>
      </c>
      <c r="J403" s="49" t="str">
        <f>IFERROR(__xludf.DUMMYFUNCTION("""COMPUTED_VALUE"""),"")</f>
        <v/>
      </c>
      <c r="K403" s="49"/>
      <c r="L403" s="49" t="s">
        <v>255</v>
      </c>
      <c r="M403" s="49"/>
      <c r="N403" s="49"/>
      <c r="O403" s="49"/>
      <c r="P403" s="49"/>
      <c r="Q403" s="49"/>
      <c r="R403" s="49"/>
      <c r="S403" s="49"/>
      <c r="T403" s="49"/>
    </row>
    <row r="404">
      <c r="A404" s="49"/>
      <c r="B404" s="49"/>
      <c r="C404" s="51"/>
      <c r="D404" s="49"/>
      <c r="E404" s="49"/>
      <c r="F404" s="49"/>
      <c r="G404" s="49" t="str">
        <f>IFERROR(__xludf.DUMMYFUNCTION("""COMPUTED_VALUE"""),"#VALUE!")</f>
        <v>#VALUE!</v>
      </c>
      <c r="H404" s="49" t="str">
        <f>IFERROR(__xludf.DUMMYFUNCTION("""COMPUTED_VALUE"""),"")</f>
        <v/>
      </c>
      <c r="I404" s="49" t="str">
        <f>IFERROR(__xludf.DUMMYFUNCTION("""COMPUTED_VALUE"""),"#VALUE!")</f>
        <v>#VALUE!</v>
      </c>
      <c r="J404" s="49" t="str">
        <f>IFERROR(__xludf.DUMMYFUNCTION("""COMPUTED_VALUE"""),"")</f>
        <v/>
      </c>
      <c r="K404" s="49"/>
      <c r="L404" s="49" t="s">
        <v>255</v>
      </c>
      <c r="M404" s="49"/>
      <c r="N404" s="49"/>
      <c r="O404" s="49"/>
      <c r="P404" s="49"/>
      <c r="Q404" s="49"/>
      <c r="R404" s="49"/>
      <c r="S404" s="49"/>
      <c r="T404" s="49"/>
    </row>
    <row r="405">
      <c r="A405" s="49"/>
      <c r="B405" s="49"/>
      <c r="C405" s="51"/>
      <c r="D405" s="49"/>
      <c r="E405" s="49"/>
      <c r="F405" s="49"/>
      <c r="G405" s="49" t="str">
        <f>IFERROR(__xludf.DUMMYFUNCTION("""COMPUTED_VALUE"""),"#VALUE!")</f>
        <v>#VALUE!</v>
      </c>
      <c r="H405" s="49" t="str">
        <f>IFERROR(__xludf.DUMMYFUNCTION("""COMPUTED_VALUE"""),"")</f>
        <v/>
      </c>
      <c r="I405" s="49" t="str">
        <f>IFERROR(__xludf.DUMMYFUNCTION("""COMPUTED_VALUE"""),"#VALUE!")</f>
        <v>#VALUE!</v>
      </c>
      <c r="J405" s="49" t="str">
        <f>IFERROR(__xludf.DUMMYFUNCTION("""COMPUTED_VALUE"""),"")</f>
        <v/>
      </c>
      <c r="K405" s="49"/>
      <c r="L405" s="49" t="s">
        <v>255</v>
      </c>
      <c r="M405" s="49"/>
      <c r="N405" s="49"/>
      <c r="O405" s="49"/>
      <c r="P405" s="49"/>
      <c r="Q405" s="49"/>
      <c r="R405" s="49"/>
      <c r="S405" s="49"/>
      <c r="T405" s="49"/>
    </row>
    <row r="406">
      <c r="A406" s="49"/>
      <c r="B406" s="49"/>
      <c r="C406" s="51"/>
      <c r="D406" s="49"/>
      <c r="E406" s="49"/>
      <c r="F406" s="49"/>
      <c r="G406" s="49" t="str">
        <f>IFERROR(__xludf.DUMMYFUNCTION("""COMPUTED_VALUE"""),"#VALUE!")</f>
        <v>#VALUE!</v>
      </c>
      <c r="H406" s="49" t="str">
        <f>IFERROR(__xludf.DUMMYFUNCTION("""COMPUTED_VALUE"""),"")</f>
        <v/>
      </c>
      <c r="I406" s="49" t="str">
        <f>IFERROR(__xludf.DUMMYFUNCTION("""COMPUTED_VALUE"""),"#VALUE!")</f>
        <v>#VALUE!</v>
      </c>
      <c r="J406" s="49" t="str">
        <f>IFERROR(__xludf.DUMMYFUNCTION("""COMPUTED_VALUE"""),"")</f>
        <v/>
      </c>
      <c r="K406" s="49"/>
      <c r="L406" s="49" t="s">
        <v>255</v>
      </c>
      <c r="M406" s="49"/>
      <c r="N406" s="49"/>
      <c r="O406" s="49"/>
      <c r="P406" s="49"/>
      <c r="Q406" s="49"/>
      <c r="R406" s="49"/>
      <c r="S406" s="49"/>
      <c r="T406" s="49"/>
    </row>
    <row r="407">
      <c r="A407" s="49"/>
      <c r="B407" s="49"/>
      <c r="C407" s="51"/>
      <c r="D407" s="49"/>
      <c r="E407" s="49"/>
      <c r="F407" s="49"/>
      <c r="G407" s="49" t="str">
        <f>IFERROR(__xludf.DUMMYFUNCTION("""COMPUTED_VALUE"""),"#VALUE!")</f>
        <v>#VALUE!</v>
      </c>
      <c r="H407" s="49" t="str">
        <f>IFERROR(__xludf.DUMMYFUNCTION("""COMPUTED_VALUE"""),"")</f>
        <v/>
      </c>
      <c r="I407" s="49" t="str">
        <f>IFERROR(__xludf.DUMMYFUNCTION("""COMPUTED_VALUE"""),"#VALUE!")</f>
        <v>#VALUE!</v>
      </c>
      <c r="J407" s="49" t="str">
        <f>IFERROR(__xludf.DUMMYFUNCTION("""COMPUTED_VALUE"""),"")</f>
        <v/>
      </c>
      <c r="K407" s="49"/>
      <c r="L407" s="49" t="s">
        <v>255</v>
      </c>
      <c r="M407" s="49"/>
      <c r="N407" s="49"/>
      <c r="O407" s="49"/>
      <c r="P407" s="49"/>
      <c r="Q407" s="49"/>
      <c r="R407" s="49"/>
      <c r="S407" s="49"/>
      <c r="T407" s="49"/>
    </row>
    <row r="408">
      <c r="A408" s="49"/>
      <c r="B408" s="49"/>
      <c r="C408" s="51"/>
      <c r="D408" s="49"/>
      <c r="E408" s="49"/>
      <c r="F408" s="49"/>
      <c r="G408" s="49" t="str">
        <f>IFERROR(__xludf.DUMMYFUNCTION("""COMPUTED_VALUE"""),"#VALUE!")</f>
        <v>#VALUE!</v>
      </c>
      <c r="H408" s="49" t="str">
        <f>IFERROR(__xludf.DUMMYFUNCTION("""COMPUTED_VALUE"""),"")</f>
        <v/>
      </c>
      <c r="I408" s="49" t="str">
        <f>IFERROR(__xludf.DUMMYFUNCTION("""COMPUTED_VALUE"""),"#VALUE!")</f>
        <v>#VALUE!</v>
      </c>
      <c r="J408" s="49" t="str">
        <f>IFERROR(__xludf.DUMMYFUNCTION("""COMPUTED_VALUE"""),"")</f>
        <v/>
      </c>
      <c r="K408" s="49"/>
      <c r="L408" s="49" t="s">
        <v>255</v>
      </c>
      <c r="M408" s="49"/>
      <c r="N408" s="49"/>
      <c r="O408" s="49"/>
      <c r="P408" s="49"/>
      <c r="Q408" s="49"/>
      <c r="R408" s="49"/>
      <c r="S408" s="49"/>
      <c r="T408" s="49"/>
    </row>
    <row r="409">
      <c r="A409" s="49"/>
      <c r="B409" s="49"/>
      <c r="C409" s="51"/>
      <c r="D409" s="49"/>
      <c r="E409" s="49"/>
      <c r="F409" s="49"/>
      <c r="G409" s="49" t="str">
        <f>IFERROR(__xludf.DUMMYFUNCTION("""COMPUTED_VALUE"""),"#VALUE!")</f>
        <v>#VALUE!</v>
      </c>
      <c r="H409" s="49" t="str">
        <f>IFERROR(__xludf.DUMMYFUNCTION("""COMPUTED_VALUE"""),"")</f>
        <v/>
      </c>
      <c r="I409" s="49" t="str">
        <f>IFERROR(__xludf.DUMMYFUNCTION("""COMPUTED_VALUE"""),"#VALUE!")</f>
        <v>#VALUE!</v>
      </c>
      <c r="J409" s="49" t="str">
        <f>IFERROR(__xludf.DUMMYFUNCTION("""COMPUTED_VALUE"""),"")</f>
        <v/>
      </c>
      <c r="K409" s="49"/>
      <c r="L409" s="49" t="s">
        <v>255</v>
      </c>
      <c r="M409" s="49"/>
      <c r="N409" s="49"/>
      <c r="O409" s="49"/>
      <c r="P409" s="49"/>
      <c r="Q409" s="49"/>
      <c r="R409" s="49"/>
      <c r="S409" s="49"/>
      <c r="T409" s="49"/>
    </row>
    <row r="410">
      <c r="A410" s="49"/>
      <c r="B410" s="49"/>
      <c r="C410" s="51"/>
      <c r="D410" s="49"/>
      <c r="E410" s="49"/>
      <c r="F410" s="49"/>
      <c r="G410" s="49" t="str">
        <f>IFERROR(__xludf.DUMMYFUNCTION("""COMPUTED_VALUE"""),"#VALUE!")</f>
        <v>#VALUE!</v>
      </c>
      <c r="H410" s="49" t="str">
        <f>IFERROR(__xludf.DUMMYFUNCTION("""COMPUTED_VALUE"""),"")</f>
        <v/>
      </c>
      <c r="I410" s="49" t="str">
        <f>IFERROR(__xludf.DUMMYFUNCTION("""COMPUTED_VALUE"""),"#VALUE!")</f>
        <v>#VALUE!</v>
      </c>
      <c r="J410" s="49" t="str">
        <f>IFERROR(__xludf.DUMMYFUNCTION("""COMPUTED_VALUE"""),"")</f>
        <v/>
      </c>
      <c r="K410" s="49"/>
      <c r="L410" s="49" t="s">
        <v>255</v>
      </c>
      <c r="M410" s="49"/>
      <c r="N410" s="49"/>
      <c r="O410" s="49"/>
      <c r="P410" s="49"/>
      <c r="Q410" s="49"/>
      <c r="R410" s="49"/>
      <c r="S410" s="49"/>
      <c r="T410" s="49"/>
    </row>
    <row r="411">
      <c r="A411" s="49"/>
      <c r="B411" s="49"/>
      <c r="C411" s="51"/>
      <c r="D411" s="49"/>
      <c r="E411" s="49"/>
      <c r="F411" s="49"/>
      <c r="G411" s="49" t="str">
        <f>IFERROR(__xludf.DUMMYFUNCTION("""COMPUTED_VALUE"""),"#VALUE!")</f>
        <v>#VALUE!</v>
      </c>
      <c r="H411" s="49" t="str">
        <f>IFERROR(__xludf.DUMMYFUNCTION("""COMPUTED_VALUE"""),"")</f>
        <v/>
      </c>
      <c r="I411" s="49" t="str">
        <f>IFERROR(__xludf.DUMMYFUNCTION("""COMPUTED_VALUE"""),"#VALUE!")</f>
        <v>#VALUE!</v>
      </c>
      <c r="J411" s="49" t="str">
        <f>IFERROR(__xludf.DUMMYFUNCTION("""COMPUTED_VALUE"""),"")</f>
        <v/>
      </c>
      <c r="K411" s="49"/>
      <c r="L411" s="49" t="s">
        <v>255</v>
      </c>
      <c r="M411" s="49"/>
      <c r="N411" s="49"/>
      <c r="O411" s="49"/>
      <c r="P411" s="49"/>
      <c r="Q411" s="49"/>
      <c r="R411" s="49"/>
      <c r="S411" s="49"/>
      <c r="T411" s="49"/>
    </row>
    <row r="412">
      <c r="A412" s="49"/>
      <c r="B412" s="49"/>
      <c r="C412" s="51"/>
      <c r="D412" s="49"/>
      <c r="E412" s="49"/>
      <c r="F412" s="49"/>
      <c r="G412" s="49" t="str">
        <f>IFERROR(__xludf.DUMMYFUNCTION("""COMPUTED_VALUE"""),"#VALUE!")</f>
        <v>#VALUE!</v>
      </c>
      <c r="H412" s="49" t="str">
        <f>IFERROR(__xludf.DUMMYFUNCTION("""COMPUTED_VALUE"""),"")</f>
        <v/>
      </c>
      <c r="I412" s="49" t="str">
        <f>IFERROR(__xludf.DUMMYFUNCTION("""COMPUTED_VALUE"""),"#VALUE!")</f>
        <v>#VALUE!</v>
      </c>
      <c r="J412" s="49" t="str">
        <f>IFERROR(__xludf.DUMMYFUNCTION("""COMPUTED_VALUE"""),"")</f>
        <v/>
      </c>
      <c r="K412" s="49"/>
      <c r="L412" s="49" t="s">
        <v>255</v>
      </c>
      <c r="M412" s="49"/>
      <c r="N412" s="49"/>
      <c r="O412" s="49"/>
      <c r="P412" s="49"/>
      <c r="Q412" s="49"/>
      <c r="R412" s="49"/>
      <c r="S412" s="49"/>
      <c r="T412" s="49"/>
    </row>
    <row r="413">
      <c r="A413" s="49"/>
      <c r="B413" s="49"/>
      <c r="C413" s="51"/>
      <c r="D413" s="49"/>
      <c r="E413" s="49"/>
      <c r="F413" s="49"/>
      <c r="G413" s="49" t="str">
        <f>IFERROR(__xludf.DUMMYFUNCTION("""COMPUTED_VALUE"""),"#VALUE!")</f>
        <v>#VALUE!</v>
      </c>
      <c r="H413" s="49" t="str">
        <f>IFERROR(__xludf.DUMMYFUNCTION("""COMPUTED_VALUE"""),"")</f>
        <v/>
      </c>
      <c r="I413" s="49" t="str">
        <f>IFERROR(__xludf.DUMMYFUNCTION("""COMPUTED_VALUE"""),"#VALUE!")</f>
        <v>#VALUE!</v>
      </c>
      <c r="J413" s="49" t="str">
        <f>IFERROR(__xludf.DUMMYFUNCTION("""COMPUTED_VALUE"""),"")</f>
        <v/>
      </c>
      <c r="K413" s="49"/>
      <c r="L413" s="49" t="s">
        <v>255</v>
      </c>
      <c r="M413" s="49"/>
      <c r="N413" s="49"/>
      <c r="O413" s="49"/>
      <c r="P413" s="49"/>
      <c r="Q413" s="49"/>
      <c r="R413" s="49"/>
      <c r="S413" s="49"/>
      <c r="T413" s="49"/>
    </row>
    <row r="414">
      <c r="A414" s="49"/>
      <c r="B414" s="49"/>
      <c r="C414" s="51"/>
      <c r="D414" s="49"/>
      <c r="E414" s="49"/>
      <c r="F414" s="49"/>
      <c r="G414" s="49" t="str">
        <f>IFERROR(__xludf.DUMMYFUNCTION("""COMPUTED_VALUE"""),"#VALUE!")</f>
        <v>#VALUE!</v>
      </c>
      <c r="H414" s="49" t="str">
        <f>IFERROR(__xludf.DUMMYFUNCTION("""COMPUTED_VALUE"""),"")</f>
        <v/>
      </c>
      <c r="I414" s="49" t="str">
        <f>IFERROR(__xludf.DUMMYFUNCTION("""COMPUTED_VALUE"""),"#VALUE!")</f>
        <v>#VALUE!</v>
      </c>
      <c r="J414" s="49" t="str">
        <f>IFERROR(__xludf.DUMMYFUNCTION("""COMPUTED_VALUE"""),"")</f>
        <v/>
      </c>
      <c r="K414" s="49"/>
      <c r="L414" s="49" t="s">
        <v>255</v>
      </c>
      <c r="M414" s="49"/>
      <c r="N414" s="49"/>
      <c r="O414" s="49"/>
      <c r="P414" s="49"/>
      <c r="Q414" s="49"/>
      <c r="R414" s="49"/>
      <c r="S414" s="49"/>
      <c r="T414" s="49"/>
    </row>
    <row r="415">
      <c r="A415" s="49"/>
      <c r="B415" s="49"/>
      <c r="C415" s="51"/>
      <c r="D415" s="49"/>
      <c r="E415" s="49"/>
      <c r="F415" s="49"/>
      <c r="G415" s="49" t="str">
        <f>IFERROR(__xludf.DUMMYFUNCTION("""COMPUTED_VALUE"""),"#VALUE!")</f>
        <v>#VALUE!</v>
      </c>
      <c r="H415" s="49" t="str">
        <f>IFERROR(__xludf.DUMMYFUNCTION("""COMPUTED_VALUE"""),"")</f>
        <v/>
      </c>
      <c r="I415" s="49" t="str">
        <f>IFERROR(__xludf.DUMMYFUNCTION("""COMPUTED_VALUE"""),"#VALUE!")</f>
        <v>#VALUE!</v>
      </c>
      <c r="J415" s="49" t="str">
        <f>IFERROR(__xludf.DUMMYFUNCTION("""COMPUTED_VALUE"""),"")</f>
        <v/>
      </c>
      <c r="K415" s="49"/>
      <c r="L415" s="49" t="s">
        <v>255</v>
      </c>
      <c r="M415" s="49"/>
      <c r="N415" s="49"/>
      <c r="O415" s="49"/>
      <c r="P415" s="49"/>
      <c r="Q415" s="49"/>
      <c r="R415" s="49"/>
      <c r="S415" s="49"/>
      <c r="T415" s="49"/>
    </row>
    <row r="416">
      <c r="A416" s="49"/>
      <c r="B416" s="49"/>
      <c r="C416" s="51"/>
      <c r="D416" s="49"/>
      <c r="E416" s="49"/>
      <c r="F416" s="49"/>
      <c r="G416" s="49" t="str">
        <f>IFERROR(__xludf.DUMMYFUNCTION("""COMPUTED_VALUE"""),"#VALUE!")</f>
        <v>#VALUE!</v>
      </c>
      <c r="H416" s="49" t="str">
        <f>IFERROR(__xludf.DUMMYFUNCTION("""COMPUTED_VALUE"""),"")</f>
        <v/>
      </c>
      <c r="I416" s="49" t="str">
        <f>IFERROR(__xludf.DUMMYFUNCTION("""COMPUTED_VALUE"""),"#VALUE!")</f>
        <v>#VALUE!</v>
      </c>
      <c r="J416" s="49" t="str">
        <f>IFERROR(__xludf.DUMMYFUNCTION("""COMPUTED_VALUE"""),"")</f>
        <v/>
      </c>
      <c r="K416" s="49"/>
      <c r="L416" s="49" t="s">
        <v>255</v>
      </c>
      <c r="M416" s="49"/>
      <c r="N416" s="49"/>
      <c r="O416" s="49"/>
      <c r="P416" s="49"/>
      <c r="Q416" s="49"/>
      <c r="R416" s="49"/>
      <c r="S416" s="49"/>
      <c r="T416" s="49"/>
    </row>
    <row r="417">
      <c r="A417" s="49"/>
      <c r="B417" s="49"/>
      <c r="C417" s="51"/>
      <c r="D417" s="49"/>
      <c r="E417" s="49"/>
      <c r="F417" s="49"/>
      <c r="G417" s="49" t="str">
        <f>IFERROR(__xludf.DUMMYFUNCTION("""COMPUTED_VALUE"""),"#VALUE!")</f>
        <v>#VALUE!</v>
      </c>
      <c r="H417" s="49" t="str">
        <f>IFERROR(__xludf.DUMMYFUNCTION("""COMPUTED_VALUE"""),"")</f>
        <v/>
      </c>
      <c r="I417" s="49" t="str">
        <f>IFERROR(__xludf.DUMMYFUNCTION("""COMPUTED_VALUE"""),"#VALUE!")</f>
        <v>#VALUE!</v>
      </c>
      <c r="J417" s="49" t="str">
        <f>IFERROR(__xludf.DUMMYFUNCTION("""COMPUTED_VALUE"""),"")</f>
        <v/>
      </c>
      <c r="K417" s="49"/>
      <c r="L417" s="49" t="s">
        <v>255</v>
      </c>
      <c r="M417" s="49"/>
      <c r="N417" s="49"/>
      <c r="O417" s="49"/>
      <c r="P417" s="49"/>
      <c r="Q417" s="49"/>
      <c r="R417" s="49"/>
      <c r="S417" s="49"/>
      <c r="T417" s="49"/>
    </row>
    <row r="418">
      <c r="A418" s="49"/>
      <c r="B418" s="49"/>
      <c r="C418" s="51"/>
      <c r="D418" s="49"/>
      <c r="E418" s="49"/>
      <c r="F418" s="49"/>
      <c r="G418" s="49" t="str">
        <f>IFERROR(__xludf.DUMMYFUNCTION("""COMPUTED_VALUE"""),"#VALUE!")</f>
        <v>#VALUE!</v>
      </c>
      <c r="H418" s="49" t="str">
        <f>IFERROR(__xludf.DUMMYFUNCTION("""COMPUTED_VALUE"""),"")</f>
        <v/>
      </c>
      <c r="I418" s="49" t="str">
        <f>IFERROR(__xludf.DUMMYFUNCTION("""COMPUTED_VALUE"""),"#VALUE!")</f>
        <v>#VALUE!</v>
      </c>
      <c r="J418" s="49" t="str">
        <f>IFERROR(__xludf.DUMMYFUNCTION("""COMPUTED_VALUE"""),"")</f>
        <v/>
      </c>
      <c r="K418" s="49"/>
      <c r="L418" s="49" t="s">
        <v>255</v>
      </c>
      <c r="M418" s="49"/>
      <c r="N418" s="49"/>
      <c r="O418" s="49"/>
      <c r="P418" s="49"/>
      <c r="Q418" s="49"/>
      <c r="R418" s="49"/>
      <c r="S418" s="49"/>
      <c r="T418" s="49"/>
    </row>
    <row r="419">
      <c r="A419" s="49"/>
      <c r="B419" s="49"/>
      <c r="C419" s="51"/>
      <c r="D419" s="49"/>
      <c r="E419" s="49"/>
      <c r="F419" s="49"/>
      <c r="G419" s="49" t="str">
        <f>IFERROR(__xludf.DUMMYFUNCTION("""COMPUTED_VALUE"""),"#VALUE!")</f>
        <v>#VALUE!</v>
      </c>
      <c r="H419" s="49" t="str">
        <f>IFERROR(__xludf.DUMMYFUNCTION("""COMPUTED_VALUE"""),"")</f>
        <v/>
      </c>
      <c r="I419" s="49" t="str">
        <f>IFERROR(__xludf.DUMMYFUNCTION("""COMPUTED_VALUE"""),"#VALUE!")</f>
        <v>#VALUE!</v>
      </c>
      <c r="J419" s="49" t="str">
        <f>IFERROR(__xludf.DUMMYFUNCTION("""COMPUTED_VALUE"""),"")</f>
        <v/>
      </c>
      <c r="K419" s="49"/>
      <c r="L419" s="49" t="s">
        <v>255</v>
      </c>
      <c r="M419" s="49"/>
      <c r="N419" s="49"/>
      <c r="O419" s="49"/>
      <c r="P419" s="49"/>
      <c r="Q419" s="49"/>
      <c r="R419" s="49"/>
      <c r="S419" s="49"/>
      <c r="T419" s="49"/>
    </row>
    <row r="420">
      <c r="A420" s="49"/>
      <c r="B420" s="49"/>
      <c r="C420" s="51"/>
      <c r="D420" s="49"/>
      <c r="E420" s="49"/>
      <c r="F420" s="49"/>
      <c r="G420" s="49" t="str">
        <f>IFERROR(__xludf.DUMMYFUNCTION("""COMPUTED_VALUE"""),"#VALUE!")</f>
        <v>#VALUE!</v>
      </c>
      <c r="H420" s="49" t="str">
        <f>IFERROR(__xludf.DUMMYFUNCTION("""COMPUTED_VALUE"""),"")</f>
        <v/>
      </c>
      <c r="I420" s="49" t="str">
        <f>IFERROR(__xludf.DUMMYFUNCTION("""COMPUTED_VALUE"""),"#VALUE!")</f>
        <v>#VALUE!</v>
      </c>
      <c r="J420" s="49" t="str">
        <f>IFERROR(__xludf.DUMMYFUNCTION("""COMPUTED_VALUE"""),"")</f>
        <v/>
      </c>
      <c r="K420" s="49"/>
      <c r="L420" s="49" t="s">
        <v>255</v>
      </c>
      <c r="M420" s="49"/>
      <c r="N420" s="49"/>
      <c r="O420" s="49"/>
      <c r="P420" s="49"/>
      <c r="Q420" s="49"/>
      <c r="R420" s="49"/>
      <c r="S420" s="49"/>
      <c r="T420" s="49"/>
    </row>
    <row r="421">
      <c r="A421" s="49"/>
      <c r="B421" s="49"/>
      <c r="C421" s="51"/>
      <c r="D421" s="49"/>
      <c r="E421" s="49"/>
      <c r="F421" s="49"/>
      <c r="G421" s="49" t="str">
        <f>IFERROR(__xludf.DUMMYFUNCTION("""COMPUTED_VALUE"""),"#VALUE!")</f>
        <v>#VALUE!</v>
      </c>
      <c r="H421" s="49" t="str">
        <f>IFERROR(__xludf.DUMMYFUNCTION("""COMPUTED_VALUE"""),"")</f>
        <v/>
      </c>
      <c r="I421" s="49" t="str">
        <f>IFERROR(__xludf.DUMMYFUNCTION("""COMPUTED_VALUE"""),"#VALUE!")</f>
        <v>#VALUE!</v>
      </c>
      <c r="J421" s="49" t="str">
        <f>IFERROR(__xludf.DUMMYFUNCTION("""COMPUTED_VALUE"""),"")</f>
        <v/>
      </c>
      <c r="K421" s="49"/>
      <c r="L421" s="49" t="s">
        <v>255</v>
      </c>
      <c r="M421" s="49"/>
      <c r="N421" s="49"/>
      <c r="O421" s="49"/>
      <c r="P421" s="49"/>
      <c r="Q421" s="49"/>
      <c r="R421" s="49"/>
      <c r="S421" s="49"/>
      <c r="T421" s="49"/>
    </row>
    <row r="422">
      <c r="A422" s="49"/>
      <c r="B422" s="49"/>
      <c r="C422" s="51"/>
      <c r="D422" s="49"/>
      <c r="E422" s="49"/>
      <c r="F422" s="49"/>
      <c r="G422" s="49" t="str">
        <f>IFERROR(__xludf.DUMMYFUNCTION("""COMPUTED_VALUE"""),"#VALUE!")</f>
        <v>#VALUE!</v>
      </c>
      <c r="H422" s="49" t="str">
        <f>IFERROR(__xludf.DUMMYFUNCTION("""COMPUTED_VALUE"""),"")</f>
        <v/>
      </c>
      <c r="I422" s="49" t="str">
        <f>IFERROR(__xludf.DUMMYFUNCTION("""COMPUTED_VALUE"""),"#VALUE!")</f>
        <v>#VALUE!</v>
      </c>
      <c r="J422" s="49" t="str">
        <f>IFERROR(__xludf.DUMMYFUNCTION("""COMPUTED_VALUE"""),"")</f>
        <v/>
      </c>
      <c r="K422" s="49"/>
      <c r="L422" s="49" t="s">
        <v>255</v>
      </c>
      <c r="M422" s="49"/>
      <c r="N422" s="49"/>
      <c r="O422" s="49"/>
      <c r="P422" s="49"/>
      <c r="Q422" s="49"/>
      <c r="R422" s="49"/>
      <c r="S422" s="49"/>
      <c r="T422" s="49"/>
    </row>
    <row r="423">
      <c r="A423" s="49"/>
      <c r="B423" s="49"/>
      <c r="C423" s="51"/>
      <c r="D423" s="49"/>
      <c r="E423" s="49"/>
      <c r="F423" s="49"/>
      <c r="G423" s="49" t="str">
        <f>IFERROR(__xludf.DUMMYFUNCTION("""COMPUTED_VALUE"""),"#VALUE!")</f>
        <v>#VALUE!</v>
      </c>
      <c r="H423" s="49" t="str">
        <f>IFERROR(__xludf.DUMMYFUNCTION("""COMPUTED_VALUE"""),"")</f>
        <v/>
      </c>
      <c r="I423" s="49" t="str">
        <f>IFERROR(__xludf.DUMMYFUNCTION("""COMPUTED_VALUE"""),"#VALUE!")</f>
        <v>#VALUE!</v>
      </c>
      <c r="J423" s="49" t="str">
        <f>IFERROR(__xludf.DUMMYFUNCTION("""COMPUTED_VALUE"""),"")</f>
        <v/>
      </c>
      <c r="K423" s="49"/>
      <c r="L423" s="49" t="s">
        <v>255</v>
      </c>
      <c r="M423" s="49"/>
      <c r="N423" s="49"/>
      <c r="O423" s="49"/>
      <c r="P423" s="49"/>
      <c r="Q423" s="49"/>
      <c r="R423" s="49"/>
      <c r="S423" s="49"/>
      <c r="T423" s="49"/>
    </row>
    <row r="424">
      <c r="A424" s="49"/>
      <c r="B424" s="49"/>
      <c r="C424" s="51"/>
      <c r="D424" s="49"/>
      <c r="E424" s="49"/>
      <c r="F424" s="49"/>
      <c r="G424" s="49" t="str">
        <f>IFERROR(__xludf.DUMMYFUNCTION("""COMPUTED_VALUE"""),"#VALUE!")</f>
        <v>#VALUE!</v>
      </c>
      <c r="H424" s="49" t="str">
        <f>IFERROR(__xludf.DUMMYFUNCTION("""COMPUTED_VALUE"""),"")</f>
        <v/>
      </c>
      <c r="I424" s="49" t="str">
        <f>IFERROR(__xludf.DUMMYFUNCTION("""COMPUTED_VALUE"""),"#VALUE!")</f>
        <v>#VALUE!</v>
      </c>
      <c r="J424" s="49" t="str">
        <f>IFERROR(__xludf.DUMMYFUNCTION("""COMPUTED_VALUE"""),"")</f>
        <v/>
      </c>
      <c r="K424" s="49"/>
      <c r="L424" s="49" t="s">
        <v>255</v>
      </c>
      <c r="M424" s="49"/>
      <c r="N424" s="49"/>
      <c r="O424" s="49"/>
      <c r="P424" s="49"/>
      <c r="Q424" s="49"/>
      <c r="R424" s="49"/>
      <c r="S424" s="49"/>
      <c r="T424" s="49"/>
    </row>
    <row r="425">
      <c r="A425" s="49"/>
      <c r="B425" s="49"/>
      <c r="C425" s="51"/>
      <c r="D425" s="49"/>
      <c r="E425" s="49"/>
      <c r="F425" s="49"/>
      <c r="G425" s="49" t="str">
        <f>IFERROR(__xludf.DUMMYFUNCTION("""COMPUTED_VALUE"""),"#VALUE!")</f>
        <v>#VALUE!</v>
      </c>
      <c r="H425" s="49" t="str">
        <f>IFERROR(__xludf.DUMMYFUNCTION("""COMPUTED_VALUE"""),"")</f>
        <v/>
      </c>
      <c r="I425" s="49" t="str">
        <f>IFERROR(__xludf.DUMMYFUNCTION("""COMPUTED_VALUE"""),"#VALUE!")</f>
        <v>#VALUE!</v>
      </c>
      <c r="J425" s="49" t="str">
        <f>IFERROR(__xludf.DUMMYFUNCTION("""COMPUTED_VALUE"""),"")</f>
        <v/>
      </c>
      <c r="K425" s="49"/>
      <c r="L425" s="49" t="s">
        <v>255</v>
      </c>
      <c r="M425" s="49"/>
      <c r="N425" s="49"/>
      <c r="O425" s="49"/>
      <c r="P425" s="49"/>
      <c r="Q425" s="49"/>
      <c r="R425" s="49"/>
      <c r="S425" s="49"/>
      <c r="T425" s="49"/>
    </row>
    <row r="426">
      <c r="A426" s="49"/>
      <c r="B426" s="49"/>
      <c r="C426" s="51"/>
      <c r="D426" s="49"/>
      <c r="E426" s="49"/>
      <c r="F426" s="49"/>
      <c r="G426" s="49" t="str">
        <f>IFERROR(__xludf.DUMMYFUNCTION("""COMPUTED_VALUE"""),"#VALUE!")</f>
        <v>#VALUE!</v>
      </c>
      <c r="H426" s="49" t="str">
        <f>IFERROR(__xludf.DUMMYFUNCTION("""COMPUTED_VALUE"""),"")</f>
        <v/>
      </c>
      <c r="I426" s="49" t="str">
        <f>IFERROR(__xludf.DUMMYFUNCTION("""COMPUTED_VALUE"""),"#VALUE!")</f>
        <v>#VALUE!</v>
      </c>
      <c r="J426" s="49" t="str">
        <f>IFERROR(__xludf.DUMMYFUNCTION("""COMPUTED_VALUE"""),"")</f>
        <v/>
      </c>
      <c r="K426" s="49"/>
      <c r="L426" s="49" t="s">
        <v>255</v>
      </c>
      <c r="M426" s="49"/>
      <c r="N426" s="49"/>
      <c r="O426" s="49"/>
      <c r="P426" s="49"/>
      <c r="Q426" s="49"/>
      <c r="R426" s="49"/>
      <c r="S426" s="49"/>
      <c r="T426" s="49"/>
    </row>
    <row r="427">
      <c r="A427" s="49"/>
      <c r="B427" s="49"/>
      <c r="C427" s="51"/>
      <c r="D427" s="49"/>
      <c r="E427" s="49"/>
      <c r="F427" s="49"/>
      <c r="G427" s="49" t="str">
        <f>IFERROR(__xludf.DUMMYFUNCTION("""COMPUTED_VALUE"""),"#VALUE!")</f>
        <v>#VALUE!</v>
      </c>
      <c r="H427" s="49" t="str">
        <f>IFERROR(__xludf.DUMMYFUNCTION("""COMPUTED_VALUE"""),"")</f>
        <v/>
      </c>
      <c r="I427" s="49" t="str">
        <f>IFERROR(__xludf.DUMMYFUNCTION("""COMPUTED_VALUE"""),"#VALUE!")</f>
        <v>#VALUE!</v>
      </c>
      <c r="J427" s="49" t="str">
        <f>IFERROR(__xludf.DUMMYFUNCTION("""COMPUTED_VALUE"""),"")</f>
        <v/>
      </c>
      <c r="K427" s="49"/>
      <c r="L427" s="49" t="s">
        <v>255</v>
      </c>
      <c r="M427" s="49"/>
      <c r="N427" s="49"/>
      <c r="O427" s="49"/>
      <c r="P427" s="49"/>
      <c r="Q427" s="49"/>
      <c r="R427" s="49"/>
      <c r="S427" s="49"/>
      <c r="T427" s="49"/>
    </row>
    <row r="428">
      <c r="A428" s="49"/>
      <c r="B428" s="49"/>
      <c r="C428" s="51"/>
      <c r="D428" s="49"/>
      <c r="E428" s="49"/>
      <c r="F428" s="49"/>
      <c r="G428" s="49" t="str">
        <f>IFERROR(__xludf.DUMMYFUNCTION("""COMPUTED_VALUE"""),"#VALUE!")</f>
        <v>#VALUE!</v>
      </c>
      <c r="H428" s="49" t="str">
        <f>IFERROR(__xludf.DUMMYFUNCTION("""COMPUTED_VALUE"""),"")</f>
        <v/>
      </c>
      <c r="I428" s="49" t="str">
        <f>IFERROR(__xludf.DUMMYFUNCTION("""COMPUTED_VALUE"""),"#VALUE!")</f>
        <v>#VALUE!</v>
      </c>
      <c r="J428" s="49" t="str">
        <f>IFERROR(__xludf.DUMMYFUNCTION("""COMPUTED_VALUE"""),"")</f>
        <v/>
      </c>
      <c r="K428" s="49"/>
      <c r="L428" s="49" t="s">
        <v>255</v>
      </c>
      <c r="M428" s="49"/>
      <c r="N428" s="49"/>
      <c r="O428" s="49"/>
      <c r="P428" s="49"/>
      <c r="Q428" s="49"/>
      <c r="R428" s="49"/>
      <c r="S428" s="49"/>
      <c r="T428" s="49"/>
    </row>
    <row r="429">
      <c r="A429" s="49"/>
      <c r="B429" s="49"/>
      <c r="C429" s="51"/>
      <c r="D429" s="49"/>
      <c r="E429" s="49"/>
      <c r="F429" s="49"/>
      <c r="G429" s="49" t="str">
        <f>IFERROR(__xludf.DUMMYFUNCTION("""COMPUTED_VALUE"""),"#VALUE!")</f>
        <v>#VALUE!</v>
      </c>
      <c r="H429" s="49" t="str">
        <f>IFERROR(__xludf.DUMMYFUNCTION("""COMPUTED_VALUE"""),"")</f>
        <v/>
      </c>
      <c r="I429" s="49" t="str">
        <f>IFERROR(__xludf.DUMMYFUNCTION("""COMPUTED_VALUE"""),"#VALUE!")</f>
        <v>#VALUE!</v>
      </c>
      <c r="J429" s="49" t="str">
        <f>IFERROR(__xludf.DUMMYFUNCTION("""COMPUTED_VALUE"""),"")</f>
        <v/>
      </c>
      <c r="K429" s="49"/>
      <c r="L429" s="49" t="s">
        <v>255</v>
      </c>
      <c r="M429" s="49"/>
      <c r="N429" s="49"/>
      <c r="O429" s="49"/>
      <c r="P429" s="49"/>
      <c r="Q429" s="49"/>
      <c r="R429" s="49"/>
      <c r="S429" s="49"/>
      <c r="T429" s="49"/>
    </row>
    <row r="430">
      <c r="A430" s="49"/>
      <c r="B430" s="49"/>
      <c r="C430" s="51"/>
      <c r="D430" s="49"/>
      <c r="E430" s="49"/>
      <c r="F430" s="49"/>
      <c r="G430" s="49" t="str">
        <f>IFERROR(__xludf.DUMMYFUNCTION("""COMPUTED_VALUE"""),"#VALUE!")</f>
        <v>#VALUE!</v>
      </c>
      <c r="H430" s="49" t="str">
        <f>IFERROR(__xludf.DUMMYFUNCTION("""COMPUTED_VALUE"""),"")</f>
        <v/>
      </c>
      <c r="I430" s="49" t="str">
        <f>IFERROR(__xludf.DUMMYFUNCTION("""COMPUTED_VALUE"""),"#VALUE!")</f>
        <v>#VALUE!</v>
      </c>
      <c r="J430" s="49" t="str">
        <f>IFERROR(__xludf.DUMMYFUNCTION("""COMPUTED_VALUE"""),"")</f>
        <v/>
      </c>
      <c r="K430" s="49"/>
      <c r="L430" s="49" t="s">
        <v>255</v>
      </c>
      <c r="M430" s="49"/>
      <c r="N430" s="49"/>
      <c r="O430" s="49"/>
      <c r="P430" s="49"/>
      <c r="Q430" s="49"/>
      <c r="R430" s="49"/>
      <c r="S430" s="49"/>
      <c r="T430" s="49"/>
    </row>
    <row r="431">
      <c r="A431" s="49"/>
      <c r="B431" s="49"/>
      <c r="C431" s="51"/>
      <c r="D431" s="49"/>
      <c r="E431" s="49"/>
      <c r="F431" s="49"/>
      <c r="G431" s="49" t="str">
        <f>IFERROR(__xludf.DUMMYFUNCTION("""COMPUTED_VALUE"""),"#VALUE!")</f>
        <v>#VALUE!</v>
      </c>
      <c r="H431" s="49" t="str">
        <f>IFERROR(__xludf.DUMMYFUNCTION("""COMPUTED_VALUE"""),"")</f>
        <v/>
      </c>
      <c r="I431" s="49" t="str">
        <f>IFERROR(__xludf.DUMMYFUNCTION("""COMPUTED_VALUE"""),"#VALUE!")</f>
        <v>#VALUE!</v>
      </c>
      <c r="J431" s="49" t="str">
        <f>IFERROR(__xludf.DUMMYFUNCTION("""COMPUTED_VALUE"""),"")</f>
        <v/>
      </c>
      <c r="K431" s="49"/>
      <c r="L431" s="49" t="s">
        <v>255</v>
      </c>
      <c r="M431" s="49"/>
      <c r="N431" s="49"/>
      <c r="O431" s="49"/>
      <c r="P431" s="49"/>
      <c r="Q431" s="49"/>
      <c r="R431" s="49"/>
      <c r="S431" s="49"/>
      <c r="T431" s="49"/>
    </row>
    <row r="432">
      <c r="A432" s="49"/>
      <c r="B432" s="49"/>
      <c r="C432" s="51"/>
      <c r="D432" s="49"/>
      <c r="E432" s="49"/>
      <c r="F432" s="49"/>
      <c r="G432" s="49" t="str">
        <f>IFERROR(__xludf.DUMMYFUNCTION("""COMPUTED_VALUE"""),"#VALUE!")</f>
        <v>#VALUE!</v>
      </c>
      <c r="H432" s="49" t="str">
        <f>IFERROR(__xludf.DUMMYFUNCTION("""COMPUTED_VALUE"""),"")</f>
        <v/>
      </c>
      <c r="I432" s="49" t="str">
        <f>IFERROR(__xludf.DUMMYFUNCTION("""COMPUTED_VALUE"""),"#VALUE!")</f>
        <v>#VALUE!</v>
      </c>
      <c r="J432" s="49" t="str">
        <f>IFERROR(__xludf.DUMMYFUNCTION("""COMPUTED_VALUE"""),"")</f>
        <v/>
      </c>
      <c r="K432" s="49"/>
      <c r="L432" s="49" t="s">
        <v>255</v>
      </c>
      <c r="M432" s="49"/>
      <c r="N432" s="49"/>
      <c r="O432" s="49"/>
      <c r="P432" s="49"/>
      <c r="Q432" s="49"/>
      <c r="R432" s="49"/>
      <c r="S432" s="49"/>
      <c r="T432" s="49"/>
    </row>
    <row r="433">
      <c r="A433" s="49"/>
      <c r="B433" s="49"/>
      <c r="C433" s="51"/>
      <c r="D433" s="49"/>
      <c r="E433" s="49"/>
      <c r="F433" s="49"/>
      <c r="G433" s="49" t="str">
        <f>IFERROR(__xludf.DUMMYFUNCTION("""COMPUTED_VALUE"""),"#VALUE!")</f>
        <v>#VALUE!</v>
      </c>
      <c r="H433" s="49" t="str">
        <f>IFERROR(__xludf.DUMMYFUNCTION("""COMPUTED_VALUE"""),"")</f>
        <v/>
      </c>
      <c r="I433" s="49" t="str">
        <f>IFERROR(__xludf.DUMMYFUNCTION("""COMPUTED_VALUE"""),"#VALUE!")</f>
        <v>#VALUE!</v>
      </c>
      <c r="J433" s="49" t="str">
        <f>IFERROR(__xludf.DUMMYFUNCTION("""COMPUTED_VALUE"""),"")</f>
        <v/>
      </c>
      <c r="K433" s="49"/>
      <c r="L433" s="49" t="s">
        <v>255</v>
      </c>
      <c r="M433" s="49"/>
      <c r="N433" s="49"/>
      <c r="O433" s="49"/>
      <c r="P433" s="49"/>
      <c r="Q433" s="49"/>
      <c r="R433" s="49"/>
      <c r="S433" s="49"/>
      <c r="T433" s="49"/>
    </row>
    <row r="434">
      <c r="A434" s="49"/>
      <c r="B434" s="49"/>
      <c r="C434" s="51"/>
      <c r="D434" s="49"/>
      <c r="E434" s="49"/>
      <c r="F434" s="49"/>
      <c r="G434" s="49" t="str">
        <f>IFERROR(__xludf.DUMMYFUNCTION("""COMPUTED_VALUE"""),"#VALUE!")</f>
        <v>#VALUE!</v>
      </c>
      <c r="H434" s="49" t="str">
        <f>IFERROR(__xludf.DUMMYFUNCTION("""COMPUTED_VALUE"""),"")</f>
        <v/>
      </c>
      <c r="I434" s="49" t="str">
        <f>IFERROR(__xludf.DUMMYFUNCTION("""COMPUTED_VALUE"""),"#VALUE!")</f>
        <v>#VALUE!</v>
      </c>
      <c r="J434" s="49" t="str">
        <f>IFERROR(__xludf.DUMMYFUNCTION("""COMPUTED_VALUE"""),"")</f>
        <v/>
      </c>
      <c r="K434" s="49"/>
      <c r="L434" s="49" t="s">
        <v>255</v>
      </c>
      <c r="M434" s="49"/>
      <c r="N434" s="49"/>
      <c r="O434" s="49"/>
      <c r="P434" s="49"/>
      <c r="Q434" s="49"/>
      <c r="R434" s="49"/>
      <c r="S434" s="49"/>
      <c r="T434" s="49"/>
    </row>
    <row r="435">
      <c r="A435" s="49"/>
      <c r="B435" s="49"/>
      <c r="C435" s="51"/>
      <c r="D435" s="49"/>
      <c r="E435" s="49"/>
      <c r="F435" s="49"/>
      <c r="G435" s="49" t="str">
        <f>IFERROR(__xludf.DUMMYFUNCTION("""COMPUTED_VALUE"""),"#VALUE!")</f>
        <v>#VALUE!</v>
      </c>
      <c r="H435" s="49" t="str">
        <f>IFERROR(__xludf.DUMMYFUNCTION("""COMPUTED_VALUE"""),"")</f>
        <v/>
      </c>
      <c r="I435" s="49" t="str">
        <f>IFERROR(__xludf.DUMMYFUNCTION("""COMPUTED_VALUE"""),"#VALUE!")</f>
        <v>#VALUE!</v>
      </c>
      <c r="J435" s="49" t="str">
        <f>IFERROR(__xludf.DUMMYFUNCTION("""COMPUTED_VALUE"""),"")</f>
        <v/>
      </c>
      <c r="K435" s="49"/>
      <c r="L435" s="49" t="s">
        <v>255</v>
      </c>
      <c r="M435" s="49"/>
      <c r="N435" s="49"/>
      <c r="O435" s="49"/>
      <c r="P435" s="49"/>
      <c r="Q435" s="49"/>
      <c r="R435" s="49"/>
      <c r="S435" s="49"/>
      <c r="T435" s="49"/>
    </row>
    <row r="436">
      <c r="A436" s="49"/>
      <c r="B436" s="49"/>
      <c r="C436" s="51"/>
      <c r="D436" s="49"/>
      <c r="E436" s="49"/>
      <c r="F436" s="49"/>
      <c r="G436" s="49" t="str">
        <f>IFERROR(__xludf.DUMMYFUNCTION("""COMPUTED_VALUE"""),"#VALUE!")</f>
        <v>#VALUE!</v>
      </c>
      <c r="H436" s="49" t="str">
        <f>IFERROR(__xludf.DUMMYFUNCTION("""COMPUTED_VALUE"""),"")</f>
        <v/>
      </c>
      <c r="I436" s="49" t="str">
        <f>IFERROR(__xludf.DUMMYFUNCTION("""COMPUTED_VALUE"""),"#VALUE!")</f>
        <v>#VALUE!</v>
      </c>
      <c r="J436" s="49" t="str">
        <f>IFERROR(__xludf.DUMMYFUNCTION("""COMPUTED_VALUE"""),"")</f>
        <v/>
      </c>
      <c r="K436" s="49"/>
      <c r="L436" s="49" t="s">
        <v>255</v>
      </c>
      <c r="M436" s="49"/>
      <c r="N436" s="49"/>
      <c r="O436" s="49"/>
      <c r="P436" s="49"/>
      <c r="Q436" s="49"/>
      <c r="R436" s="49"/>
      <c r="S436" s="49"/>
      <c r="T436" s="49"/>
    </row>
    <row r="437">
      <c r="A437" s="49"/>
      <c r="B437" s="49"/>
      <c r="C437" s="51"/>
      <c r="D437" s="49"/>
      <c r="E437" s="49"/>
      <c r="F437" s="49"/>
      <c r="G437" s="49" t="str">
        <f>IFERROR(__xludf.DUMMYFUNCTION("""COMPUTED_VALUE"""),"#VALUE!")</f>
        <v>#VALUE!</v>
      </c>
      <c r="H437" s="49" t="str">
        <f>IFERROR(__xludf.DUMMYFUNCTION("""COMPUTED_VALUE"""),"")</f>
        <v/>
      </c>
      <c r="I437" s="49" t="str">
        <f>IFERROR(__xludf.DUMMYFUNCTION("""COMPUTED_VALUE"""),"#VALUE!")</f>
        <v>#VALUE!</v>
      </c>
      <c r="J437" s="49" t="str">
        <f>IFERROR(__xludf.DUMMYFUNCTION("""COMPUTED_VALUE"""),"")</f>
        <v/>
      </c>
      <c r="K437" s="49"/>
      <c r="L437" s="49" t="s">
        <v>255</v>
      </c>
      <c r="M437" s="49"/>
      <c r="N437" s="49"/>
      <c r="O437" s="49"/>
      <c r="P437" s="49"/>
      <c r="Q437" s="49"/>
      <c r="R437" s="49"/>
      <c r="S437" s="49"/>
      <c r="T437" s="49"/>
    </row>
    <row r="438">
      <c r="A438" s="49"/>
      <c r="B438" s="49"/>
      <c r="C438" s="51"/>
      <c r="D438" s="49"/>
      <c r="E438" s="49"/>
      <c r="F438" s="49"/>
      <c r="G438" s="49" t="str">
        <f>IFERROR(__xludf.DUMMYFUNCTION("""COMPUTED_VALUE"""),"#VALUE!")</f>
        <v>#VALUE!</v>
      </c>
      <c r="H438" s="49" t="str">
        <f>IFERROR(__xludf.DUMMYFUNCTION("""COMPUTED_VALUE"""),"")</f>
        <v/>
      </c>
      <c r="I438" s="49" t="str">
        <f>IFERROR(__xludf.DUMMYFUNCTION("""COMPUTED_VALUE"""),"#VALUE!")</f>
        <v>#VALUE!</v>
      </c>
      <c r="J438" s="49" t="str">
        <f>IFERROR(__xludf.DUMMYFUNCTION("""COMPUTED_VALUE"""),"")</f>
        <v/>
      </c>
      <c r="K438" s="49"/>
      <c r="L438" s="49" t="s">
        <v>255</v>
      </c>
      <c r="M438" s="49"/>
      <c r="N438" s="49"/>
      <c r="O438" s="49"/>
      <c r="P438" s="49"/>
      <c r="Q438" s="49"/>
      <c r="R438" s="49"/>
      <c r="S438" s="49"/>
      <c r="T438" s="49"/>
    </row>
    <row r="439">
      <c r="A439" s="49"/>
      <c r="B439" s="49"/>
      <c r="C439" s="51"/>
      <c r="D439" s="49"/>
      <c r="E439" s="49"/>
      <c r="F439" s="49"/>
      <c r="G439" s="49" t="str">
        <f>IFERROR(__xludf.DUMMYFUNCTION("""COMPUTED_VALUE"""),"#VALUE!")</f>
        <v>#VALUE!</v>
      </c>
      <c r="H439" s="49" t="str">
        <f>IFERROR(__xludf.DUMMYFUNCTION("""COMPUTED_VALUE"""),"")</f>
        <v/>
      </c>
      <c r="I439" s="49" t="str">
        <f>IFERROR(__xludf.DUMMYFUNCTION("""COMPUTED_VALUE"""),"#VALUE!")</f>
        <v>#VALUE!</v>
      </c>
      <c r="J439" s="49" t="str">
        <f>IFERROR(__xludf.DUMMYFUNCTION("""COMPUTED_VALUE"""),"")</f>
        <v/>
      </c>
      <c r="K439" s="49"/>
      <c r="L439" s="49" t="s">
        <v>255</v>
      </c>
      <c r="M439" s="49"/>
      <c r="N439" s="49"/>
      <c r="O439" s="49"/>
      <c r="P439" s="49"/>
      <c r="Q439" s="49"/>
      <c r="R439" s="49"/>
      <c r="S439" s="49"/>
      <c r="T439" s="49"/>
    </row>
    <row r="440">
      <c r="A440" s="49"/>
      <c r="B440" s="49"/>
      <c r="C440" s="51"/>
      <c r="D440" s="49"/>
      <c r="E440" s="49"/>
      <c r="F440" s="49"/>
      <c r="G440" s="49" t="str">
        <f>IFERROR(__xludf.DUMMYFUNCTION("""COMPUTED_VALUE"""),"#VALUE!")</f>
        <v>#VALUE!</v>
      </c>
      <c r="H440" s="49" t="str">
        <f>IFERROR(__xludf.DUMMYFUNCTION("""COMPUTED_VALUE"""),"")</f>
        <v/>
      </c>
      <c r="I440" s="49" t="str">
        <f>IFERROR(__xludf.DUMMYFUNCTION("""COMPUTED_VALUE"""),"#VALUE!")</f>
        <v>#VALUE!</v>
      </c>
      <c r="J440" s="49" t="str">
        <f>IFERROR(__xludf.DUMMYFUNCTION("""COMPUTED_VALUE"""),"")</f>
        <v/>
      </c>
      <c r="K440" s="49"/>
      <c r="L440" s="49" t="s">
        <v>255</v>
      </c>
      <c r="M440" s="49"/>
      <c r="N440" s="49"/>
      <c r="O440" s="49"/>
      <c r="P440" s="49"/>
      <c r="Q440" s="49"/>
      <c r="R440" s="49"/>
      <c r="S440" s="49"/>
      <c r="T440" s="49"/>
    </row>
    <row r="441">
      <c r="A441" s="49"/>
      <c r="B441" s="49"/>
      <c r="C441" s="51"/>
      <c r="D441" s="49"/>
      <c r="E441" s="49"/>
      <c r="F441" s="49"/>
      <c r="G441" s="49" t="str">
        <f>IFERROR(__xludf.DUMMYFUNCTION("""COMPUTED_VALUE"""),"#VALUE!")</f>
        <v>#VALUE!</v>
      </c>
      <c r="H441" s="49" t="str">
        <f>IFERROR(__xludf.DUMMYFUNCTION("""COMPUTED_VALUE"""),"")</f>
        <v/>
      </c>
      <c r="I441" s="49" t="str">
        <f>IFERROR(__xludf.DUMMYFUNCTION("""COMPUTED_VALUE"""),"#VALUE!")</f>
        <v>#VALUE!</v>
      </c>
      <c r="J441" s="49" t="str">
        <f>IFERROR(__xludf.DUMMYFUNCTION("""COMPUTED_VALUE"""),"")</f>
        <v/>
      </c>
      <c r="K441" s="49"/>
      <c r="L441" s="49" t="s">
        <v>255</v>
      </c>
      <c r="M441" s="49"/>
      <c r="N441" s="49"/>
      <c r="O441" s="49"/>
      <c r="P441" s="49"/>
      <c r="Q441" s="49"/>
      <c r="R441" s="49"/>
      <c r="S441" s="49"/>
      <c r="T441" s="49"/>
    </row>
    <row r="442">
      <c r="A442" s="49"/>
      <c r="B442" s="49"/>
      <c r="C442" s="51"/>
      <c r="D442" s="49"/>
      <c r="E442" s="49"/>
      <c r="F442" s="49"/>
      <c r="G442" s="49" t="str">
        <f>IFERROR(__xludf.DUMMYFUNCTION("""COMPUTED_VALUE"""),"#VALUE!")</f>
        <v>#VALUE!</v>
      </c>
      <c r="H442" s="49" t="str">
        <f>IFERROR(__xludf.DUMMYFUNCTION("""COMPUTED_VALUE"""),"")</f>
        <v/>
      </c>
      <c r="I442" s="49" t="str">
        <f>IFERROR(__xludf.DUMMYFUNCTION("""COMPUTED_VALUE"""),"#VALUE!")</f>
        <v>#VALUE!</v>
      </c>
      <c r="J442" s="49" t="str">
        <f>IFERROR(__xludf.DUMMYFUNCTION("""COMPUTED_VALUE"""),"")</f>
        <v/>
      </c>
      <c r="K442" s="49"/>
      <c r="L442" s="49" t="s">
        <v>255</v>
      </c>
      <c r="M442" s="49"/>
      <c r="N442" s="49"/>
      <c r="O442" s="49"/>
      <c r="P442" s="49"/>
      <c r="Q442" s="49"/>
      <c r="R442" s="49"/>
      <c r="S442" s="49"/>
      <c r="T442" s="49"/>
    </row>
    <row r="443">
      <c r="A443" s="49"/>
      <c r="B443" s="49"/>
      <c r="C443" s="51"/>
      <c r="D443" s="49"/>
      <c r="E443" s="49"/>
      <c r="F443" s="49"/>
      <c r="G443" s="49" t="str">
        <f>IFERROR(__xludf.DUMMYFUNCTION("""COMPUTED_VALUE"""),"#VALUE!")</f>
        <v>#VALUE!</v>
      </c>
      <c r="H443" s="49" t="str">
        <f>IFERROR(__xludf.DUMMYFUNCTION("""COMPUTED_VALUE"""),"")</f>
        <v/>
      </c>
      <c r="I443" s="49" t="str">
        <f>IFERROR(__xludf.DUMMYFUNCTION("""COMPUTED_VALUE"""),"#VALUE!")</f>
        <v>#VALUE!</v>
      </c>
      <c r="J443" s="49" t="str">
        <f>IFERROR(__xludf.DUMMYFUNCTION("""COMPUTED_VALUE"""),"")</f>
        <v/>
      </c>
      <c r="K443" s="49"/>
      <c r="L443" s="49" t="s">
        <v>255</v>
      </c>
      <c r="M443" s="49"/>
      <c r="N443" s="49"/>
      <c r="O443" s="49"/>
      <c r="P443" s="49"/>
      <c r="Q443" s="49"/>
      <c r="R443" s="49"/>
      <c r="S443" s="49"/>
      <c r="T443" s="49"/>
    </row>
    <row r="444">
      <c r="A444" s="49"/>
      <c r="B444" s="49"/>
      <c r="C444" s="51"/>
      <c r="D444" s="49"/>
      <c r="E444" s="49"/>
      <c r="F444" s="49"/>
      <c r="G444" s="49" t="str">
        <f>IFERROR(__xludf.DUMMYFUNCTION("""COMPUTED_VALUE"""),"#VALUE!")</f>
        <v>#VALUE!</v>
      </c>
      <c r="H444" s="49" t="str">
        <f>IFERROR(__xludf.DUMMYFUNCTION("""COMPUTED_VALUE"""),"")</f>
        <v/>
      </c>
      <c r="I444" s="49" t="str">
        <f>IFERROR(__xludf.DUMMYFUNCTION("""COMPUTED_VALUE"""),"#VALUE!")</f>
        <v>#VALUE!</v>
      </c>
      <c r="J444" s="49" t="str">
        <f>IFERROR(__xludf.DUMMYFUNCTION("""COMPUTED_VALUE"""),"")</f>
        <v/>
      </c>
      <c r="K444" s="49"/>
      <c r="L444" s="49" t="s">
        <v>255</v>
      </c>
      <c r="M444" s="49"/>
      <c r="N444" s="49"/>
      <c r="O444" s="49"/>
      <c r="P444" s="49"/>
      <c r="Q444" s="49"/>
      <c r="R444" s="49"/>
      <c r="S444" s="49"/>
      <c r="T444" s="49"/>
    </row>
    <row r="445">
      <c r="A445" s="49"/>
      <c r="B445" s="49"/>
      <c r="C445" s="51"/>
      <c r="D445" s="49"/>
      <c r="E445" s="49"/>
      <c r="F445" s="49"/>
      <c r="G445" s="49" t="str">
        <f>IFERROR(__xludf.DUMMYFUNCTION("""COMPUTED_VALUE"""),"#VALUE!")</f>
        <v>#VALUE!</v>
      </c>
      <c r="H445" s="49" t="str">
        <f>IFERROR(__xludf.DUMMYFUNCTION("""COMPUTED_VALUE"""),"")</f>
        <v/>
      </c>
      <c r="I445" s="49" t="str">
        <f>IFERROR(__xludf.DUMMYFUNCTION("""COMPUTED_VALUE"""),"#VALUE!")</f>
        <v>#VALUE!</v>
      </c>
      <c r="J445" s="49" t="str">
        <f>IFERROR(__xludf.DUMMYFUNCTION("""COMPUTED_VALUE"""),"")</f>
        <v/>
      </c>
      <c r="K445" s="49"/>
      <c r="L445" s="49" t="s">
        <v>255</v>
      </c>
      <c r="M445" s="49"/>
      <c r="N445" s="49"/>
      <c r="O445" s="49"/>
      <c r="P445" s="49"/>
      <c r="Q445" s="49"/>
      <c r="R445" s="49"/>
      <c r="S445" s="49"/>
      <c r="T445" s="49"/>
    </row>
    <row r="446">
      <c r="A446" s="49"/>
      <c r="B446" s="49"/>
      <c r="C446" s="51"/>
      <c r="D446" s="49"/>
      <c r="E446" s="49"/>
      <c r="F446" s="49"/>
      <c r="G446" s="49" t="str">
        <f>IFERROR(__xludf.DUMMYFUNCTION("""COMPUTED_VALUE"""),"#VALUE!")</f>
        <v>#VALUE!</v>
      </c>
      <c r="H446" s="49" t="str">
        <f>IFERROR(__xludf.DUMMYFUNCTION("""COMPUTED_VALUE"""),"")</f>
        <v/>
      </c>
      <c r="I446" s="49" t="str">
        <f>IFERROR(__xludf.DUMMYFUNCTION("""COMPUTED_VALUE"""),"#VALUE!")</f>
        <v>#VALUE!</v>
      </c>
      <c r="J446" s="49" t="str">
        <f>IFERROR(__xludf.DUMMYFUNCTION("""COMPUTED_VALUE"""),"")</f>
        <v/>
      </c>
      <c r="K446" s="49"/>
      <c r="L446" s="49" t="s">
        <v>255</v>
      </c>
      <c r="M446" s="49"/>
      <c r="N446" s="49"/>
      <c r="O446" s="49"/>
      <c r="P446" s="49"/>
      <c r="Q446" s="49"/>
      <c r="R446" s="49"/>
      <c r="S446" s="49"/>
      <c r="T446" s="49"/>
    </row>
    <row r="447">
      <c r="A447" s="49"/>
      <c r="B447" s="49"/>
      <c r="C447" s="51"/>
      <c r="D447" s="49"/>
      <c r="E447" s="49"/>
      <c r="F447" s="49"/>
      <c r="G447" s="49" t="str">
        <f>IFERROR(__xludf.DUMMYFUNCTION("""COMPUTED_VALUE"""),"#VALUE!")</f>
        <v>#VALUE!</v>
      </c>
      <c r="H447" s="49" t="str">
        <f>IFERROR(__xludf.DUMMYFUNCTION("""COMPUTED_VALUE"""),"")</f>
        <v/>
      </c>
      <c r="I447" s="49" t="str">
        <f>IFERROR(__xludf.DUMMYFUNCTION("""COMPUTED_VALUE"""),"#VALUE!")</f>
        <v>#VALUE!</v>
      </c>
      <c r="J447" s="49" t="str">
        <f>IFERROR(__xludf.DUMMYFUNCTION("""COMPUTED_VALUE"""),"")</f>
        <v/>
      </c>
      <c r="K447" s="49"/>
      <c r="L447" s="49" t="s">
        <v>255</v>
      </c>
      <c r="M447" s="49"/>
      <c r="N447" s="49"/>
      <c r="O447" s="49"/>
      <c r="P447" s="49"/>
      <c r="Q447" s="49"/>
      <c r="R447" s="49"/>
      <c r="S447" s="49"/>
      <c r="T447" s="49"/>
    </row>
    <row r="448">
      <c r="A448" s="49"/>
      <c r="B448" s="49"/>
      <c r="C448" s="51"/>
      <c r="D448" s="49"/>
      <c r="E448" s="49"/>
      <c r="F448" s="49"/>
      <c r="G448" s="49" t="str">
        <f>IFERROR(__xludf.DUMMYFUNCTION("""COMPUTED_VALUE"""),"#VALUE!")</f>
        <v>#VALUE!</v>
      </c>
      <c r="H448" s="49" t="str">
        <f>IFERROR(__xludf.DUMMYFUNCTION("""COMPUTED_VALUE"""),"")</f>
        <v/>
      </c>
      <c r="I448" s="49" t="str">
        <f>IFERROR(__xludf.DUMMYFUNCTION("""COMPUTED_VALUE"""),"#VALUE!")</f>
        <v>#VALUE!</v>
      </c>
      <c r="J448" s="49" t="str">
        <f>IFERROR(__xludf.DUMMYFUNCTION("""COMPUTED_VALUE"""),"")</f>
        <v/>
      </c>
      <c r="K448" s="49"/>
      <c r="L448" s="49" t="s">
        <v>255</v>
      </c>
      <c r="M448" s="49"/>
      <c r="N448" s="49"/>
      <c r="O448" s="49"/>
      <c r="P448" s="49"/>
      <c r="Q448" s="49"/>
      <c r="R448" s="49"/>
      <c r="S448" s="49"/>
      <c r="T448" s="49"/>
    </row>
    <row r="449">
      <c r="A449" s="49"/>
      <c r="B449" s="49"/>
      <c r="C449" s="51"/>
      <c r="D449" s="49"/>
      <c r="E449" s="49"/>
      <c r="F449" s="49"/>
      <c r="G449" s="49" t="str">
        <f>IFERROR(__xludf.DUMMYFUNCTION("""COMPUTED_VALUE"""),"#VALUE!")</f>
        <v>#VALUE!</v>
      </c>
      <c r="H449" s="49" t="str">
        <f>IFERROR(__xludf.DUMMYFUNCTION("""COMPUTED_VALUE"""),"")</f>
        <v/>
      </c>
      <c r="I449" s="49" t="str">
        <f>IFERROR(__xludf.DUMMYFUNCTION("""COMPUTED_VALUE"""),"#VALUE!")</f>
        <v>#VALUE!</v>
      </c>
      <c r="J449" s="49" t="str">
        <f>IFERROR(__xludf.DUMMYFUNCTION("""COMPUTED_VALUE"""),"")</f>
        <v/>
      </c>
      <c r="K449" s="49"/>
      <c r="L449" s="49" t="s">
        <v>255</v>
      </c>
      <c r="M449" s="49"/>
      <c r="N449" s="49"/>
      <c r="O449" s="49"/>
      <c r="P449" s="49"/>
      <c r="Q449" s="49"/>
      <c r="R449" s="49"/>
      <c r="S449" s="49"/>
      <c r="T449" s="49"/>
    </row>
    <row r="450">
      <c r="A450" s="49"/>
      <c r="B450" s="49"/>
      <c r="C450" s="51"/>
      <c r="D450" s="49"/>
      <c r="E450" s="49"/>
      <c r="F450" s="49"/>
      <c r="G450" s="49" t="str">
        <f>IFERROR(__xludf.DUMMYFUNCTION("""COMPUTED_VALUE"""),"#VALUE!")</f>
        <v>#VALUE!</v>
      </c>
      <c r="H450" s="49" t="str">
        <f>IFERROR(__xludf.DUMMYFUNCTION("""COMPUTED_VALUE"""),"")</f>
        <v/>
      </c>
      <c r="I450" s="49" t="str">
        <f>IFERROR(__xludf.DUMMYFUNCTION("""COMPUTED_VALUE"""),"#VALUE!")</f>
        <v>#VALUE!</v>
      </c>
      <c r="J450" s="49" t="str">
        <f>IFERROR(__xludf.DUMMYFUNCTION("""COMPUTED_VALUE"""),"")</f>
        <v/>
      </c>
      <c r="K450" s="49"/>
      <c r="L450" s="49" t="s">
        <v>255</v>
      </c>
      <c r="M450" s="49"/>
      <c r="N450" s="49"/>
      <c r="O450" s="49"/>
      <c r="P450" s="49"/>
      <c r="Q450" s="49"/>
      <c r="R450" s="49"/>
      <c r="S450" s="49"/>
      <c r="T450" s="49"/>
    </row>
    <row r="451">
      <c r="A451" s="49"/>
      <c r="B451" s="49"/>
      <c r="C451" s="51"/>
      <c r="D451" s="49"/>
      <c r="E451" s="49"/>
      <c r="F451" s="49"/>
      <c r="G451" s="49" t="str">
        <f>IFERROR(__xludf.DUMMYFUNCTION("""COMPUTED_VALUE"""),"#VALUE!")</f>
        <v>#VALUE!</v>
      </c>
      <c r="H451" s="49" t="str">
        <f>IFERROR(__xludf.DUMMYFUNCTION("""COMPUTED_VALUE"""),"")</f>
        <v/>
      </c>
      <c r="I451" s="49" t="str">
        <f>IFERROR(__xludf.DUMMYFUNCTION("""COMPUTED_VALUE"""),"#VALUE!")</f>
        <v>#VALUE!</v>
      </c>
      <c r="J451" s="49" t="str">
        <f>IFERROR(__xludf.DUMMYFUNCTION("""COMPUTED_VALUE"""),"")</f>
        <v/>
      </c>
      <c r="K451" s="49"/>
      <c r="L451" s="49" t="s">
        <v>255</v>
      </c>
      <c r="M451" s="49"/>
      <c r="N451" s="49"/>
      <c r="O451" s="49"/>
      <c r="P451" s="49"/>
      <c r="Q451" s="49"/>
      <c r="R451" s="49"/>
      <c r="S451" s="49"/>
      <c r="T451" s="49"/>
    </row>
    <row r="452">
      <c r="A452" s="49"/>
      <c r="B452" s="49"/>
      <c r="C452" s="51"/>
      <c r="D452" s="49"/>
      <c r="E452" s="49"/>
      <c r="F452" s="49"/>
      <c r="G452" s="49" t="str">
        <f>IFERROR(__xludf.DUMMYFUNCTION("""COMPUTED_VALUE"""),"#VALUE!")</f>
        <v>#VALUE!</v>
      </c>
      <c r="H452" s="49" t="str">
        <f>IFERROR(__xludf.DUMMYFUNCTION("""COMPUTED_VALUE"""),"")</f>
        <v/>
      </c>
      <c r="I452" s="49" t="str">
        <f>IFERROR(__xludf.DUMMYFUNCTION("""COMPUTED_VALUE"""),"#VALUE!")</f>
        <v>#VALUE!</v>
      </c>
      <c r="J452" s="49" t="str">
        <f>IFERROR(__xludf.DUMMYFUNCTION("""COMPUTED_VALUE"""),"")</f>
        <v/>
      </c>
      <c r="K452" s="49"/>
      <c r="L452" s="49" t="s">
        <v>255</v>
      </c>
      <c r="M452" s="49"/>
      <c r="N452" s="49"/>
      <c r="O452" s="49"/>
      <c r="P452" s="49"/>
      <c r="Q452" s="49"/>
      <c r="R452" s="49"/>
      <c r="S452" s="49"/>
      <c r="T452" s="49"/>
    </row>
    <row r="453">
      <c r="A453" s="49"/>
      <c r="B453" s="49"/>
      <c r="C453" s="51"/>
      <c r="D453" s="49"/>
      <c r="E453" s="49"/>
      <c r="F453" s="49"/>
      <c r="G453" s="49" t="str">
        <f>IFERROR(__xludf.DUMMYFUNCTION("""COMPUTED_VALUE"""),"#VALUE!")</f>
        <v>#VALUE!</v>
      </c>
      <c r="H453" s="49" t="str">
        <f>IFERROR(__xludf.DUMMYFUNCTION("""COMPUTED_VALUE"""),"")</f>
        <v/>
      </c>
      <c r="I453" s="49" t="str">
        <f>IFERROR(__xludf.DUMMYFUNCTION("""COMPUTED_VALUE"""),"#VALUE!")</f>
        <v>#VALUE!</v>
      </c>
      <c r="J453" s="49" t="str">
        <f>IFERROR(__xludf.DUMMYFUNCTION("""COMPUTED_VALUE"""),"")</f>
        <v/>
      </c>
      <c r="K453" s="49"/>
      <c r="L453" s="49" t="s">
        <v>255</v>
      </c>
      <c r="M453" s="49"/>
      <c r="N453" s="49"/>
      <c r="O453" s="49"/>
      <c r="P453" s="49"/>
      <c r="Q453" s="49"/>
      <c r="R453" s="49"/>
      <c r="S453" s="49"/>
      <c r="T453" s="49"/>
    </row>
    <row r="454">
      <c r="A454" s="49"/>
      <c r="B454" s="49"/>
      <c r="C454" s="51"/>
      <c r="D454" s="49"/>
      <c r="E454" s="49"/>
      <c r="F454" s="49"/>
      <c r="G454" s="49" t="str">
        <f>IFERROR(__xludf.DUMMYFUNCTION("""COMPUTED_VALUE"""),"#VALUE!")</f>
        <v>#VALUE!</v>
      </c>
      <c r="H454" s="49" t="str">
        <f>IFERROR(__xludf.DUMMYFUNCTION("""COMPUTED_VALUE"""),"")</f>
        <v/>
      </c>
      <c r="I454" s="49" t="str">
        <f>IFERROR(__xludf.DUMMYFUNCTION("""COMPUTED_VALUE"""),"#VALUE!")</f>
        <v>#VALUE!</v>
      </c>
      <c r="J454" s="49" t="str">
        <f>IFERROR(__xludf.DUMMYFUNCTION("""COMPUTED_VALUE"""),"")</f>
        <v/>
      </c>
      <c r="K454" s="49"/>
      <c r="L454" s="49" t="s">
        <v>255</v>
      </c>
      <c r="M454" s="49"/>
      <c r="N454" s="49"/>
      <c r="O454" s="49"/>
      <c r="P454" s="49"/>
      <c r="Q454" s="49"/>
      <c r="R454" s="49"/>
      <c r="S454" s="49"/>
      <c r="T454" s="49"/>
    </row>
    <row r="455">
      <c r="A455" s="49"/>
      <c r="B455" s="49"/>
      <c r="C455" s="51"/>
      <c r="D455" s="49"/>
      <c r="E455" s="49"/>
      <c r="F455" s="49"/>
      <c r="G455" s="49" t="str">
        <f>IFERROR(__xludf.DUMMYFUNCTION("""COMPUTED_VALUE"""),"#VALUE!")</f>
        <v>#VALUE!</v>
      </c>
      <c r="H455" s="49" t="str">
        <f>IFERROR(__xludf.DUMMYFUNCTION("""COMPUTED_VALUE"""),"")</f>
        <v/>
      </c>
      <c r="I455" s="49" t="str">
        <f>IFERROR(__xludf.DUMMYFUNCTION("""COMPUTED_VALUE"""),"#VALUE!")</f>
        <v>#VALUE!</v>
      </c>
      <c r="J455" s="49" t="str">
        <f>IFERROR(__xludf.DUMMYFUNCTION("""COMPUTED_VALUE"""),"")</f>
        <v/>
      </c>
      <c r="K455" s="49"/>
      <c r="L455" s="49" t="s">
        <v>255</v>
      </c>
      <c r="M455" s="49"/>
      <c r="N455" s="49"/>
      <c r="O455" s="49"/>
      <c r="P455" s="49"/>
      <c r="Q455" s="49"/>
      <c r="R455" s="49"/>
      <c r="S455" s="49"/>
      <c r="T455" s="49"/>
    </row>
    <row r="456">
      <c r="A456" s="49"/>
      <c r="B456" s="49"/>
      <c r="C456" s="51"/>
      <c r="D456" s="49"/>
      <c r="E456" s="49"/>
      <c r="F456" s="49"/>
      <c r="G456" s="49" t="str">
        <f>IFERROR(__xludf.DUMMYFUNCTION("""COMPUTED_VALUE"""),"#VALUE!")</f>
        <v>#VALUE!</v>
      </c>
      <c r="H456" s="49" t="str">
        <f>IFERROR(__xludf.DUMMYFUNCTION("""COMPUTED_VALUE"""),"")</f>
        <v/>
      </c>
      <c r="I456" s="49" t="str">
        <f>IFERROR(__xludf.DUMMYFUNCTION("""COMPUTED_VALUE"""),"#VALUE!")</f>
        <v>#VALUE!</v>
      </c>
      <c r="J456" s="49" t="str">
        <f>IFERROR(__xludf.DUMMYFUNCTION("""COMPUTED_VALUE"""),"")</f>
        <v/>
      </c>
      <c r="K456" s="49"/>
      <c r="L456" s="49" t="s">
        <v>255</v>
      </c>
      <c r="M456" s="49"/>
      <c r="N456" s="49"/>
      <c r="O456" s="49"/>
      <c r="P456" s="49"/>
      <c r="Q456" s="49"/>
      <c r="R456" s="49"/>
      <c r="S456" s="49"/>
      <c r="T456" s="49"/>
    </row>
    <row r="457">
      <c r="A457" s="49"/>
      <c r="B457" s="49"/>
      <c r="C457" s="51"/>
      <c r="D457" s="49"/>
      <c r="E457" s="49"/>
      <c r="F457" s="49"/>
      <c r="G457" s="49" t="str">
        <f>IFERROR(__xludf.DUMMYFUNCTION("""COMPUTED_VALUE"""),"#VALUE!")</f>
        <v>#VALUE!</v>
      </c>
      <c r="H457" s="49" t="str">
        <f>IFERROR(__xludf.DUMMYFUNCTION("""COMPUTED_VALUE"""),"")</f>
        <v/>
      </c>
      <c r="I457" s="49" t="str">
        <f>IFERROR(__xludf.DUMMYFUNCTION("""COMPUTED_VALUE"""),"#VALUE!")</f>
        <v>#VALUE!</v>
      </c>
      <c r="J457" s="49" t="str">
        <f>IFERROR(__xludf.DUMMYFUNCTION("""COMPUTED_VALUE"""),"")</f>
        <v/>
      </c>
      <c r="K457" s="49"/>
      <c r="L457" s="49" t="s">
        <v>255</v>
      </c>
      <c r="M457" s="49"/>
      <c r="N457" s="49"/>
      <c r="O457" s="49"/>
      <c r="P457" s="49"/>
      <c r="Q457" s="49"/>
      <c r="R457" s="49"/>
      <c r="S457" s="49"/>
      <c r="T457" s="49"/>
    </row>
    <row r="458">
      <c r="A458" s="49"/>
      <c r="B458" s="49"/>
      <c r="C458" s="51"/>
      <c r="D458" s="49"/>
      <c r="E458" s="49"/>
      <c r="F458" s="49"/>
      <c r="G458" s="49" t="str">
        <f>IFERROR(__xludf.DUMMYFUNCTION("""COMPUTED_VALUE"""),"#VALUE!")</f>
        <v>#VALUE!</v>
      </c>
      <c r="H458" s="49" t="str">
        <f>IFERROR(__xludf.DUMMYFUNCTION("""COMPUTED_VALUE"""),"")</f>
        <v/>
      </c>
      <c r="I458" s="49" t="str">
        <f>IFERROR(__xludf.DUMMYFUNCTION("""COMPUTED_VALUE"""),"#VALUE!")</f>
        <v>#VALUE!</v>
      </c>
      <c r="J458" s="49" t="str">
        <f>IFERROR(__xludf.DUMMYFUNCTION("""COMPUTED_VALUE"""),"")</f>
        <v/>
      </c>
      <c r="K458" s="49"/>
      <c r="L458" s="49" t="s">
        <v>255</v>
      </c>
      <c r="M458" s="49"/>
      <c r="N458" s="49"/>
      <c r="O458" s="49"/>
      <c r="P458" s="49"/>
      <c r="Q458" s="49"/>
      <c r="R458" s="49"/>
      <c r="S458" s="49"/>
      <c r="T458" s="49"/>
    </row>
    <row r="459">
      <c r="A459" s="49"/>
      <c r="B459" s="49"/>
      <c r="C459" s="51"/>
      <c r="D459" s="49"/>
      <c r="E459" s="49"/>
      <c r="F459" s="49"/>
      <c r="G459" s="49" t="str">
        <f>IFERROR(__xludf.DUMMYFUNCTION("""COMPUTED_VALUE"""),"#VALUE!")</f>
        <v>#VALUE!</v>
      </c>
      <c r="H459" s="49" t="str">
        <f>IFERROR(__xludf.DUMMYFUNCTION("""COMPUTED_VALUE"""),"")</f>
        <v/>
      </c>
      <c r="I459" s="49" t="str">
        <f>IFERROR(__xludf.DUMMYFUNCTION("""COMPUTED_VALUE"""),"#VALUE!")</f>
        <v>#VALUE!</v>
      </c>
      <c r="J459" s="49" t="str">
        <f>IFERROR(__xludf.DUMMYFUNCTION("""COMPUTED_VALUE"""),"")</f>
        <v/>
      </c>
      <c r="K459" s="49"/>
      <c r="L459" s="49" t="s">
        <v>255</v>
      </c>
      <c r="M459" s="49"/>
      <c r="N459" s="49"/>
      <c r="O459" s="49"/>
      <c r="P459" s="49"/>
      <c r="Q459" s="49"/>
      <c r="R459" s="49"/>
      <c r="S459" s="49"/>
      <c r="T459" s="49"/>
    </row>
    <row r="460">
      <c r="A460" s="49"/>
      <c r="B460" s="49"/>
      <c r="C460" s="51"/>
      <c r="D460" s="49"/>
      <c r="E460" s="49"/>
      <c r="F460" s="49"/>
      <c r="G460" s="49" t="str">
        <f>IFERROR(__xludf.DUMMYFUNCTION("""COMPUTED_VALUE"""),"#VALUE!")</f>
        <v>#VALUE!</v>
      </c>
      <c r="H460" s="49" t="str">
        <f>IFERROR(__xludf.DUMMYFUNCTION("""COMPUTED_VALUE"""),"")</f>
        <v/>
      </c>
      <c r="I460" s="49" t="str">
        <f>IFERROR(__xludf.DUMMYFUNCTION("""COMPUTED_VALUE"""),"#VALUE!")</f>
        <v>#VALUE!</v>
      </c>
      <c r="J460" s="49" t="str">
        <f>IFERROR(__xludf.DUMMYFUNCTION("""COMPUTED_VALUE"""),"")</f>
        <v/>
      </c>
      <c r="K460" s="49"/>
      <c r="L460" s="49" t="s">
        <v>255</v>
      </c>
      <c r="M460" s="49"/>
      <c r="N460" s="49"/>
      <c r="O460" s="49"/>
      <c r="P460" s="49"/>
      <c r="Q460" s="49"/>
      <c r="R460" s="49"/>
      <c r="S460" s="49"/>
      <c r="T460" s="49"/>
    </row>
    <row r="461">
      <c r="A461" s="49"/>
      <c r="B461" s="49"/>
      <c r="C461" s="51"/>
      <c r="D461" s="49"/>
      <c r="E461" s="49"/>
      <c r="F461" s="49"/>
      <c r="G461" s="49" t="str">
        <f>IFERROR(__xludf.DUMMYFUNCTION("""COMPUTED_VALUE"""),"#VALUE!")</f>
        <v>#VALUE!</v>
      </c>
      <c r="H461" s="49" t="str">
        <f>IFERROR(__xludf.DUMMYFUNCTION("""COMPUTED_VALUE"""),"")</f>
        <v/>
      </c>
      <c r="I461" s="49" t="str">
        <f>IFERROR(__xludf.DUMMYFUNCTION("""COMPUTED_VALUE"""),"#VALUE!")</f>
        <v>#VALUE!</v>
      </c>
      <c r="J461" s="49" t="str">
        <f>IFERROR(__xludf.DUMMYFUNCTION("""COMPUTED_VALUE"""),"")</f>
        <v/>
      </c>
      <c r="K461" s="49"/>
      <c r="L461" s="49" t="s">
        <v>255</v>
      </c>
      <c r="M461" s="49"/>
      <c r="N461" s="49"/>
      <c r="O461" s="49"/>
      <c r="P461" s="49"/>
      <c r="Q461" s="49"/>
      <c r="R461" s="49"/>
      <c r="S461" s="49"/>
      <c r="T461" s="49"/>
    </row>
    <row r="462">
      <c r="A462" s="49"/>
      <c r="B462" s="49"/>
      <c r="C462" s="51"/>
      <c r="D462" s="49"/>
      <c r="E462" s="49"/>
      <c r="F462" s="49"/>
      <c r="G462" s="49" t="str">
        <f>IFERROR(__xludf.DUMMYFUNCTION("""COMPUTED_VALUE"""),"#VALUE!")</f>
        <v>#VALUE!</v>
      </c>
      <c r="H462" s="49" t="str">
        <f>IFERROR(__xludf.DUMMYFUNCTION("""COMPUTED_VALUE"""),"")</f>
        <v/>
      </c>
      <c r="I462" s="49" t="str">
        <f>IFERROR(__xludf.DUMMYFUNCTION("""COMPUTED_VALUE"""),"#VALUE!")</f>
        <v>#VALUE!</v>
      </c>
      <c r="J462" s="49" t="str">
        <f>IFERROR(__xludf.DUMMYFUNCTION("""COMPUTED_VALUE"""),"")</f>
        <v/>
      </c>
      <c r="K462" s="49"/>
      <c r="L462" s="49" t="s">
        <v>255</v>
      </c>
      <c r="M462" s="49"/>
      <c r="N462" s="49"/>
      <c r="O462" s="49"/>
      <c r="P462" s="49"/>
      <c r="Q462" s="49"/>
      <c r="R462" s="49"/>
      <c r="S462" s="49"/>
      <c r="T462" s="49"/>
    </row>
    <row r="463">
      <c r="A463" s="49"/>
      <c r="B463" s="49"/>
      <c r="C463" s="51"/>
      <c r="D463" s="49"/>
      <c r="E463" s="49"/>
      <c r="F463" s="49"/>
      <c r="G463" s="49" t="str">
        <f>IFERROR(__xludf.DUMMYFUNCTION("""COMPUTED_VALUE"""),"#VALUE!")</f>
        <v>#VALUE!</v>
      </c>
      <c r="H463" s="49" t="str">
        <f>IFERROR(__xludf.DUMMYFUNCTION("""COMPUTED_VALUE"""),"")</f>
        <v/>
      </c>
      <c r="I463" s="49" t="str">
        <f>IFERROR(__xludf.DUMMYFUNCTION("""COMPUTED_VALUE"""),"#VALUE!")</f>
        <v>#VALUE!</v>
      </c>
      <c r="J463" s="49" t="str">
        <f>IFERROR(__xludf.DUMMYFUNCTION("""COMPUTED_VALUE"""),"")</f>
        <v/>
      </c>
      <c r="K463" s="49"/>
      <c r="L463" s="49" t="s">
        <v>255</v>
      </c>
      <c r="M463" s="49"/>
      <c r="N463" s="49"/>
      <c r="O463" s="49"/>
      <c r="P463" s="49"/>
      <c r="Q463" s="49"/>
      <c r="R463" s="49"/>
      <c r="S463" s="49"/>
      <c r="T463" s="49"/>
    </row>
    <row r="464">
      <c r="A464" s="49"/>
      <c r="B464" s="49"/>
      <c r="C464" s="51"/>
      <c r="D464" s="49"/>
      <c r="E464" s="49"/>
      <c r="F464" s="49"/>
      <c r="G464" s="49" t="str">
        <f>IFERROR(__xludf.DUMMYFUNCTION("""COMPUTED_VALUE"""),"#VALUE!")</f>
        <v>#VALUE!</v>
      </c>
      <c r="H464" s="49" t="str">
        <f>IFERROR(__xludf.DUMMYFUNCTION("""COMPUTED_VALUE"""),"")</f>
        <v/>
      </c>
      <c r="I464" s="49" t="str">
        <f>IFERROR(__xludf.DUMMYFUNCTION("""COMPUTED_VALUE"""),"#VALUE!")</f>
        <v>#VALUE!</v>
      </c>
      <c r="J464" s="49" t="str">
        <f>IFERROR(__xludf.DUMMYFUNCTION("""COMPUTED_VALUE"""),"")</f>
        <v/>
      </c>
      <c r="K464" s="49"/>
      <c r="L464" s="49" t="s">
        <v>255</v>
      </c>
      <c r="M464" s="49"/>
      <c r="N464" s="49"/>
      <c r="O464" s="49"/>
      <c r="P464" s="49"/>
      <c r="Q464" s="49"/>
      <c r="R464" s="49"/>
      <c r="S464" s="49"/>
      <c r="T464" s="49"/>
    </row>
    <row r="465">
      <c r="A465" s="49"/>
      <c r="B465" s="49"/>
      <c r="C465" s="51"/>
      <c r="D465" s="49"/>
      <c r="E465" s="49"/>
      <c r="F465" s="49"/>
      <c r="G465" s="49" t="str">
        <f>IFERROR(__xludf.DUMMYFUNCTION("""COMPUTED_VALUE"""),"#VALUE!")</f>
        <v>#VALUE!</v>
      </c>
      <c r="H465" s="49" t="str">
        <f>IFERROR(__xludf.DUMMYFUNCTION("""COMPUTED_VALUE"""),"")</f>
        <v/>
      </c>
      <c r="I465" s="49" t="str">
        <f>IFERROR(__xludf.DUMMYFUNCTION("""COMPUTED_VALUE"""),"#VALUE!")</f>
        <v>#VALUE!</v>
      </c>
      <c r="J465" s="49" t="str">
        <f>IFERROR(__xludf.DUMMYFUNCTION("""COMPUTED_VALUE"""),"")</f>
        <v/>
      </c>
      <c r="K465" s="49"/>
      <c r="L465" s="49" t="s">
        <v>255</v>
      </c>
      <c r="M465" s="49"/>
      <c r="N465" s="49"/>
      <c r="O465" s="49"/>
      <c r="P465" s="49"/>
      <c r="Q465" s="49"/>
      <c r="R465" s="49"/>
      <c r="S465" s="49"/>
      <c r="T465" s="49"/>
    </row>
    <row r="466">
      <c r="A466" s="49"/>
      <c r="B466" s="49"/>
      <c r="C466" s="51"/>
      <c r="D466" s="49"/>
      <c r="E466" s="49"/>
      <c r="F466" s="49"/>
      <c r="G466" s="49" t="str">
        <f>IFERROR(__xludf.DUMMYFUNCTION("""COMPUTED_VALUE"""),"#VALUE!")</f>
        <v>#VALUE!</v>
      </c>
      <c r="H466" s="49" t="str">
        <f>IFERROR(__xludf.DUMMYFUNCTION("""COMPUTED_VALUE"""),"")</f>
        <v/>
      </c>
      <c r="I466" s="49" t="str">
        <f>IFERROR(__xludf.DUMMYFUNCTION("""COMPUTED_VALUE"""),"#VALUE!")</f>
        <v>#VALUE!</v>
      </c>
      <c r="J466" s="49" t="str">
        <f>IFERROR(__xludf.DUMMYFUNCTION("""COMPUTED_VALUE"""),"")</f>
        <v/>
      </c>
      <c r="K466" s="49"/>
      <c r="L466" s="49" t="s">
        <v>255</v>
      </c>
      <c r="M466" s="49"/>
      <c r="N466" s="49"/>
      <c r="O466" s="49"/>
      <c r="P466" s="49"/>
      <c r="Q466" s="49"/>
      <c r="R466" s="49"/>
      <c r="S466" s="49"/>
      <c r="T466" s="49"/>
    </row>
    <row r="467">
      <c r="A467" s="49"/>
      <c r="B467" s="49"/>
      <c r="C467" s="51"/>
      <c r="D467" s="49"/>
      <c r="E467" s="49"/>
      <c r="F467" s="49"/>
      <c r="G467" s="49" t="str">
        <f>IFERROR(__xludf.DUMMYFUNCTION("""COMPUTED_VALUE"""),"#VALUE!")</f>
        <v>#VALUE!</v>
      </c>
      <c r="H467" s="49" t="str">
        <f>IFERROR(__xludf.DUMMYFUNCTION("""COMPUTED_VALUE"""),"")</f>
        <v/>
      </c>
      <c r="I467" s="49" t="str">
        <f>IFERROR(__xludf.DUMMYFUNCTION("""COMPUTED_VALUE"""),"#VALUE!")</f>
        <v>#VALUE!</v>
      </c>
      <c r="J467" s="49" t="str">
        <f>IFERROR(__xludf.DUMMYFUNCTION("""COMPUTED_VALUE"""),"")</f>
        <v/>
      </c>
      <c r="K467" s="49"/>
      <c r="L467" s="49" t="s">
        <v>255</v>
      </c>
      <c r="M467" s="49"/>
      <c r="N467" s="49"/>
      <c r="O467" s="49"/>
      <c r="P467" s="49"/>
      <c r="Q467" s="49"/>
      <c r="R467" s="49"/>
      <c r="S467" s="49"/>
      <c r="T467" s="49"/>
    </row>
    <row r="468">
      <c r="A468" s="49"/>
      <c r="B468" s="49"/>
      <c r="C468" s="51"/>
      <c r="D468" s="49"/>
      <c r="E468" s="49"/>
      <c r="F468" s="49"/>
      <c r="G468" s="49" t="str">
        <f>IFERROR(__xludf.DUMMYFUNCTION("""COMPUTED_VALUE"""),"#VALUE!")</f>
        <v>#VALUE!</v>
      </c>
      <c r="H468" s="49" t="str">
        <f>IFERROR(__xludf.DUMMYFUNCTION("""COMPUTED_VALUE"""),"")</f>
        <v/>
      </c>
      <c r="I468" s="49" t="str">
        <f>IFERROR(__xludf.DUMMYFUNCTION("""COMPUTED_VALUE"""),"#VALUE!")</f>
        <v>#VALUE!</v>
      </c>
      <c r="J468" s="49" t="str">
        <f>IFERROR(__xludf.DUMMYFUNCTION("""COMPUTED_VALUE"""),"")</f>
        <v/>
      </c>
      <c r="K468" s="49"/>
      <c r="L468" s="49" t="s">
        <v>255</v>
      </c>
      <c r="M468" s="49"/>
      <c r="N468" s="49"/>
      <c r="O468" s="49"/>
      <c r="P468" s="49"/>
      <c r="Q468" s="49"/>
      <c r="R468" s="49"/>
      <c r="S468" s="49"/>
      <c r="T468" s="49"/>
    </row>
    <row r="469">
      <c r="A469" s="49"/>
      <c r="B469" s="49"/>
      <c r="C469" s="51"/>
      <c r="D469" s="49"/>
      <c r="E469" s="49"/>
      <c r="F469" s="49"/>
      <c r="G469" s="49" t="str">
        <f>IFERROR(__xludf.DUMMYFUNCTION("""COMPUTED_VALUE"""),"#VALUE!")</f>
        <v>#VALUE!</v>
      </c>
      <c r="H469" s="49" t="str">
        <f>IFERROR(__xludf.DUMMYFUNCTION("""COMPUTED_VALUE"""),"")</f>
        <v/>
      </c>
      <c r="I469" s="49" t="str">
        <f>IFERROR(__xludf.DUMMYFUNCTION("""COMPUTED_VALUE"""),"#VALUE!")</f>
        <v>#VALUE!</v>
      </c>
      <c r="J469" s="49" t="str">
        <f>IFERROR(__xludf.DUMMYFUNCTION("""COMPUTED_VALUE"""),"")</f>
        <v/>
      </c>
      <c r="K469" s="49"/>
      <c r="L469" s="49" t="s">
        <v>255</v>
      </c>
      <c r="M469" s="49"/>
      <c r="N469" s="49"/>
      <c r="O469" s="49"/>
      <c r="P469" s="49"/>
      <c r="Q469" s="49"/>
      <c r="R469" s="49"/>
      <c r="S469" s="49"/>
      <c r="T469" s="49"/>
    </row>
    <row r="470">
      <c r="A470" s="49"/>
      <c r="B470" s="49"/>
      <c r="C470" s="51"/>
      <c r="D470" s="49"/>
      <c r="E470" s="49"/>
      <c r="F470" s="49"/>
      <c r="G470" s="49" t="str">
        <f>IFERROR(__xludf.DUMMYFUNCTION("""COMPUTED_VALUE"""),"#VALUE!")</f>
        <v>#VALUE!</v>
      </c>
      <c r="H470" s="49" t="str">
        <f>IFERROR(__xludf.DUMMYFUNCTION("""COMPUTED_VALUE"""),"")</f>
        <v/>
      </c>
      <c r="I470" s="49" t="str">
        <f>IFERROR(__xludf.DUMMYFUNCTION("""COMPUTED_VALUE"""),"#VALUE!")</f>
        <v>#VALUE!</v>
      </c>
      <c r="J470" s="49" t="str">
        <f>IFERROR(__xludf.DUMMYFUNCTION("""COMPUTED_VALUE"""),"")</f>
        <v/>
      </c>
      <c r="K470" s="49"/>
      <c r="L470" s="49" t="s">
        <v>255</v>
      </c>
      <c r="M470" s="49"/>
      <c r="N470" s="49"/>
      <c r="O470" s="49"/>
      <c r="P470" s="49"/>
      <c r="Q470" s="49"/>
      <c r="R470" s="49"/>
      <c r="S470" s="49"/>
      <c r="T470" s="49"/>
    </row>
    <row r="471">
      <c r="A471" s="49"/>
      <c r="B471" s="49"/>
      <c r="C471" s="51"/>
      <c r="D471" s="49"/>
      <c r="E471" s="49"/>
      <c r="F471" s="49"/>
      <c r="G471" s="49" t="str">
        <f>IFERROR(__xludf.DUMMYFUNCTION("""COMPUTED_VALUE"""),"#VALUE!")</f>
        <v>#VALUE!</v>
      </c>
      <c r="H471" s="49" t="str">
        <f>IFERROR(__xludf.DUMMYFUNCTION("""COMPUTED_VALUE"""),"")</f>
        <v/>
      </c>
      <c r="I471" s="49" t="str">
        <f>IFERROR(__xludf.DUMMYFUNCTION("""COMPUTED_VALUE"""),"#VALUE!")</f>
        <v>#VALUE!</v>
      </c>
      <c r="J471" s="49" t="str">
        <f>IFERROR(__xludf.DUMMYFUNCTION("""COMPUTED_VALUE"""),"")</f>
        <v/>
      </c>
      <c r="K471" s="49"/>
      <c r="L471" s="49" t="s">
        <v>255</v>
      </c>
      <c r="M471" s="49"/>
      <c r="N471" s="49"/>
      <c r="O471" s="49"/>
      <c r="P471" s="49"/>
      <c r="Q471" s="49"/>
      <c r="R471" s="49"/>
      <c r="S471" s="49"/>
      <c r="T471" s="49"/>
    </row>
    <row r="472">
      <c r="A472" s="49"/>
      <c r="B472" s="49"/>
      <c r="C472" s="51"/>
      <c r="D472" s="49"/>
      <c r="E472" s="49"/>
      <c r="F472" s="49"/>
      <c r="G472" s="49" t="str">
        <f>IFERROR(__xludf.DUMMYFUNCTION("""COMPUTED_VALUE"""),"#VALUE!")</f>
        <v>#VALUE!</v>
      </c>
      <c r="H472" s="49" t="str">
        <f>IFERROR(__xludf.DUMMYFUNCTION("""COMPUTED_VALUE"""),"")</f>
        <v/>
      </c>
      <c r="I472" s="49" t="str">
        <f>IFERROR(__xludf.DUMMYFUNCTION("""COMPUTED_VALUE"""),"#VALUE!")</f>
        <v>#VALUE!</v>
      </c>
      <c r="J472" s="49" t="str">
        <f>IFERROR(__xludf.DUMMYFUNCTION("""COMPUTED_VALUE"""),"")</f>
        <v/>
      </c>
      <c r="K472" s="49"/>
      <c r="L472" s="49" t="s">
        <v>255</v>
      </c>
      <c r="M472" s="49"/>
      <c r="N472" s="49"/>
      <c r="O472" s="49"/>
      <c r="P472" s="49"/>
      <c r="Q472" s="49"/>
      <c r="R472" s="49"/>
      <c r="S472" s="49"/>
      <c r="T472" s="49"/>
    </row>
    <row r="473">
      <c r="A473" s="49"/>
      <c r="B473" s="49"/>
      <c r="C473" s="51"/>
      <c r="D473" s="49"/>
      <c r="E473" s="49"/>
      <c r="F473" s="49"/>
      <c r="G473" s="49" t="str">
        <f>IFERROR(__xludf.DUMMYFUNCTION("""COMPUTED_VALUE"""),"#VALUE!")</f>
        <v>#VALUE!</v>
      </c>
      <c r="H473" s="49" t="str">
        <f>IFERROR(__xludf.DUMMYFUNCTION("""COMPUTED_VALUE"""),"")</f>
        <v/>
      </c>
      <c r="I473" s="49" t="str">
        <f>IFERROR(__xludf.DUMMYFUNCTION("""COMPUTED_VALUE"""),"#VALUE!")</f>
        <v>#VALUE!</v>
      </c>
      <c r="J473" s="49" t="str">
        <f>IFERROR(__xludf.DUMMYFUNCTION("""COMPUTED_VALUE"""),"")</f>
        <v/>
      </c>
      <c r="K473" s="49"/>
      <c r="L473" s="49" t="s">
        <v>255</v>
      </c>
      <c r="M473" s="49"/>
      <c r="N473" s="49"/>
      <c r="O473" s="49"/>
      <c r="P473" s="49"/>
      <c r="Q473" s="49"/>
      <c r="R473" s="49"/>
      <c r="S473" s="49"/>
      <c r="T473" s="49"/>
    </row>
    <row r="474">
      <c r="A474" s="49"/>
      <c r="B474" s="49"/>
      <c r="C474" s="51"/>
      <c r="D474" s="49"/>
      <c r="E474" s="49"/>
      <c r="F474" s="49"/>
      <c r="G474" s="49" t="str">
        <f>IFERROR(__xludf.DUMMYFUNCTION("""COMPUTED_VALUE"""),"#VALUE!")</f>
        <v>#VALUE!</v>
      </c>
      <c r="H474" s="49" t="str">
        <f>IFERROR(__xludf.DUMMYFUNCTION("""COMPUTED_VALUE"""),"")</f>
        <v/>
      </c>
      <c r="I474" s="49" t="str">
        <f>IFERROR(__xludf.DUMMYFUNCTION("""COMPUTED_VALUE"""),"#VALUE!")</f>
        <v>#VALUE!</v>
      </c>
      <c r="J474" s="49" t="str">
        <f>IFERROR(__xludf.DUMMYFUNCTION("""COMPUTED_VALUE"""),"")</f>
        <v/>
      </c>
      <c r="K474" s="49"/>
      <c r="L474" s="49" t="s">
        <v>255</v>
      </c>
      <c r="M474" s="49"/>
      <c r="N474" s="49"/>
      <c r="O474" s="49"/>
      <c r="P474" s="49"/>
      <c r="Q474" s="49"/>
      <c r="R474" s="49"/>
      <c r="S474" s="49"/>
      <c r="T474" s="49"/>
    </row>
    <row r="475">
      <c r="A475" s="49"/>
      <c r="B475" s="49"/>
      <c r="C475" s="51"/>
      <c r="D475" s="49"/>
      <c r="E475" s="49"/>
      <c r="F475" s="49"/>
      <c r="G475" s="49" t="str">
        <f>IFERROR(__xludf.DUMMYFUNCTION("""COMPUTED_VALUE"""),"#VALUE!")</f>
        <v>#VALUE!</v>
      </c>
      <c r="H475" s="49" t="str">
        <f>IFERROR(__xludf.DUMMYFUNCTION("""COMPUTED_VALUE"""),"")</f>
        <v/>
      </c>
      <c r="I475" s="49" t="str">
        <f>IFERROR(__xludf.DUMMYFUNCTION("""COMPUTED_VALUE"""),"#VALUE!")</f>
        <v>#VALUE!</v>
      </c>
      <c r="J475" s="49" t="str">
        <f>IFERROR(__xludf.DUMMYFUNCTION("""COMPUTED_VALUE"""),"")</f>
        <v/>
      </c>
      <c r="K475" s="49"/>
      <c r="L475" s="49" t="s">
        <v>255</v>
      </c>
      <c r="M475" s="49"/>
      <c r="N475" s="49"/>
      <c r="O475" s="49"/>
      <c r="P475" s="49"/>
      <c r="Q475" s="49"/>
      <c r="R475" s="49"/>
      <c r="S475" s="49"/>
      <c r="T475" s="49"/>
    </row>
    <row r="476">
      <c r="A476" s="49"/>
      <c r="B476" s="49"/>
      <c r="C476" s="51"/>
      <c r="D476" s="49"/>
      <c r="E476" s="49"/>
      <c r="F476" s="49"/>
      <c r="G476" s="49" t="str">
        <f>IFERROR(__xludf.DUMMYFUNCTION("""COMPUTED_VALUE"""),"#VALUE!")</f>
        <v>#VALUE!</v>
      </c>
      <c r="H476" s="49" t="str">
        <f>IFERROR(__xludf.DUMMYFUNCTION("""COMPUTED_VALUE"""),"")</f>
        <v/>
      </c>
      <c r="I476" s="49" t="str">
        <f>IFERROR(__xludf.DUMMYFUNCTION("""COMPUTED_VALUE"""),"#VALUE!")</f>
        <v>#VALUE!</v>
      </c>
      <c r="J476" s="49" t="str">
        <f>IFERROR(__xludf.DUMMYFUNCTION("""COMPUTED_VALUE"""),"")</f>
        <v/>
      </c>
      <c r="K476" s="49"/>
      <c r="L476" s="49" t="s">
        <v>255</v>
      </c>
      <c r="M476" s="49"/>
      <c r="N476" s="49"/>
      <c r="O476" s="49"/>
      <c r="P476" s="49"/>
      <c r="Q476" s="49"/>
      <c r="R476" s="49"/>
      <c r="S476" s="49"/>
      <c r="T476" s="49"/>
    </row>
    <row r="477">
      <c r="A477" s="49"/>
      <c r="B477" s="49"/>
      <c r="C477" s="51"/>
      <c r="D477" s="49"/>
      <c r="E477" s="49"/>
      <c r="F477" s="49"/>
      <c r="G477" s="49" t="str">
        <f>IFERROR(__xludf.DUMMYFUNCTION("""COMPUTED_VALUE"""),"#VALUE!")</f>
        <v>#VALUE!</v>
      </c>
      <c r="H477" s="49" t="str">
        <f>IFERROR(__xludf.DUMMYFUNCTION("""COMPUTED_VALUE"""),"")</f>
        <v/>
      </c>
      <c r="I477" s="49" t="str">
        <f>IFERROR(__xludf.DUMMYFUNCTION("""COMPUTED_VALUE"""),"#VALUE!")</f>
        <v>#VALUE!</v>
      </c>
      <c r="J477" s="49" t="str">
        <f>IFERROR(__xludf.DUMMYFUNCTION("""COMPUTED_VALUE"""),"")</f>
        <v/>
      </c>
      <c r="K477" s="49"/>
      <c r="L477" s="49" t="s">
        <v>255</v>
      </c>
      <c r="M477" s="49"/>
      <c r="N477" s="49"/>
      <c r="O477" s="49"/>
      <c r="P477" s="49"/>
      <c r="Q477" s="49"/>
      <c r="R477" s="49"/>
      <c r="S477" s="49"/>
      <c r="T477" s="49"/>
    </row>
    <row r="478">
      <c r="A478" s="49"/>
      <c r="B478" s="49"/>
      <c r="C478" s="51"/>
      <c r="D478" s="49"/>
      <c r="E478" s="49"/>
      <c r="F478" s="49"/>
      <c r="G478" s="49" t="str">
        <f>IFERROR(__xludf.DUMMYFUNCTION("""COMPUTED_VALUE"""),"#VALUE!")</f>
        <v>#VALUE!</v>
      </c>
      <c r="H478" s="49" t="str">
        <f>IFERROR(__xludf.DUMMYFUNCTION("""COMPUTED_VALUE"""),"")</f>
        <v/>
      </c>
      <c r="I478" s="49" t="str">
        <f>IFERROR(__xludf.DUMMYFUNCTION("""COMPUTED_VALUE"""),"#VALUE!")</f>
        <v>#VALUE!</v>
      </c>
      <c r="J478" s="49" t="str">
        <f>IFERROR(__xludf.DUMMYFUNCTION("""COMPUTED_VALUE"""),"")</f>
        <v/>
      </c>
      <c r="K478" s="49"/>
      <c r="L478" s="49" t="s">
        <v>255</v>
      </c>
      <c r="M478" s="49"/>
      <c r="N478" s="49"/>
      <c r="O478" s="49"/>
      <c r="P478" s="49"/>
      <c r="Q478" s="49"/>
      <c r="R478" s="49"/>
      <c r="S478" s="49"/>
      <c r="T478" s="49"/>
    </row>
    <row r="479">
      <c r="A479" s="49"/>
      <c r="B479" s="49"/>
      <c r="C479" s="51"/>
      <c r="D479" s="49"/>
      <c r="E479" s="49"/>
      <c r="F479" s="49"/>
      <c r="G479" s="49" t="str">
        <f>IFERROR(__xludf.DUMMYFUNCTION("""COMPUTED_VALUE"""),"#VALUE!")</f>
        <v>#VALUE!</v>
      </c>
      <c r="H479" s="49" t="str">
        <f>IFERROR(__xludf.DUMMYFUNCTION("""COMPUTED_VALUE"""),"")</f>
        <v/>
      </c>
      <c r="I479" s="49" t="str">
        <f>IFERROR(__xludf.DUMMYFUNCTION("""COMPUTED_VALUE"""),"#VALUE!")</f>
        <v>#VALUE!</v>
      </c>
      <c r="J479" s="49" t="str">
        <f>IFERROR(__xludf.DUMMYFUNCTION("""COMPUTED_VALUE"""),"")</f>
        <v/>
      </c>
      <c r="K479" s="49"/>
      <c r="L479" s="49" t="s">
        <v>255</v>
      </c>
      <c r="M479" s="49"/>
      <c r="N479" s="49"/>
      <c r="O479" s="49"/>
      <c r="P479" s="49"/>
      <c r="Q479" s="49"/>
      <c r="R479" s="49"/>
      <c r="S479" s="49"/>
      <c r="T479" s="49"/>
    </row>
    <row r="480">
      <c r="A480" s="49"/>
      <c r="B480" s="49"/>
      <c r="C480" s="51"/>
      <c r="D480" s="49"/>
      <c r="E480" s="49"/>
      <c r="F480" s="49"/>
      <c r="G480" s="49" t="str">
        <f>IFERROR(__xludf.DUMMYFUNCTION("""COMPUTED_VALUE"""),"#VALUE!")</f>
        <v>#VALUE!</v>
      </c>
      <c r="H480" s="49" t="str">
        <f>IFERROR(__xludf.DUMMYFUNCTION("""COMPUTED_VALUE"""),"")</f>
        <v/>
      </c>
      <c r="I480" s="49" t="str">
        <f>IFERROR(__xludf.DUMMYFUNCTION("""COMPUTED_VALUE"""),"#VALUE!")</f>
        <v>#VALUE!</v>
      </c>
      <c r="J480" s="49" t="str">
        <f>IFERROR(__xludf.DUMMYFUNCTION("""COMPUTED_VALUE"""),"")</f>
        <v/>
      </c>
      <c r="K480" s="49"/>
      <c r="L480" s="49" t="s">
        <v>255</v>
      </c>
      <c r="M480" s="49"/>
      <c r="N480" s="49"/>
      <c r="O480" s="49"/>
      <c r="P480" s="49"/>
      <c r="Q480" s="49"/>
      <c r="R480" s="49"/>
      <c r="S480" s="49"/>
      <c r="T480" s="49"/>
    </row>
    <row r="481">
      <c r="A481" s="49"/>
      <c r="B481" s="49"/>
      <c r="C481" s="51"/>
      <c r="D481" s="49"/>
      <c r="E481" s="49"/>
      <c r="F481" s="49"/>
      <c r="G481" s="49" t="str">
        <f>IFERROR(__xludf.DUMMYFUNCTION("""COMPUTED_VALUE"""),"#VALUE!")</f>
        <v>#VALUE!</v>
      </c>
      <c r="H481" s="49" t="str">
        <f>IFERROR(__xludf.DUMMYFUNCTION("""COMPUTED_VALUE"""),"")</f>
        <v/>
      </c>
      <c r="I481" s="49" t="str">
        <f>IFERROR(__xludf.DUMMYFUNCTION("""COMPUTED_VALUE"""),"#VALUE!")</f>
        <v>#VALUE!</v>
      </c>
      <c r="J481" s="49" t="str">
        <f>IFERROR(__xludf.DUMMYFUNCTION("""COMPUTED_VALUE"""),"")</f>
        <v/>
      </c>
      <c r="K481" s="49"/>
      <c r="L481" s="49" t="s">
        <v>255</v>
      </c>
      <c r="M481" s="49"/>
      <c r="N481" s="49"/>
      <c r="O481" s="49"/>
      <c r="P481" s="49"/>
      <c r="Q481" s="49"/>
      <c r="R481" s="49"/>
      <c r="S481" s="49"/>
      <c r="T481" s="49"/>
    </row>
    <row r="482">
      <c r="A482" s="49"/>
      <c r="B482" s="49"/>
      <c r="C482" s="51"/>
      <c r="D482" s="49"/>
      <c r="E482" s="49"/>
      <c r="F482" s="49"/>
      <c r="G482" s="49" t="str">
        <f>IFERROR(__xludf.DUMMYFUNCTION("""COMPUTED_VALUE"""),"#VALUE!")</f>
        <v>#VALUE!</v>
      </c>
      <c r="H482" s="49" t="str">
        <f>IFERROR(__xludf.DUMMYFUNCTION("""COMPUTED_VALUE"""),"")</f>
        <v/>
      </c>
      <c r="I482" s="49" t="str">
        <f>IFERROR(__xludf.DUMMYFUNCTION("""COMPUTED_VALUE"""),"#VALUE!")</f>
        <v>#VALUE!</v>
      </c>
      <c r="J482" s="49" t="str">
        <f>IFERROR(__xludf.DUMMYFUNCTION("""COMPUTED_VALUE"""),"")</f>
        <v/>
      </c>
      <c r="K482" s="49"/>
      <c r="L482" s="49" t="s">
        <v>255</v>
      </c>
      <c r="M482" s="49"/>
      <c r="N482" s="49"/>
      <c r="O482" s="49"/>
      <c r="P482" s="49"/>
      <c r="Q482" s="49"/>
      <c r="R482" s="49"/>
      <c r="S482" s="49"/>
      <c r="T482" s="49"/>
    </row>
    <row r="483">
      <c r="A483" s="49"/>
      <c r="B483" s="49"/>
      <c r="C483" s="51"/>
      <c r="D483" s="49"/>
      <c r="E483" s="49"/>
      <c r="F483" s="49"/>
      <c r="G483" s="49" t="str">
        <f>IFERROR(__xludf.DUMMYFUNCTION("""COMPUTED_VALUE"""),"#VALUE!")</f>
        <v>#VALUE!</v>
      </c>
      <c r="H483" s="49" t="str">
        <f>IFERROR(__xludf.DUMMYFUNCTION("""COMPUTED_VALUE"""),"")</f>
        <v/>
      </c>
      <c r="I483" s="49" t="str">
        <f>IFERROR(__xludf.DUMMYFUNCTION("""COMPUTED_VALUE"""),"#VALUE!")</f>
        <v>#VALUE!</v>
      </c>
      <c r="J483" s="49" t="str">
        <f>IFERROR(__xludf.DUMMYFUNCTION("""COMPUTED_VALUE"""),"")</f>
        <v/>
      </c>
      <c r="K483" s="49"/>
      <c r="L483" s="49" t="s">
        <v>255</v>
      </c>
      <c r="M483" s="49"/>
      <c r="N483" s="49"/>
      <c r="O483" s="49"/>
      <c r="P483" s="49"/>
      <c r="Q483" s="49"/>
      <c r="R483" s="49"/>
      <c r="S483" s="49"/>
      <c r="T483" s="49"/>
    </row>
    <row r="484">
      <c r="A484" s="49"/>
      <c r="B484" s="49"/>
      <c r="C484" s="51"/>
      <c r="D484" s="49"/>
      <c r="E484" s="49"/>
      <c r="F484" s="49"/>
      <c r="G484" s="49" t="str">
        <f>IFERROR(__xludf.DUMMYFUNCTION("""COMPUTED_VALUE"""),"#VALUE!")</f>
        <v>#VALUE!</v>
      </c>
      <c r="H484" s="49" t="str">
        <f>IFERROR(__xludf.DUMMYFUNCTION("""COMPUTED_VALUE"""),"")</f>
        <v/>
      </c>
      <c r="I484" s="49" t="str">
        <f>IFERROR(__xludf.DUMMYFUNCTION("""COMPUTED_VALUE"""),"#VALUE!")</f>
        <v>#VALUE!</v>
      </c>
      <c r="J484" s="49" t="str">
        <f>IFERROR(__xludf.DUMMYFUNCTION("""COMPUTED_VALUE"""),"")</f>
        <v/>
      </c>
      <c r="K484" s="49"/>
      <c r="L484" s="49" t="s">
        <v>255</v>
      </c>
      <c r="M484" s="49"/>
      <c r="N484" s="49"/>
      <c r="O484" s="49"/>
      <c r="P484" s="49"/>
      <c r="Q484" s="49"/>
      <c r="R484" s="49"/>
      <c r="S484" s="49"/>
      <c r="T484" s="49"/>
    </row>
    <row r="485">
      <c r="A485" s="49"/>
      <c r="B485" s="49"/>
      <c r="C485" s="51"/>
      <c r="D485" s="49"/>
      <c r="E485" s="49"/>
      <c r="F485" s="49"/>
      <c r="G485" s="49" t="str">
        <f>IFERROR(__xludf.DUMMYFUNCTION("""COMPUTED_VALUE"""),"#VALUE!")</f>
        <v>#VALUE!</v>
      </c>
      <c r="H485" s="49" t="str">
        <f>IFERROR(__xludf.DUMMYFUNCTION("""COMPUTED_VALUE"""),"")</f>
        <v/>
      </c>
      <c r="I485" s="49" t="str">
        <f>IFERROR(__xludf.DUMMYFUNCTION("""COMPUTED_VALUE"""),"#VALUE!")</f>
        <v>#VALUE!</v>
      </c>
      <c r="J485" s="49" t="str">
        <f>IFERROR(__xludf.DUMMYFUNCTION("""COMPUTED_VALUE"""),"")</f>
        <v/>
      </c>
      <c r="K485" s="49"/>
      <c r="L485" s="49" t="s">
        <v>255</v>
      </c>
      <c r="M485" s="49"/>
      <c r="N485" s="49"/>
      <c r="O485" s="49"/>
      <c r="P485" s="49"/>
      <c r="Q485" s="49"/>
      <c r="R485" s="49"/>
      <c r="S485" s="49"/>
      <c r="T485" s="49"/>
    </row>
    <row r="486">
      <c r="A486" s="49"/>
      <c r="B486" s="49"/>
      <c r="C486" s="51"/>
      <c r="D486" s="49"/>
      <c r="E486" s="49"/>
      <c r="F486" s="49"/>
      <c r="G486" s="49" t="str">
        <f>IFERROR(__xludf.DUMMYFUNCTION("""COMPUTED_VALUE"""),"#VALUE!")</f>
        <v>#VALUE!</v>
      </c>
      <c r="H486" s="49" t="str">
        <f>IFERROR(__xludf.DUMMYFUNCTION("""COMPUTED_VALUE"""),"")</f>
        <v/>
      </c>
      <c r="I486" s="49" t="str">
        <f>IFERROR(__xludf.DUMMYFUNCTION("""COMPUTED_VALUE"""),"#VALUE!")</f>
        <v>#VALUE!</v>
      </c>
      <c r="J486" s="49" t="str">
        <f>IFERROR(__xludf.DUMMYFUNCTION("""COMPUTED_VALUE"""),"")</f>
        <v/>
      </c>
      <c r="K486" s="49"/>
      <c r="L486" s="49" t="s">
        <v>255</v>
      </c>
      <c r="M486" s="49"/>
      <c r="N486" s="49"/>
      <c r="O486" s="49"/>
      <c r="P486" s="49"/>
      <c r="Q486" s="49"/>
      <c r="R486" s="49"/>
      <c r="S486" s="49"/>
      <c r="T486" s="49"/>
    </row>
    <row r="487">
      <c r="A487" s="49"/>
      <c r="B487" s="49"/>
      <c r="C487" s="51"/>
      <c r="D487" s="49"/>
      <c r="E487" s="49"/>
      <c r="F487" s="49"/>
      <c r="G487" s="49" t="str">
        <f>IFERROR(__xludf.DUMMYFUNCTION("""COMPUTED_VALUE"""),"#VALUE!")</f>
        <v>#VALUE!</v>
      </c>
      <c r="H487" s="49" t="str">
        <f>IFERROR(__xludf.DUMMYFUNCTION("""COMPUTED_VALUE"""),"")</f>
        <v/>
      </c>
      <c r="I487" s="49" t="str">
        <f>IFERROR(__xludf.DUMMYFUNCTION("""COMPUTED_VALUE"""),"#VALUE!")</f>
        <v>#VALUE!</v>
      </c>
      <c r="J487" s="49" t="str">
        <f>IFERROR(__xludf.DUMMYFUNCTION("""COMPUTED_VALUE"""),"")</f>
        <v/>
      </c>
      <c r="K487" s="49"/>
      <c r="L487" s="49" t="s">
        <v>255</v>
      </c>
      <c r="M487" s="49"/>
      <c r="N487" s="49"/>
      <c r="O487" s="49"/>
      <c r="P487" s="49"/>
      <c r="Q487" s="49"/>
      <c r="R487" s="49"/>
      <c r="S487" s="49"/>
      <c r="T487" s="49"/>
    </row>
    <row r="488">
      <c r="A488" s="49"/>
      <c r="B488" s="49"/>
      <c r="C488" s="51"/>
      <c r="D488" s="49"/>
      <c r="E488" s="49"/>
      <c r="F488" s="49"/>
      <c r="G488" s="49" t="str">
        <f>IFERROR(__xludf.DUMMYFUNCTION("""COMPUTED_VALUE"""),"#VALUE!")</f>
        <v>#VALUE!</v>
      </c>
      <c r="H488" s="49" t="str">
        <f>IFERROR(__xludf.DUMMYFUNCTION("""COMPUTED_VALUE"""),"")</f>
        <v/>
      </c>
      <c r="I488" s="49" t="str">
        <f>IFERROR(__xludf.DUMMYFUNCTION("""COMPUTED_VALUE"""),"#VALUE!")</f>
        <v>#VALUE!</v>
      </c>
      <c r="J488" s="49" t="str">
        <f>IFERROR(__xludf.DUMMYFUNCTION("""COMPUTED_VALUE"""),"")</f>
        <v/>
      </c>
      <c r="K488" s="49"/>
      <c r="L488" s="49" t="s">
        <v>255</v>
      </c>
      <c r="M488" s="49"/>
      <c r="N488" s="49"/>
      <c r="O488" s="49"/>
      <c r="P488" s="49"/>
      <c r="Q488" s="49"/>
      <c r="R488" s="49"/>
      <c r="S488" s="49"/>
      <c r="T488" s="49"/>
    </row>
    <row r="489">
      <c r="A489" s="49"/>
      <c r="B489" s="49"/>
      <c r="C489" s="51"/>
      <c r="D489" s="49"/>
      <c r="E489" s="49"/>
      <c r="F489" s="49"/>
      <c r="G489" s="49" t="str">
        <f>IFERROR(__xludf.DUMMYFUNCTION("""COMPUTED_VALUE"""),"#VALUE!")</f>
        <v>#VALUE!</v>
      </c>
      <c r="H489" s="49" t="str">
        <f>IFERROR(__xludf.DUMMYFUNCTION("""COMPUTED_VALUE"""),"")</f>
        <v/>
      </c>
      <c r="I489" s="49" t="str">
        <f>IFERROR(__xludf.DUMMYFUNCTION("""COMPUTED_VALUE"""),"#VALUE!")</f>
        <v>#VALUE!</v>
      </c>
      <c r="J489" s="49" t="str">
        <f>IFERROR(__xludf.DUMMYFUNCTION("""COMPUTED_VALUE"""),"")</f>
        <v/>
      </c>
      <c r="K489" s="49"/>
      <c r="L489" s="49" t="s">
        <v>255</v>
      </c>
      <c r="M489" s="49"/>
      <c r="N489" s="49"/>
      <c r="O489" s="49"/>
      <c r="P489" s="49"/>
      <c r="Q489" s="49"/>
      <c r="R489" s="49"/>
      <c r="S489" s="49"/>
      <c r="T489" s="49"/>
    </row>
    <row r="490">
      <c r="A490" s="49"/>
      <c r="B490" s="49"/>
      <c r="C490" s="51"/>
      <c r="D490" s="49"/>
      <c r="E490" s="49"/>
      <c r="F490" s="49"/>
      <c r="G490" s="49" t="str">
        <f>IFERROR(__xludf.DUMMYFUNCTION("""COMPUTED_VALUE"""),"#VALUE!")</f>
        <v>#VALUE!</v>
      </c>
      <c r="H490" s="49" t="str">
        <f>IFERROR(__xludf.DUMMYFUNCTION("""COMPUTED_VALUE"""),"")</f>
        <v/>
      </c>
      <c r="I490" s="49" t="str">
        <f>IFERROR(__xludf.DUMMYFUNCTION("""COMPUTED_VALUE"""),"#VALUE!")</f>
        <v>#VALUE!</v>
      </c>
      <c r="J490" s="49" t="str">
        <f>IFERROR(__xludf.DUMMYFUNCTION("""COMPUTED_VALUE"""),"")</f>
        <v/>
      </c>
      <c r="K490" s="49"/>
      <c r="L490" s="49" t="s">
        <v>255</v>
      </c>
      <c r="M490" s="49"/>
      <c r="N490" s="49"/>
      <c r="O490" s="49"/>
      <c r="P490" s="49"/>
      <c r="Q490" s="49"/>
      <c r="R490" s="49"/>
      <c r="S490" s="49"/>
      <c r="T490" s="49"/>
    </row>
    <row r="491">
      <c r="A491" s="49"/>
      <c r="B491" s="49"/>
      <c r="C491" s="51"/>
      <c r="D491" s="49"/>
      <c r="E491" s="49"/>
      <c r="F491" s="49"/>
      <c r="G491" s="49" t="str">
        <f>IFERROR(__xludf.DUMMYFUNCTION("""COMPUTED_VALUE"""),"#VALUE!")</f>
        <v>#VALUE!</v>
      </c>
      <c r="H491" s="49" t="str">
        <f>IFERROR(__xludf.DUMMYFUNCTION("""COMPUTED_VALUE"""),"")</f>
        <v/>
      </c>
      <c r="I491" s="49" t="str">
        <f>IFERROR(__xludf.DUMMYFUNCTION("""COMPUTED_VALUE"""),"#VALUE!")</f>
        <v>#VALUE!</v>
      </c>
      <c r="J491" s="49" t="str">
        <f>IFERROR(__xludf.DUMMYFUNCTION("""COMPUTED_VALUE"""),"")</f>
        <v/>
      </c>
      <c r="K491" s="49"/>
      <c r="L491" s="49" t="s">
        <v>255</v>
      </c>
      <c r="M491" s="49"/>
      <c r="N491" s="49"/>
      <c r="O491" s="49"/>
      <c r="P491" s="49"/>
      <c r="Q491" s="49"/>
      <c r="R491" s="49"/>
      <c r="S491" s="49"/>
      <c r="T491" s="49"/>
    </row>
    <row r="492">
      <c r="A492" s="49"/>
      <c r="B492" s="49"/>
      <c r="C492" s="51"/>
      <c r="D492" s="49"/>
      <c r="E492" s="49"/>
      <c r="F492" s="49"/>
      <c r="G492" s="49" t="str">
        <f>IFERROR(__xludf.DUMMYFUNCTION("""COMPUTED_VALUE"""),"#VALUE!")</f>
        <v>#VALUE!</v>
      </c>
      <c r="H492" s="49" t="str">
        <f>IFERROR(__xludf.DUMMYFUNCTION("""COMPUTED_VALUE"""),"")</f>
        <v/>
      </c>
      <c r="I492" s="49" t="str">
        <f>IFERROR(__xludf.DUMMYFUNCTION("""COMPUTED_VALUE"""),"#VALUE!")</f>
        <v>#VALUE!</v>
      </c>
      <c r="J492" s="49" t="str">
        <f>IFERROR(__xludf.DUMMYFUNCTION("""COMPUTED_VALUE"""),"")</f>
        <v/>
      </c>
      <c r="K492" s="49"/>
      <c r="L492" s="49" t="s">
        <v>255</v>
      </c>
      <c r="M492" s="49"/>
      <c r="N492" s="49"/>
      <c r="O492" s="49"/>
      <c r="P492" s="49"/>
      <c r="Q492" s="49"/>
      <c r="R492" s="49"/>
      <c r="S492" s="49"/>
      <c r="T492" s="49"/>
    </row>
    <row r="493">
      <c r="A493" s="49"/>
      <c r="B493" s="49"/>
      <c r="C493" s="51"/>
      <c r="D493" s="49"/>
      <c r="E493" s="49"/>
      <c r="F493" s="49"/>
      <c r="G493" s="49" t="str">
        <f>IFERROR(__xludf.DUMMYFUNCTION("""COMPUTED_VALUE"""),"#VALUE!")</f>
        <v>#VALUE!</v>
      </c>
      <c r="H493" s="49" t="str">
        <f>IFERROR(__xludf.DUMMYFUNCTION("""COMPUTED_VALUE"""),"")</f>
        <v/>
      </c>
      <c r="I493" s="49" t="str">
        <f>IFERROR(__xludf.DUMMYFUNCTION("""COMPUTED_VALUE"""),"#VALUE!")</f>
        <v>#VALUE!</v>
      </c>
      <c r="J493" s="49" t="str">
        <f>IFERROR(__xludf.DUMMYFUNCTION("""COMPUTED_VALUE"""),"")</f>
        <v/>
      </c>
      <c r="K493" s="49"/>
      <c r="L493" s="49" t="s">
        <v>255</v>
      </c>
      <c r="M493" s="49"/>
      <c r="N493" s="49"/>
      <c r="O493" s="49"/>
      <c r="P493" s="49"/>
      <c r="Q493" s="49"/>
      <c r="R493" s="49"/>
      <c r="S493" s="49"/>
      <c r="T493" s="49"/>
    </row>
    <row r="494">
      <c r="A494" s="49"/>
      <c r="B494" s="49"/>
      <c r="C494" s="51"/>
      <c r="D494" s="49"/>
      <c r="E494" s="49"/>
      <c r="F494" s="49"/>
      <c r="G494" s="49" t="str">
        <f>IFERROR(__xludf.DUMMYFUNCTION("""COMPUTED_VALUE"""),"#VALUE!")</f>
        <v>#VALUE!</v>
      </c>
      <c r="H494" s="49" t="str">
        <f>IFERROR(__xludf.DUMMYFUNCTION("""COMPUTED_VALUE"""),"")</f>
        <v/>
      </c>
      <c r="I494" s="49" t="str">
        <f>IFERROR(__xludf.DUMMYFUNCTION("""COMPUTED_VALUE"""),"#VALUE!")</f>
        <v>#VALUE!</v>
      </c>
      <c r="J494" s="49" t="str">
        <f>IFERROR(__xludf.DUMMYFUNCTION("""COMPUTED_VALUE"""),"")</f>
        <v/>
      </c>
      <c r="K494" s="49"/>
      <c r="L494" s="49" t="s">
        <v>255</v>
      </c>
      <c r="M494" s="49"/>
      <c r="N494" s="49"/>
      <c r="O494" s="49"/>
      <c r="P494" s="49"/>
      <c r="Q494" s="49"/>
      <c r="R494" s="49"/>
      <c r="S494" s="49"/>
      <c r="T494" s="49"/>
    </row>
    <row r="495">
      <c r="A495" s="49"/>
      <c r="B495" s="49"/>
      <c r="C495" s="51"/>
      <c r="D495" s="49"/>
      <c r="E495" s="49"/>
      <c r="F495" s="49"/>
      <c r="G495" s="49" t="str">
        <f>IFERROR(__xludf.DUMMYFUNCTION("""COMPUTED_VALUE"""),"#VALUE!")</f>
        <v>#VALUE!</v>
      </c>
      <c r="H495" s="49" t="str">
        <f>IFERROR(__xludf.DUMMYFUNCTION("""COMPUTED_VALUE"""),"")</f>
        <v/>
      </c>
      <c r="I495" s="49" t="str">
        <f>IFERROR(__xludf.DUMMYFUNCTION("""COMPUTED_VALUE"""),"#VALUE!")</f>
        <v>#VALUE!</v>
      </c>
      <c r="J495" s="49" t="str">
        <f>IFERROR(__xludf.DUMMYFUNCTION("""COMPUTED_VALUE"""),"")</f>
        <v/>
      </c>
      <c r="K495" s="49"/>
      <c r="L495" s="49" t="s">
        <v>255</v>
      </c>
      <c r="M495" s="49"/>
      <c r="N495" s="49"/>
      <c r="O495" s="49"/>
      <c r="P495" s="49"/>
      <c r="Q495" s="49"/>
      <c r="R495" s="49"/>
      <c r="S495" s="49"/>
      <c r="T495" s="49"/>
    </row>
    <row r="496">
      <c r="A496" s="49"/>
      <c r="B496" s="49"/>
      <c r="C496" s="51"/>
      <c r="D496" s="49"/>
      <c r="E496" s="49"/>
      <c r="F496" s="49"/>
      <c r="G496" s="49" t="str">
        <f>IFERROR(__xludf.DUMMYFUNCTION("""COMPUTED_VALUE"""),"#VALUE!")</f>
        <v>#VALUE!</v>
      </c>
      <c r="H496" s="49" t="str">
        <f>IFERROR(__xludf.DUMMYFUNCTION("""COMPUTED_VALUE"""),"")</f>
        <v/>
      </c>
      <c r="I496" s="49" t="str">
        <f>IFERROR(__xludf.DUMMYFUNCTION("""COMPUTED_VALUE"""),"#VALUE!")</f>
        <v>#VALUE!</v>
      </c>
      <c r="J496" s="49" t="str">
        <f>IFERROR(__xludf.DUMMYFUNCTION("""COMPUTED_VALUE"""),"")</f>
        <v/>
      </c>
      <c r="K496" s="49"/>
      <c r="L496" s="49" t="s">
        <v>255</v>
      </c>
      <c r="M496" s="49"/>
      <c r="N496" s="49"/>
      <c r="O496" s="49"/>
      <c r="P496" s="49"/>
      <c r="Q496" s="49"/>
      <c r="R496" s="49"/>
      <c r="S496" s="49"/>
      <c r="T496" s="49"/>
    </row>
    <row r="497">
      <c r="A497" s="49"/>
      <c r="B497" s="49"/>
      <c r="C497" s="51"/>
      <c r="D497" s="49"/>
      <c r="E497" s="49"/>
      <c r="F497" s="49"/>
      <c r="G497" s="49" t="str">
        <f>IFERROR(__xludf.DUMMYFUNCTION("""COMPUTED_VALUE"""),"#VALUE!")</f>
        <v>#VALUE!</v>
      </c>
      <c r="H497" s="49" t="str">
        <f>IFERROR(__xludf.DUMMYFUNCTION("""COMPUTED_VALUE"""),"")</f>
        <v/>
      </c>
      <c r="I497" s="49" t="str">
        <f>IFERROR(__xludf.DUMMYFUNCTION("""COMPUTED_VALUE"""),"#VALUE!")</f>
        <v>#VALUE!</v>
      </c>
      <c r="J497" s="49" t="str">
        <f>IFERROR(__xludf.DUMMYFUNCTION("""COMPUTED_VALUE"""),"")</f>
        <v/>
      </c>
      <c r="K497" s="49"/>
      <c r="L497" s="49" t="s">
        <v>255</v>
      </c>
      <c r="M497" s="49"/>
      <c r="N497" s="49"/>
      <c r="O497" s="49"/>
      <c r="P497" s="49"/>
      <c r="Q497" s="49"/>
      <c r="R497" s="49"/>
      <c r="S497" s="49"/>
      <c r="T497" s="49"/>
    </row>
    <row r="498">
      <c r="A498" s="49"/>
      <c r="B498" s="49"/>
      <c r="C498" s="51"/>
      <c r="D498" s="49"/>
      <c r="E498" s="49"/>
      <c r="F498" s="49"/>
      <c r="G498" s="49" t="str">
        <f>IFERROR(__xludf.DUMMYFUNCTION("""COMPUTED_VALUE"""),"#VALUE!")</f>
        <v>#VALUE!</v>
      </c>
      <c r="H498" s="49" t="str">
        <f>IFERROR(__xludf.DUMMYFUNCTION("""COMPUTED_VALUE"""),"")</f>
        <v/>
      </c>
      <c r="I498" s="49" t="str">
        <f>IFERROR(__xludf.DUMMYFUNCTION("""COMPUTED_VALUE"""),"#VALUE!")</f>
        <v>#VALUE!</v>
      </c>
      <c r="J498" s="49" t="str">
        <f>IFERROR(__xludf.DUMMYFUNCTION("""COMPUTED_VALUE"""),"")</f>
        <v/>
      </c>
      <c r="K498" s="49"/>
      <c r="L498" s="49" t="s">
        <v>255</v>
      </c>
      <c r="M498" s="49"/>
      <c r="N498" s="49"/>
      <c r="O498" s="49"/>
      <c r="P498" s="49"/>
      <c r="Q498" s="49"/>
      <c r="R498" s="49"/>
      <c r="S498" s="49"/>
      <c r="T498" s="49"/>
    </row>
    <row r="499">
      <c r="A499" s="49"/>
      <c r="B499" s="49"/>
      <c r="C499" s="51"/>
      <c r="D499" s="49"/>
      <c r="E499" s="49"/>
      <c r="F499" s="49"/>
      <c r="G499" s="49" t="str">
        <f>IFERROR(__xludf.DUMMYFUNCTION("""COMPUTED_VALUE"""),"#VALUE!")</f>
        <v>#VALUE!</v>
      </c>
      <c r="H499" s="49" t="str">
        <f>IFERROR(__xludf.DUMMYFUNCTION("""COMPUTED_VALUE"""),"")</f>
        <v/>
      </c>
      <c r="I499" s="49" t="str">
        <f>IFERROR(__xludf.DUMMYFUNCTION("""COMPUTED_VALUE"""),"#VALUE!")</f>
        <v>#VALUE!</v>
      </c>
      <c r="J499" s="49" t="str">
        <f>IFERROR(__xludf.DUMMYFUNCTION("""COMPUTED_VALUE"""),"")</f>
        <v/>
      </c>
      <c r="K499" s="49"/>
      <c r="L499" s="49" t="s">
        <v>255</v>
      </c>
      <c r="M499" s="49"/>
      <c r="N499" s="49"/>
      <c r="O499" s="49"/>
      <c r="P499" s="49"/>
      <c r="Q499" s="49"/>
      <c r="R499" s="49"/>
      <c r="S499" s="49"/>
      <c r="T499" s="49"/>
    </row>
    <row r="500">
      <c r="A500" s="49"/>
      <c r="B500" s="49"/>
      <c r="C500" s="51"/>
      <c r="D500" s="49"/>
      <c r="E500" s="49"/>
      <c r="F500" s="49"/>
      <c r="G500" s="49" t="str">
        <f>IFERROR(__xludf.DUMMYFUNCTION("""COMPUTED_VALUE"""),"#VALUE!")</f>
        <v>#VALUE!</v>
      </c>
      <c r="H500" s="49" t="str">
        <f>IFERROR(__xludf.DUMMYFUNCTION("""COMPUTED_VALUE"""),"")</f>
        <v/>
      </c>
      <c r="I500" s="49" t="str">
        <f>IFERROR(__xludf.DUMMYFUNCTION("""COMPUTED_VALUE"""),"#VALUE!")</f>
        <v>#VALUE!</v>
      </c>
      <c r="J500" s="49" t="str">
        <f>IFERROR(__xludf.DUMMYFUNCTION("""COMPUTED_VALUE"""),"")</f>
        <v/>
      </c>
      <c r="K500" s="49"/>
      <c r="L500" s="49" t="s">
        <v>255</v>
      </c>
      <c r="M500" s="49"/>
      <c r="N500" s="49"/>
      <c r="O500" s="49"/>
      <c r="P500" s="49"/>
      <c r="Q500" s="49"/>
      <c r="R500" s="49"/>
      <c r="S500" s="49"/>
      <c r="T500" s="49"/>
    </row>
    <row r="501">
      <c r="A501" s="49"/>
      <c r="B501" s="49"/>
      <c r="C501" s="51"/>
      <c r="D501" s="49"/>
      <c r="E501" s="49"/>
      <c r="F501" s="49"/>
      <c r="G501" s="49" t="str">
        <f>IFERROR(__xludf.DUMMYFUNCTION("""COMPUTED_VALUE"""),"#VALUE!")</f>
        <v>#VALUE!</v>
      </c>
      <c r="H501" s="49" t="str">
        <f>IFERROR(__xludf.DUMMYFUNCTION("""COMPUTED_VALUE"""),"")</f>
        <v/>
      </c>
      <c r="I501" s="49" t="str">
        <f>IFERROR(__xludf.DUMMYFUNCTION("""COMPUTED_VALUE"""),"#VALUE!")</f>
        <v>#VALUE!</v>
      </c>
      <c r="J501" s="49" t="str">
        <f>IFERROR(__xludf.DUMMYFUNCTION("""COMPUTED_VALUE"""),"")</f>
        <v/>
      </c>
      <c r="K501" s="49"/>
      <c r="L501" s="49" t="s">
        <v>255</v>
      </c>
      <c r="M501" s="49"/>
      <c r="N501" s="49"/>
      <c r="O501" s="49"/>
      <c r="P501" s="49"/>
      <c r="Q501" s="49"/>
      <c r="R501" s="49"/>
      <c r="S501" s="49"/>
      <c r="T501" s="49"/>
    </row>
    <row r="502">
      <c r="A502" s="49"/>
      <c r="B502" s="49"/>
      <c r="C502" s="51"/>
      <c r="D502" s="49"/>
      <c r="E502" s="49"/>
      <c r="F502" s="49"/>
      <c r="G502" s="49" t="str">
        <f>IFERROR(__xludf.DUMMYFUNCTION("""COMPUTED_VALUE"""),"#VALUE!")</f>
        <v>#VALUE!</v>
      </c>
      <c r="H502" s="49" t="str">
        <f>IFERROR(__xludf.DUMMYFUNCTION("""COMPUTED_VALUE"""),"")</f>
        <v/>
      </c>
      <c r="I502" s="49" t="str">
        <f>IFERROR(__xludf.DUMMYFUNCTION("""COMPUTED_VALUE"""),"#VALUE!")</f>
        <v>#VALUE!</v>
      </c>
      <c r="J502" s="49" t="str">
        <f>IFERROR(__xludf.DUMMYFUNCTION("""COMPUTED_VALUE"""),"")</f>
        <v/>
      </c>
      <c r="K502" s="49"/>
      <c r="L502" s="49" t="s">
        <v>255</v>
      </c>
      <c r="M502" s="49"/>
      <c r="N502" s="49"/>
      <c r="O502" s="49"/>
      <c r="P502" s="49"/>
      <c r="Q502" s="49"/>
      <c r="R502" s="49"/>
      <c r="S502" s="49"/>
      <c r="T502" s="49"/>
    </row>
    <row r="503">
      <c r="A503" s="49"/>
      <c r="B503" s="49"/>
      <c r="C503" s="51"/>
      <c r="D503" s="49"/>
      <c r="E503" s="49"/>
      <c r="F503" s="49"/>
      <c r="G503" s="49" t="str">
        <f>IFERROR(__xludf.DUMMYFUNCTION("""COMPUTED_VALUE"""),"#VALUE!")</f>
        <v>#VALUE!</v>
      </c>
      <c r="H503" s="49" t="str">
        <f>IFERROR(__xludf.DUMMYFUNCTION("""COMPUTED_VALUE"""),"")</f>
        <v/>
      </c>
      <c r="I503" s="49" t="str">
        <f>IFERROR(__xludf.DUMMYFUNCTION("""COMPUTED_VALUE"""),"#VALUE!")</f>
        <v>#VALUE!</v>
      </c>
      <c r="J503" s="49" t="str">
        <f>IFERROR(__xludf.DUMMYFUNCTION("""COMPUTED_VALUE"""),"")</f>
        <v/>
      </c>
      <c r="K503" s="49"/>
      <c r="L503" s="49" t="s">
        <v>255</v>
      </c>
      <c r="M503" s="49"/>
      <c r="N503" s="49"/>
      <c r="O503" s="49"/>
      <c r="P503" s="49"/>
      <c r="Q503" s="49"/>
      <c r="R503" s="49"/>
      <c r="S503" s="49"/>
      <c r="T503" s="49"/>
    </row>
    <row r="504">
      <c r="A504" s="49"/>
      <c r="B504" s="49"/>
      <c r="C504" s="51"/>
      <c r="D504" s="49"/>
      <c r="E504" s="49"/>
      <c r="F504" s="49"/>
      <c r="G504" s="49" t="str">
        <f>IFERROR(__xludf.DUMMYFUNCTION("""COMPUTED_VALUE"""),"#VALUE!")</f>
        <v>#VALUE!</v>
      </c>
      <c r="H504" s="49" t="str">
        <f>IFERROR(__xludf.DUMMYFUNCTION("""COMPUTED_VALUE"""),"")</f>
        <v/>
      </c>
      <c r="I504" s="49" t="str">
        <f>IFERROR(__xludf.DUMMYFUNCTION("""COMPUTED_VALUE"""),"#VALUE!")</f>
        <v>#VALUE!</v>
      </c>
      <c r="J504" s="49" t="str">
        <f>IFERROR(__xludf.DUMMYFUNCTION("""COMPUTED_VALUE"""),"")</f>
        <v/>
      </c>
      <c r="K504" s="49"/>
      <c r="L504" s="49" t="s">
        <v>255</v>
      </c>
      <c r="M504" s="49"/>
      <c r="N504" s="49"/>
      <c r="O504" s="49"/>
      <c r="P504" s="49"/>
      <c r="Q504" s="49"/>
      <c r="R504" s="49"/>
      <c r="S504" s="49"/>
      <c r="T504" s="49"/>
    </row>
    <row r="505">
      <c r="A505" s="49"/>
      <c r="B505" s="49"/>
      <c r="C505" s="51"/>
      <c r="D505" s="49"/>
      <c r="E505" s="49"/>
      <c r="F505" s="49"/>
      <c r="G505" s="49" t="str">
        <f>IFERROR(__xludf.DUMMYFUNCTION("""COMPUTED_VALUE"""),"#VALUE!")</f>
        <v>#VALUE!</v>
      </c>
      <c r="H505" s="49" t="str">
        <f>IFERROR(__xludf.DUMMYFUNCTION("""COMPUTED_VALUE"""),"")</f>
        <v/>
      </c>
      <c r="I505" s="49" t="str">
        <f>IFERROR(__xludf.DUMMYFUNCTION("""COMPUTED_VALUE"""),"#VALUE!")</f>
        <v>#VALUE!</v>
      </c>
      <c r="J505" s="49" t="str">
        <f>IFERROR(__xludf.DUMMYFUNCTION("""COMPUTED_VALUE"""),"")</f>
        <v/>
      </c>
      <c r="K505" s="49"/>
      <c r="L505" s="49" t="s">
        <v>255</v>
      </c>
      <c r="M505" s="49"/>
      <c r="N505" s="49"/>
      <c r="O505" s="49"/>
      <c r="P505" s="49"/>
      <c r="Q505" s="49"/>
      <c r="R505" s="49"/>
      <c r="S505" s="49"/>
      <c r="T505" s="49"/>
    </row>
    <row r="506">
      <c r="A506" s="49"/>
      <c r="B506" s="49"/>
      <c r="C506" s="51"/>
      <c r="D506" s="49"/>
      <c r="E506" s="49"/>
      <c r="F506" s="49"/>
      <c r="G506" s="49" t="str">
        <f>IFERROR(__xludf.DUMMYFUNCTION("""COMPUTED_VALUE"""),"#VALUE!")</f>
        <v>#VALUE!</v>
      </c>
      <c r="H506" s="49" t="str">
        <f>IFERROR(__xludf.DUMMYFUNCTION("""COMPUTED_VALUE"""),"")</f>
        <v/>
      </c>
      <c r="I506" s="49" t="str">
        <f>IFERROR(__xludf.DUMMYFUNCTION("""COMPUTED_VALUE"""),"#VALUE!")</f>
        <v>#VALUE!</v>
      </c>
      <c r="J506" s="49" t="str">
        <f>IFERROR(__xludf.DUMMYFUNCTION("""COMPUTED_VALUE"""),"")</f>
        <v/>
      </c>
      <c r="K506" s="49"/>
      <c r="L506" s="49" t="s">
        <v>255</v>
      </c>
      <c r="M506" s="49"/>
      <c r="N506" s="49"/>
      <c r="O506" s="49"/>
      <c r="P506" s="49"/>
      <c r="Q506" s="49"/>
      <c r="R506" s="49"/>
      <c r="S506" s="49"/>
      <c r="T506" s="49"/>
    </row>
    <row r="507">
      <c r="A507" s="49"/>
      <c r="B507" s="49"/>
      <c r="C507" s="51"/>
      <c r="D507" s="49"/>
      <c r="E507" s="49"/>
      <c r="F507" s="49"/>
      <c r="G507" s="49" t="str">
        <f>IFERROR(__xludf.DUMMYFUNCTION("""COMPUTED_VALUE"""),"#VALUE!")</f>
        <v>#VALUE!</v>
      </c>
      <c r="H507" s="49" t="str">
        <f>IFERROR(__xludf.DUMMYFUNCTION("""COMPUTED_VALUE"""),"")</f>
        <v/>
      </c>
      <c r="I507" s="49" t="str">
        <f>IFERROR(__xludf.DUMMYFUNCTION("""COMPUTED_VALUE"""),"#VALUE!")</f>
        <v>#VALUE!</v>
      </c>
      <c r="J507" s="49" t="str">
        <f>IFERROR(__xludf.DUMMYFUNCTION("""COMPUTED_VALUE"""),"")</f>
        <v/>
      </c>
      <c r="K507" s="49"/>
      <c r="L507" s="49" t="s">
        <v>255</v>
      </c>
      <c r="M507" s="49"/>
      <c r="N507" s="49"/>
      <c r="O507" s="49"/>
      <c r="P507" s="49"/>
      <c r="Q507" s="49"/>
      <c r="R507" s="49"/>
      <c r="S507" s="49"/>
      <c r="T507" s="49"/>
    </row>
    <row r="508">
      <c r="A508" s="49"/>
      <c r="B508" s="49"/>
      <c r="C508" s="51"/>
      <c r="D508" s="49"/>
      <c r="E508" s="49"/>
      <c r="F508" s="49"/>
      <c r="G508" s="49" t="str">
        <f>IFERROR(__xludf.DUMMYFUNCTION("""COMPUTED_VALUE"""),"#VALUE!")</f>
        <v>#VALUE!</v>
      </c>
      <c r="H508" s="49" t="str">
        <f>IFERROR(__xludf.DUMMYFUNCTION("""COMPUTED_VALUE"""),"")</f>
        <v/>
      </c>
      <c r="I508" s="49" t="str">
        <f>IFERROR(__xludf.DUMMYFUNCTION("""COMPUTED_VALUE"""),"#VALUE!")</f>
        <v>#VALUE!</v>
      </c>
      <c r="J508" s="49" t="str">
        <f>IFERROR(__xludf.DUMMYFUNCTION("""COMPUTED_VALUE"""),"")</f>
        <v/>
      </c>
      <c r="K508" s="49"/>
      <c r="L508" s="49" t="s">
        <v>255</v>
      </c>
      <c r="M508" s="49"/>
      <c r="N508" s="49"/>
      <c r="O508" s="49"/>
      <c r="P508" s="49"/>
      <c r="Q508" s="49"/>
      <c r="R508" s="49"/>
      <c r="S508" s="49"/>
      <c r="T508" s="49"/>
    </row>
    <row r="509">
      <c r="A509" s="49"/>
      <c r="B509" s="49"/>
      <c r="C509" s="51"/>
      <c r="D509" s="49"/>
      <c r="E509" s="49"/>
      <c r="F509" s="49"/>
      <c r="G509" s="49" t="str">
        <f>IFERROR(__xludf.DUMMYFUNCTION("""COMPUTED_VALUE"""),"#VALUE!")</f>
        <v>#VALUE!</v>
      </c>
      <c r="H509" s="49" t="str">
        <f>IFERROR(__xludf.DUMMYFUNCTION("""COMPUTED_VALUE"""),"")</f>
        <v/>
      </c>
      <c r="I509" s="49" t="str">
        <f>IFERROR(__xludf.DUMMYFUNCTION("""COMPUTED_VALUE"""),"#VALUE!")</f>
        <v>#VALUE!</v>
      </c>
      <c r="J509" s="49" t="str">
        <f>IFERROR(__xludf.DUMMYFUNCTION("""COMPUTED_VALUE"""),"")</f>
        <v/>
      </c>
      <c r="K509" s="49"/>
      <c r="L509" s="49" t="s">
        <v>255</v>
      </c>
      <c r="M509" s="49"/>
      <c r="N509" s="49"/>
      <c r="O509" s="49"/>
      <c r="P509" s="49"/>
      <c r="Q509" s="49"/>
      <c r="R509" s="49"/>
      <c r="S509" s="49"/>
      <c r="T509" s="49"/>
    </row>
    <row r="510">
      <c r="A510" s="49"/>
      <c r="B510" s="49"/>
      <c r="C510" s="51"/>
      <c r="D510" s="49"/>
      <c r="E510" s="49"/>
      <c r="F510" s="49"/>
      <c r="G510" s="49" t="str">
        <f>IFERROR(__xludf.DUMMYFUNCTION("""COMPUTED_VALUE"""),"#VALUE!")</f>
        <v>#VALUE!</v>
      </c>
      <c r="H510" s="49" t="str">
        <f>IFERROR(__xludf.DUMMYFUNCTION("""COMPUTED_VALUE"""),"")</f>
        <v/>
      </c>
      <c r="I510" s="49" t="str">
        <f>IFERROR(__xludf.DUMMYFUNCTION("""COMPUTED_VALUE"""),"#VALUE!")</f>
        <v>#VALUE!</v>
      </c>
      <c r="J510" s="49" t="str">
        <f>IFERROR(__xludf.DUMMYFUNCTION("""COMPUTED_VALUE"""),"")</f>
        <v/>
      </c>
      <c r="K510" s="49"/>
      <c r="L510" s="49" t="s">
        <v>255</v>
      </c>
      <c r="M510" s="49"/>
      <c r="N510" s="49"/>
      <c r="O510" s="49"/>
      <c r="P510" s="49"/>
      <c r="Q510" s="49"/>
      <c r="R510" s="49"/>
      <c r="S510" s="49"/>
      <c r="T510" s="49"/>
    </row>
    <row r="511">
      <c r="A511" s="49"/>
      <c r="B511" s="49"/>
      <c r="C511" s="51"/>
      <c r="D511" s="49"/>
      <c r="E511" s="49"/>
      <c r="F511" s="49"/>
      <c r="G511" s="49" t="str">
        <f>IFERROR(__xludf.DUMMYFUNCTION("""COMPUTED_VALUE"""),"#VALUE!")</f>
        <v>#VALUE!</v>
      </c>
      <c r="H511" s="49" t="str">
        <f>IFERROR(__xludf.DUMMYFUNCTION("""COMPUTED_VALUE"""),"")</f>
        <v/>
      </c>
      <c r="I511" s="49" t="str">
        <f>IFERROR(__xludf.DUMMYFUNCTION("""COMPUTED_VALUE"""),"#VALUE!")</f>
        <v>#VALUE!</v>
      </c>
      <c r="J511" s="49" t="str">
        <f>IFERROR(__xludf.DUMMYFUNCTION("""COMPUTED_VALUE"""),"")</f>
        <v/>
      </c>
      <c r="K511" s="49"/>
      <c r="L511" s="49" t="s">
        <v>255</v>
      </c>
      <c r="M511" s="49"/>
      <c r="N511" s="49"/>
      <c r="O511" s="49"/>
      <c r="P511" s="49"/>
      <c r="Q511" s="49"/>
      <c r="R511" s="49"/>
      <c r="S511" s="49"/>
      <c r="T511" s="49"/>
    </row>
    <row r="512">
      <c r="A512" s="49"/>
      <c r="B512" s="49"/>
      <c r="C512" s="51"/>
      <c r="D512" s="49"/>
      <c r="E512" s="49"/>
      <c r="F512" s="49"/>
      <c r="G512" s="49" t="str">
        <f>IFERROR(__xludf.DUMMYFUNCTION("""COMPUTED_VALUE"""),"#VALUE!")</f>
        <v>#VALUE!</v>
      </c>
      <c r="H512" s="49" t="str">
        <f>IFERROR(__xludf.DUMMYFUNCTION("""COMPUTED_VALUE"""),"")</f>
        <v/>
      </c>
      <c r="I512" s="49" t="str">
        <f>IFERROR(__xludf.DUMMYFUNCTION("""COMPUTED_VALUE"""),"#VALUE!")</f>
        <v>#VALUE!</v>
      </c>
      <c r="J512" s="49" t="str">
        <f>IFERROR(__xludf.DUMMYFUNCTION("""COMPUTED_VALUE"""),"")</f>
        <v/>
      </c>
      <c r="K512" s="49"/>
      <c r="L512" s="49" t="s">
        <v>255</v>
      </c>
      <c r="M512" s="49"/>
      <c r="N512" s="49"/>
      <c r="O512" s="49"/>
      <c r="P512" s="49"/>
      <c r="Q512" s="49"/>
      <c r="R512" s="49"/>
      <c r="S512" s="49"/>
      <c r="T512" s="49"/>
    </row>
    <row r="513">
      <c r="A513" s="49"/>
      <c r="B513" s="49"/>
      <c r="C513" s="51"/>
      <c r="D513" s="49"/>
      <c r="E513" s="49"/>
      <c r="F513" s="49"/>
      <c r="G513" s="49" t="str">
        <f>IFERROR(__xludf.DUMMYFUNCTION("""COMPUTED_VALUE"""),"#VALUE!")</f>
        <v>#VALUE!</v>
      </c>
      <c r="H513" s="49" t="str">
        <f>IFERROR(__xludf.DUMMYFUNCTION("""COMPUTED_VALUE"""),"")</f>
        <v/>
      </c>
      <c r="I513" s="49" t="str">
        <f>IFERROR(__xludf.DUMMYFUNCTION("""COMPUTED_VALUE"""),"#VALUE!")</f>
        <v>#VALUE!</v>
      </c>
      <c r="J513" s="49" t="str">
        <f>IFERROR(__xludf.DUMMYFUNCTION("""COMPUTED_VALUE"""),"")</f>
        <v/>
      </c>
      <c r="K513" s="49"/>
      <c r="L513" s="49" t="s">
        <v>255</v>
      </c>
      <c r="M513" s="49"/>
      <c r="N513" s="49"/>
      <c r="O513" s="49"/>
      <c r="P513" s="49"/>
      <c r="Q513" s="49"/>
      <c r="R513" s="49"/>
      <c r="S513" s="49"/>
      <c r="T513" s="49"/>
    </row>
    <row r="514">
      <c r="A514" s="49"/>
      <c r="B514" s="49"/>
      <c r="C514" s="51"/>
      <c r="D514" s="49"/>
      <c r="E514" s="49"/>
      <c r="F514" s="49"/>
      <c r="G514" s="49" t="str">
        <f>IFERROR(__xludf.DUMMYFUNCTION("""COMPUTED_VALUE"""),"#VALUE!")</f>
        <v>#VALUE!</v>
      </c>
      <c r="H514" s="49" t="str">
        <f>IFERROR(__xludf.DUMMYFUNCTION("""COMPUTED_VALUE"""),"")</f>
        <v/>
      </c>
      <c r="I514" s="49" t="str">
        <f>IFERROR(__xludf.DUMMYFUNCTION("""COMPUTED_VALUE"""),"#VALUE!")</f>
        <v>#VALUE!</v>
      </c>
      <c r="J514" s="49" t="str">
        <f>IFERROR(__xludf.DUMMYFUNCTION("""COMPUTED_VALUE"""),"")</f>
        <v/>
      </c>
      <c r="K514" s="49"/>
      <c r="L514" s="49" t="s">
        <v>255</v>
      </c>
      <c r="M514" s="49"/>
      <c r="N514" s="49"/>
      <c r="O514" s="49"/>
      <c r="P514" s="49"/>
      <c r="Q514" s="49"/>
      <c r="R514" s="49"/>
      <c r="S514" s="49"/>
      <c r="T514" s="49"/>
    </row>
    <row r="515">
      <c r="A515" s="49"/>
      <c r="B515" s="49"/>
      <c r="C515" s="51"/>
      <c r="D515" s="49"/>
      <c r="E515" s="49"/>
      <c r="F515" s="49"/>
      <c r="G515" s="49" t="str">
        <f>IFERROR(__xludf.DUMMYFUNCTION("""COMPUTED_VALUE"""),"#VALUE!")</f>
        <v>#VALUE!</v>
      </c>
      <c r="H515" s="49" t="str">
        <f>IFERROR(__xludf.DUMMYFUNCTION("""COMPUTED_VALUE"""),"")</f>
        <v/>
      </c>
      <c r="I515" s="49" t="str">
        <f>IFERROR(__xludf.DUMMYFUNCTION("""COMPUTED_VALUE"""),"#VALUE!")</f>
        <v>#VALUE!</v>
      </c>
      <c r="J515" s="49" t="str">
        <f>IFERROR(__xludf.DUMMYFUNCTION("""COMPUTED_VALUE"""),"")</f>
        <v/>
      </c>
      <c r="K515" s="49"/>
      <c r="L515" s="49" t="s">
        <v>255</v>
      </c>
      <c r="M515" s="49"/>
      <c r="N515" s="49"/>
      <c r="O515" s="49"/>
      <c r="P515" s="49"/>
      <c r="Q515" s="49"/>
      <c r="R515" s="49"/>
      <c r="S515" s="49"/>
      <c r="T515" s="49"/>
    </row>
    <row r="516">
      <c r="A516" s="49"/>
      <c r="B516" s="49"/>
      <c r="C516" s="51"/>
      <c r="D516" s="49"/>
      <c r="E516" s="49"/>
      <c r="F516" s="49"/>
      <c r="G516" s="49" t="str">
        <f>IFERROR(__xludf.DUMMYFUNCTION("""COMPUTED_VALUE"""),"#VALUE!")</f>
        <v>#VALUE!</v>
      </c>
      <c r="H516" s="49" t="str">
        <f>IFERROR(__xludf.DUMMYFUNCTION("""COMPUTED_VALUE"""),"")</f>
        <v/>
      </c>
      <c r="I516" s="49" t="str">
        <f>IFERROR(__xludf.DUMMYFUNCTION("""COMPUTED_VALUE"""),"#VALUE!")</f>
        <v>#VALUE!</v>
      </c>
      <c r="J516" s="49" t="str">
        <f>IFERROR(__xludf.DUMMYFUNCTION("""COMPUTED_VALUE"""),"")</f>
        <v/>
      </c>
      <c r="K516" s="49"/>
      <c r="L516" s="49" t="s">
        <v>255</v>
      </c>
      <c r="M516" s="49"/>
      <c r="N516" s="49"/>
      <c r="O516" s="49"/>
      <c r="P516" s="49"/>
      <c r="Q516" s="49"/>
      <c r="R516" s="49"/>
      <c r="S516" s="49"/>
      <c r="T516" s="49"/>
    </row>
    <row r="517">
      <c r="A517" s="49"/>
      <c r="B517" s="49"/>
      <c r="C517" s="51"/>
      <c r="D517" s="49"/>
      <c r="E517" s="49"/>
      <c r="F517" s="49"/>
      <c r="G517" s="49" t="str">
        <f>IFERROR(__xludf.DUMMYFUNCTION("""COMPUTED_VALUE"""),"#VALUE!")</f>
        <v>#VALUE!</v>
      </c>
      <c r="H517" s="49" t="str">
        <f>IFERROR(__xludf.DUMMYFUNCTION("""COMPUTED_VALUE"""),"")</f>
        <v/>
      </c>
      <c r="I517" s="49" t="str">
        <f>IFERROR(__xludf.DUMMYFUNCTION("""COMPUTED_VALUE"""),"#VALUE!")</f>
        <v>#VALUE!</v>
      </c>
      <c r="J517" s="49" t="str">
        <f>IFERROR(__xludf.DUMMYFUNCTION("""COMPUTED_VALUE"""),"")</f>
        <v/>
      </c>
      <c r="K517" s="49"/>
      <c r="L517" s="49" t="s">
        <v>255</v>
      </c>
      <c r="M517" s="49"/>
      <c r="N517" s="49"/>
      <c r="O517" s="49"/>
      <c r="P517" s="49"/>
      <c r="Q517" s="49"/>
      <c r="R517" s="49"/>
      <c r="S517" s="49"/>
      <c r="T517" s="49"/>
    </row>
    <row r="518">
      <c r="A518" s="49"/>
      <c r="B518" s="49"/>
      <c r="C518" s="51"/>
      <c r="D518" s="49"/>
      <c r="E518" s="49"/>
      <c r="F518" s="49"/>
      <c r="G518" s="49" t="str">
        <f>IFERROR(__xludf.DUMMYFUNCTION("""COMPUTED_VALUE"""),"#VALUE!")</f>
        <v>#VALUE!</v>
      </c>
      <c r="H518" s="49" t="str">
        <f>IFERROR(__xludf.DUMMYFUNCTION("""COMPUTED_VALUE"""),"")</f>
        <v/>
      </c>
      <c r="I518" s="49" t="str">
        <f>IFERROR(__xludf.DUMMYFUNCTION("""COMPUTED_VALUE"""),"#VALUE!")</f>
        <v>#VALUE!</v>
      </c>
      <c r="J518" s="49" t="str">
        <f>IFERROR(__xludf.DUMMYFUNCTION("""COMPUTED_VALUE"""),"")</f>
        <v/>
      </c>
      <c r="K518" s="49"/>
      <c r="L518" s="49" t="s">
        <v>255</v>
      </c>
      <c r="M518" s="49"/>
      <c r="N518" s="49"/>
      <c r="O518" s="49"/>
      <c r="P518" s="49"/>
      <c r="Q518" s="49"/>
      <c r="R518" s="49"/>
      <c r="S518" s="49"/>
      <c r="T518" s="49"/>
    </row>
    <row r="519">
      <c r="A519" s="49"/>
      <c r="B519" s="49"/>
      <c r="C519" s="51"/>
      <c r="D519" s="49"/>
      <c r="E519" s="49"/>
      <c r="F519" s="49"/>
      <c r="G519" s="49" t="str">
        <f>IFERROR(__xludf.DUMMYFUNCTION("""COMPUTED_VALUE"""),"#VALUE!")</f>
        <v>#VALUE!</v>
      </c>
      <c r="H519" s="49" t="str">
        <f>IFERROR(__xludf.DUMMYFUNCTION("""COMPUTED_VALUE"""),"")</f>
        <v/>
      </c>
      <c r="I519" s="49" t="str">
        <f>IFERROR(__xludf.DUMMYFUNCTION("""COMPUTED_VALUE"""),"#VALUE!")</f>
        <v>#VALUE!</v>
      </c>
      <c r="J519" s="49" t="str">
        <f>IFERROR(__xludf.DUMMYFUNCTION("""COMPUTED_VALUE"""),"")</f>
        <v/>
      </c>
      <c r="K519" s="49"/>
      <c r="L519" s="49" t="s">
        <v>255</v>
      </c>
      <c r="M519" s="49"/>
      <c r="N519" s="49"/>
      <c r="O519" s="49"/>
      <c r="P519" s="49"/>
      <c r="Q519" s="49"/>
      <c r="R519" s="49"/>
      <c r="S519" s="49"/>
      <c r="T519" s="49"/>
    </row>
    <row r="520">
      <c r="A520" s="49"/>
      <c r="B520" s="49"/>
      <c r="C520" s="51"/>
      <c r="D520" s="49"/>
      <c r="E520" s="49"/>
      <c r="F520" s="49"/>
      <c r="G520" s="49" t="str">
        <f>IFERROR(__xludf.DUMMYFUNCTION("""COMPUTED_VALUE"""),"#VALUE!")</f>
        <v>#VALUE!</v>
      </c>
      <c r="H520" s="49" t="str">
        <f>IFERROR(__xludf.DUMMYFUNCTION("""COMPUTED_VALUE"""),"")</f>
        <v/>
      </c>
      <c r="I520" s="49" t="str">
        <f>IFERROR(__xludf.DUMMYFUNCTION("""COMPUTED_VALUE"""),"#VALUE!")</f>
        <v>#VALUE!</v>
      </c>
      <c r="J520" s="49" t="str">
        <f>IFERROR(__xludf.DUMMYFUNCTION("""COMPUTED_VALUE"""),"")</f>
        <v/>
      </c>
      <c r="K520" s="49"/>
      <c r="L520" s="49" t="s">
        <v>255</v>
      </c>
      <c r="M520" s="49"/>
      <c r="N520" s="49"/>
      <c r="O520" s="49"/>
      <c r="P520" s="49"/>
      <c r="Q520" s="49"/>
      <c r="R520" s="49"/>
      <c r="S520" s="49"/>
      <c r="T520" s="49"/>
    </row>
    <row r="521">
      <c r="A521" s="49"/>
      <c r="B521" s="49"/>
      <c r="C521" s="51"/>
      <c r="D521" s="49"/>
      <c r="E521" s="49"/>
      <c r="F521" s="49"/>
      <c r="G521" s="49" t="str">
        <f>IFERROR(__xludf.DUMMYFUNCTION("""COMPUTED_VALUE"""),"#VALUE!")</f>
        <v>#VALUE!</v>
      </c>
      <c r="H521" s="49" t="str">
        <f>IFERROR(__xludf.DUMMYFUNCTION("""COMPUTED_VALUE"""),"")</f>
        <v/>
      </c>
      <c r="I521" s="49" t="str">
        <f>IFERROR(__xludf.DUMMYFUNCTION("""COMPUTED_VALUE"""),"#VALUE!")</f>
        <v>#VALUE!</v>
      </c>
      <c r="J521" s="49" t="str">
        <f>IFERROR(__xludf.DUMMYFUNCTION("""COMPUTED_VALUE"""),"")</f>
        <v/>
      </c>
      <c r="K521" s="49"/>
      <c r="L521" s="49" t="s">
        <v>255</v>
      </c>
      <c r="M521" s="49"/>
      <c r="N521" s="49"/>
      <c r="O521" s="49"/>
      <c r="P521" s="49"/>
      <c r="Q521" s="49"/>
      <c r="R521" s="49"/>
      <c r="S521" s="49"/>
      <c r="T521" s="49"/>
    </row>
    <row r="522">
      <c r="A522" s="49"/>
      <c r="B522" s="49"/>
      <c r="C522" s="51"/>
      <c r="D522" s="49"/>
      <c r="E522" s="49"/>
      <c r="F522" s="49"/>
      <c r="G522" s="49" t="str">
        <f>IFERROR(__xludf.DUMMYFUNCTION("""COMPUTED_VALUE"""),"#VALUE!")</f>
        <v>#VALUE!</v>
      </c>
      <c r="H522" s="49" t="str">
        <f>IFERROR(__xludf.DUMMYFUNCTION("""COMPUTED_VALUE"""),"")</f>
        <v/>
      </c>
      <c r="I522" s="49" t="str">
        <f>IFERROR(__xludf.DUMMYFUNCTION("""COMPUTED_VALUE"""),"#VALUE!")</f>
        <v>#VALUE!</v>
      </c>
      <c r="J522" s="49" t="str">
        <f>IFERROR(__xludf.DUMMYFUNCTION("""COMPUTED_VALUE"""),"")</f>
        <v/>
      </c>
      <c r="K522" s="49"/>
      <c r="L522" s="49" t="s">
        <v>255</v>
      </c>
      <c r="M522" s="49"/>
      <c r="N522" s="49"/>
      <c r="O522" s="49"/>
      <c r="P522" s="49"/>
      <c r="Q522" s="49"/>
      <c r="R522" s="49"/>
      <c r="S522" s="49"/>
      <c r="T522" s="49"/>
    </row>
    <row r="523">
      <c r="A523" s="49"/>
      <c r="B523" s="49"/>
      <c r="C523" s="51"/>
      <c r="D523" s="49"/>
      <c r="E523" s="49"/>
      <c r="F523" s="49"/>
      <c r="G523" s="49" t="str">
        <f>IFERROR(__xludf.DUMMYFUNCTION("""COMPUTED_VALUE"""),"#VALUE!")</f>
        <v>#VALUE!</v>
      </c>
      <c r="H523" s="49" t="str">
        <f>IFERROR(__xludf.DUMMYFUNCTION("""COMPUTED_VALUE"""),"")</f>
        <v/>
      </c>
      <c r="I523" s="49" t="str">
        <f>IFERROR(__xludf.DUMMYFUNCTION("""COMPUTED_VALUE"""),"#VALUE!")</f>
        <v>#VALUE!</v>
      </c>
      <c r="J523" s="49" t="str">
        <f>IFERROR(__xludf.DUMMYFUNCTION("""COMPUTED_VALUE"""),"")</f>
        <v/>
      </c>
      <c r="K523" s="49"/>
      <c r="L523" s="49" t="s">
        <v>255</v>
      </c>
      <c r="M523" s="49"/>
      <c r="N523" s="49"/>
      <c r="O523" s="49"/>
      <c r="P523" s="49"/>
      <c r="Q523" s="49"/>
      <c r="R523" s="49"/>
      <c r="S523" s="49"/>
      <c r="T523" s="49"/>
    </row>
    <row r="524">
      <c r="A524" s="49"/>
      <c r="B524" s="49"/>
      <c r="C524" s="51"/>
      <c r="D524" s="49"/>
      <c r="E524" s="49"/>
      <c r="F524" s="49"/>
      <c r="G524" s="49" t="str">
        <f>IFERROR(__xludf.DUMMYFUNCTION("""COMPUTED_VALUE"""),"#VALUE!")</f>
        <v>#VALUE!</v>
      </c>
      <c r="H524" s="49" t="str">
        <f>IFERROR(__xludf.DUMMYFUNCTION("""COMPUTED_VALUE"""),"")</f>
        <v/>
      </c>
      <c r="I524" s="49" t="str">
        <f>IFERROR(__xludf.DUMMYFUNCTION("""COMPUTED_VALUE"""),"#VALUE!")</f>
        <v>#VALUE!</v>
      </c>
      <c r="J524" s="49" t="str">
        <f>IFERROR(__xludf.DUMMYFUNCTION("""COMPUTED_VALUE"""),"")</f>
        <v/>
      </c>
      <c r="K524" s="49"/>
      <c r="L524" s="49" t="s">
        <v>255</v>
      </c>
      <c r="M524" s="49"/>
      <c r="N524" s="49"/>
      <c r="O524" s="49"/>
      <c r="P524" s="49"/>
      <c r="Q524" s="49"/>
      <c r="R524" s="49"/>
      <c r="S524" s="49"/>
      <c r="T524" s="49"/>
    </row>
    <row r="525">
      <c r="A525" s="49"/>
      <c r="B525" s="49"/>
      <c r="C525" s="51"/>
      <c r="D525" s="49"/>
      <c r="E525" s="49"/>
      <c r="F525" s="49"/>
      <c r="G525" s="49" t="str">
        <f>IFERROR(__xludf.DUMMYFUNCTION("""COMPUTED_VALUE"""),"#VALUE!")</f>
        <v>#VALUE!</v>
      </c>
      <c r="H525" s="49" t="str">
        <f>IFERROR(__xludf.DUMMYFUNCTION("""COMPUTED_VALUE"""),"")</f>
        <v/>
      </c>
      <c r="I525" s="49" t="str">
        <f>IFERROR(__xludf.DUMMYFUNCTION("""COMPUTED_VALUE"""),"#VALUE!")</f>
        <v>#VALUE!</v>
      </c>
      <c r="J525" s="49" t="str">
        <f>IFERROR(__xludf.DUMMYFUNCTION("""COMPUTED_VALUE"""),"")</f>
        <v/>
      </c>
      <c r="K525" s="49"/>
      <c r="L525" s="49" t="s">
        <v>255</v>
      </c>
      <c r="M525" s="49"/>
      <c r="N525" s="49"/>
      <c r="O525" s="49"/>
      <c r="P525" s="49"/>
      <c r="Q525" s="49"/>
      <c r="R525" s="49"/>
      <c r="S525" s="49"/>
      <c r="T525" s="49"/>
    </row>
    <row r="526">
      <c r="A526" s="49"/>
      <c r="B526" s="49"/>
      <c r="C526" s="51"/>
      <c r="D526" s="49"/>
      <c r="E526" s="49"/>
      <c r="F526" s="49"/>
      <c r="G526" s="49" t="str">
        <f>IFERROR(__xludf.DUMMYFUNCTION("""COMPUTED_VALUE"""),"#VALUE!")</f>
        <v>#VALUE!</v>
      </c>
      <c r="H526" s="49" t="str">
        <f>IFERROR(__xludf.DUMMYFUNCTION("""COMPUTED_VALUE"""),"")</f>
        <v/>
      </c>
      <c r="I526" s="49" t="str">
        <f>IFERROR(__xludf.DUMMYFUNCTION("""COMPUTED_VALUE"""),"#VALUE!")</f>
        <v>#VALUE!</v>
      </c>
      <c r="J526" s="49" t="str">
        <f>IFERROR(__xludf.DUMMYFUNCTION("""COMPUTED_VALUE"""),"")</f>
        <v/>
      </c>
      <c r="K526" s="49"/>
      <c r="L526" s="49" t="s">
        <v>255</v>
      </c>
      <c r="M526" s="49"/>
      <c r="N526" s="49"/>
      <c r="O526" s="49"/>
      <c r="P526" s="49"/>
      <c r="Q526" s="49"/>
      <c r="R526" s="49"/>
      <c r="S526" s="49"/>
      <c r="T526" s="49"/>
    </row>
    <row r="527">
      <c r="A527" s="49"/>
      <c r="B527" s="49"/>
      <c r="C527" s="51"/>
      <c r="D527" s="49"/>
      <c r="E527" s="49"/>
      <c r="F527" s="49"/>
      <c r="G527" s="49" t="str">
        <f>IFERROR(__xludf.DUMMYFUNCTION("""COMPUTED_VALUE"""),"#VALUE!")</f>
        <v>#VALUE!</v>
      </c>
      <c r="H527" s="49" t="str">
        <f>IFERROR(__xludf.DUMMYFUNCTION("""COMPUTED_VALUE"""),"")</f>
        <v/>
      </c>
      <c r="I527" s="49" t="str">
        <f>IFERROR(__xludf.DUMMYFUNCTION("""COMPUTED_VALUE"""),"#VALUE!")</f>
        <v>#VALUE!</v>
      </c>
      <c r="J527" s="49" t="str">
        <f>IFERROR(__xludf.DUMMYFUNCTION("""COMPUTED_VALUE"""),"")</f>
        <v/>
      </c>
      <c r="K527" s="49"/>
      <c r="L527" s="49" t="s">
        <v>255</v>
      </c>
      <c r="M527" s="49"/>
      <c r="N527" s="49"/>
      <c r="O527" s="49"/>
      <c r="P527" s="49"/>
      <c r="Q527" s="49"/>
      <c r="R527" s="49"/>
      <c r="S527" s="49"/>
      <c r="T527" s="49"/>
    </row>
    <row r="528">
      <c r="A528" s="49"/>
      <c r="B528" s="49"/>
      <c r="C528" s="51"/>
      <c r="D528" s="49"/>
      <c r="E528" s="49"/>
      <c r="F528" s="49"/>
      <c r="G528" s="49" t="str">
        <f>IFERROR(__xludf.DUMMYFUNCTION("""COMPUTED_VALUE"""),"#VALUE!")</f>
        <v>#VALUE!</v>
      </c>
      <c r="H528" s="49" t="str">
        <f>IFERROR(__xludf.DUMMYFUNCTION("""COMPUTED_VALUE"""),"")</f>
        <v/>
      </c>
      <c r="I528" s="49" t="str">
        <f>IFERROR(__xludf.DUMMYFUNCTION("""COMPUTED_VALUE"""),"#VALUE!")</f>
        <v>#VALUE!</v>
      </c>
      <c r="J528" s="49" t="str">
        <f>IFERROR(__xludf.DUMMYFUNCTION("""COMPUTED_VALUE"""),"")</f>
        <v/>
      </c>
      <c r="K528" s="49"/>
      <c r="L528" s="49" t="s">
        <v>255</v>
      </c>
      <c r="M528" s="49"/>
      <c r="N528" s="49"/>
      <c r="O528" s="49"/>
      <c r="P528" s="49"/>
      <c r="Q528" s="49"/>
      <c r="R528" s="49"/>
      <c r="S528" s="49"/>
      <c r="T528" s="49"/>
    </row>
    <row r="529">
      <c r="A529" s="49"/>
      <c r="B529" s="49"/>
      <c r="C529" s="51"/>
      <c r="D529" s="49"/>
      <c r="E529" s="49"/>
      <c r="F529" s="49"/>
      <c r="G529" s="49" t="str">
        <f>IFERROR(__xludf.DUMMYFUNCTION("""COMPUTED_VALUE"""),"#VALUE!")</f>
        <v>#VALUE!</v>
      </c>
      <c r="H529" s="49" t="str">
        <f>IFERROR(__xludf.DUMMYFUNCTION("""COMPUTED_VALUE"""),"")</f>
        <v/>
      </c>
      <c r="I529" s="49" t="str">
        <f>IFERROR(__xludf.DUMMYFUNCTION("""COMPUTED_VALUE"""),"#VALUE!")</f>
        <v>#VALUE!</v>
      </c>
      <c r="J529" s="49" t="str">
        <f>IFERROR(__xludf.DUMMYFUNCTION("""COMPUTED_VALUE"""),"")</f>
        <v/>
      </c>
      <c r="K529" s="49"/>
      <c r="L529" s="49" t="s">
        <v>255</v>
      </c>
      <c r="M529" s="49"/>
      <c r="N529" s="49"/>
      <c r="O529" s="49"/>
      <c r="P529" s="49"/>
      <c r="Q529" s="49"/>
      <c r="R529" s="49"/>
      <c r="S529" s="49"/>
      <c r="T529" s="49"/>
    </row>
    <row r="530">
      <c r="A530" s="49"/>
      <c r="B530" s="49"/>
      <c r="C530" s="51"/>
      <c r="D530" s="49"/>
      <c r="E530" s="49"/>
      <c r="F530" s="49"/>
      <c r="G530" s="49" t="str">
        <f>IFERROR(__xludf.DUMMYFUNCTION("""COMPUTED_VALUE"""),"#VALUE!")</f>
        <v>#VALUE!</v>
      </c>
      <c r="H530" s="49" t="str">
        <f>IFERROR(__xludf.DUMMYFUNCTION("""COMPUTED_VALUE"""),"")</f>
        <v/>
      </c>
      <c r="I530" s="49" t="str">
        <f>IFERROR(__xludf.DUMMYFUNCTION("""COMPUTED_VALUE"""),"#VALUE!")</f>
        <v>#VALUE!</v>
      </c>
      <c r="J530" s="49" t="str">
        <f>IFERROR(__xludf.DUMMYFUNCTION("""COMPUTED_VALUE"""),"")</f>
        <v/>
      </c>
      <c r="K530" s="49"/>
      <c r="L530" s="49" t="s">
        <v>255</v>
      </c>
      <c r="M530" s="49"/>
      <c r="N530" s="49"/>
      <c r="O530" s="49"/>
      <c r="P530" s="49"/>
      <c r="Q530" s="49"/>
      <c r="R530" s="49"/>
      <c r="S530" s="49"/>
      <c r="T530" s="49"/>
    </row>
    <row r="531">
      <c r="A531" s="49"/>
      <c r="B531" s="49"/>
      <c r="C531" s="51"/>
      <c r="D531" s="49"/>
      <c r="E531" s="49"/>
      <c r="F531" s="49"/>
      <c r="G531" s="49" t="str">
        <f>IFERROR(__xludf.DUMMYFUNCTION("""COMPUTED_VALUE"""),"#VALUE!")</f>
        <v>#VALUE!</v>
      </c>
      <c r="H531" s="49" t="str">
        <f>IFERROR(__xludf.DUMMYFUNCTION("""COMPUTED_VALUE"""),"")</f>
        <v/>
      </c>
      <c r="I531" s="49" t="str">
        <f>IFERROR(__xludf.DUMMYFUNCTION("""COMPUTED_VALUE"""),"#VALUE!")</f>
        <v>#VALUE!</v>
      </c>
      <c r="J531" s="49" t="str">
        <f>IFERROR(__xludf.DUMMYFUNCTION("""COMPUTED_VALUE"""),"")</f>
        <v/>
      </c>
      <c r="K531" s="49"/>
      <c r="L531" s="49" t="s">
        <v>255</v>
      </c>
      <c r="M531" s="49"/>
      <c r="N531" s="49"/>
      <c r="O531" s="49"/>
      <c r="P531" s="49"/>
      <c r="Q531" s="49"/>
      <c r="R531" s="49"/>
      <c r="S531" s="49"/>
      <c r="T531" s="49"/>
    </row>
    <row r="532">
      <c r="A532" s="49"/>
      <c r="B532" s="49"/>
      <c r="C532" s="51"/>
      <c r="D532" s="49"/>
      <c r="E532" s="49"/>
      <c r="F532" s="49"/>
      <c r="G532" s="49" t="str">
        <f>IFERROR(__xludf.DUMMYFUNCTION("""COMPUTED_VALUE"""),"#VALUE!")</f>
        <v>#VALUE!</v>
      </c>
      <c r="H532" s="49" t="str">
        <f>IFERROR(__xludf.DUMMYFUNCTION("""COMPUTED_VALUE"""),"")</f>
        <v/>
      </c>
      <c r="I532" s="49" t="str">
        <f>IFERROR(__xludf.DUMMYFUNCTION("""COMPUTED_VALUE"""),"#VALUE!")</f>
        <v>#VALUE!</v>
      </c>
      <c r="J532" s="49" t="str">
        <f>IFERROR(__xludf.DUMMYFUNCTION("""COMPUTED_VALUE"""),"")</f>
        <v/>
      </c>
      <c r="K532" s="49"/>
      <c r="L532" s="49" t="s">
        <v>255</v>
      </c>
      <c r="M532" s="49"/>
      <c r="N532" s="49"/>
      <c r="O532" s="49"/>
      <c r="P532" s="49"/>
      <c r="Q532" s="49"/>
      <c r="R532" s="49"/>
      <c r="S532" s="49"/>
      <c r="T532" s="49"/>
    </row>
    <row r="533">
      <c r="A533" s="49"/>
      <c r="B533" s="49"/>
      <c r="C533" s="51"/>
      <c r="D533" s="49"/>
      <c r="E533" s="49"/>
      <c r="F533" s="49"/>
      <c r="G533" s="49" t="str">
        <f>IFERROR(__xludf.DUMMYFUNCTION("""COMPUTED_VALUE"""),"#VALUE!")</f>
        <v>#VALUE!</v>
      </c>
      <c r="H533" s="49" t="str">
        <f>IFERROR(__xludf.DUMMYFUNCTION("""COMPUTED_VALUE"""),"")</f>
        <v/>
      </c>
      <c r="I533" s="49" t="str">
        <f>IFERROR(__xludf.DUMMYFUNCTION("""COMPUTED_VALUE"""),"#VALUE!")</f>
        <v>#VALUE!</v>
      </c>
      <c r="J533" s="49" t="str">
        <f>IFERROR(__xludf.DUMMYFUNCTION("""COMPUTED_VALUE"""),"")</f>
        <v/>
      </c>
      <c r="K533" s="49"/>
      <c r="L533" s="49" t="s">
        <v>255</v>
      </c>
      <c r="M533" s="49"/>
      <c r="N533" s="49"/>
      <c r="O533" s="49"/>
      <c r="P533" s="49"/>
      <c r="Q533" s="49"/>
      <c r="R533" s="49"/>
      <c r="S533" s="49"/>
      <c r="T533" s="49"/>
    </row>
    <row r="534">
      <c r="A534" s="49"/>
      <c r="B534" s="49"/>
      <c r="C534" s="51"/>
      <c r="D534" s="49"/>
      <c r="E534" s="49"/>
      <c r="F534" s="49"/>
      <c r="G534" s="49" t="str">
        <f>IFERROR(__xludf.DUMMYFUNCTION("""COMPUTED_VALUE"""),"#VALUE!")</f>
        <v>#VALUE!</v>
      </c>
      <c r="H534" s="49" t="str">
        <f>IFERROR(__xludf.DUMMYFUNCTION("""COMPUTED_VALUE"""),"")</f>
        <v/>
      </c>
      <c r="I534" s="49" t="str">
        <f>IFERROR(__xludf.DUMMYFUNCTION("""COMPUTED_VALUE"""),"#VALUE!")</f>
        <v>#VALUE!</v>
      </c>
      <c r="J534" s="49" t="str">
        <f>IFERROR(__xludf.DUMMYFUNCTION("""COMPUTED_VALUE"""),"")</f>
        <v/>
      </c>
      <c r="K534" s="49"/>
      <c r="L534" s="49" t="s">
        <v>255</v>
      </c>
      <c r="M534" s="49"/>
      <c r="N534" s="49"/>
      <c r="O534" s="49"/>
      <c r="P534" s="49"/>
      <c r="Q534" s="49"/>
      <c r="R534" s="49"/>
      <c r="S534" s="49"/>
      <c r="T534" s="49"/>
    </row>
    <row r="535">
      <c r="A535" s="49"/>
      <c r="B535" s="49"/>
      <c r="C535" s="51"/>
      <c r="D535" s="49"/>
      <c r="E535" s="49"/>
      <c r="F535" s="49"/>
      <c r="G535" s="49" t="str">
        <f>IFERROR(__xludf.DUMMYFUNCTION("""COMPUTED_VALUE"""),"#VALUE!")</f>
        <v>#VALUE!</v>
      </c>
      <c r="H535" s="49" t="str">
        <f>IFERROR(__xludf.DUMMYFUNCTION("""COMPUTED_VALUE"""),"")</f>
        <v/>
      </c>
      <c r="I535" s="49" t="str">
        <f>IFERROR(__xludf.DUMMYFUNCTION("""COMPUTED_VALUE"""),"#VALUE!")</f>
        <v>#VALUE!</v>
      </c>
      <c r="J535" s="49" t="str">
        <f>IFERROR(__xludf.DUMMYFUNCTION("""COMPUTED_VALUE"""),"")</f>
        <v/>
      </c>
      <c r="K535" s="49"/>
      <c r="L535" s="49" t="s">
        <v>255</v>
      </c>
      <c r="M535" s="49"/>
      <c r="N535" s="49"/>
      <c r="O535" s="49"/>
      <c r="P535" s="49"/>
      <c r="Q535" s="49"/>
      <c r="R535" s="49"/>
      <c r="S535" s="49"/>
      <c r="T535" s="49"/>
    </row>
    <row r="536">
      <c r="A536" s="49"/>
      <c r="B536" s="49"/>
      <c r="C536" s="51"/>
      <c r="D536" s="49"/>
      <c r="E536" s="49"/>
      <c r="F536" s="49"/>
      <c r="G536" s="49" t="str">
        <f>IFERROR(__xludf.DUMMYFUNCTION("""COMPUTED_VALUE"""),"#VALUE!")</f>
        <v>#VALUE!</v>
      </c>
      <c r="H536" s="49" t="str">
        <f>IFERROR(__xludf.DUMMYFUNCTION("""COMPUTED_VALUE"""),"")</f>
        <v/>
      </c>
      <c r="I536" s="49" t="str">
        <f>IFERROR(__xludf.DUMMYFUNCTION("""COMPUTED_VALUE"""),"#VALUE!")</f>
        <v>#VALUE!</v>
      </c>
      <c r="J536" s="49" t="str">
        <f>IFERROR(__xludf.DUMMYFUNCTION("""COMPUTED_VALUE"""),"")</f>
        <v/>
      </c>
      <c r="K536" s="49"/>
      <c r="L536" s="49" t="s">
        <v>255</v>
      </c>
      <c r="M536" s="49"/>
      <c r="N536" s="49"/>
      <c r="O536" s="49"/>
      <c r="P536" s="49"/>
      <c r="Q536" s="49"/>
      <c r="R536" s="49"/>
      <c r="S536" s="49"/>
      <c r="T536" s="49"/>
    </row>
    <row r="537">
      <c r="A537" s="49"/>
      <c r="B537" s="49"/>
      <c r="C537" s="51"/>
      <c r="D537" s="49"/>
      <c r="E537" s="49"/>
      <c r="F537" s="49"/>
      <c r="G537" s="49" t="str">
        <f>IFERROR(__xludf.DUMMYFUNCTION("""COMPUTED_VALUE"""),"#VALUE!")</f>
        <v>#VALUE!</v>
      </c>
      <c r="H537" s="49" t="str">
        <f>IFERROR(__xludf.DUMMYFUNCTION("""COMPUTED_VALUE"""),"")</f>
        <v/>
      </c>
      <c r="I537" s="49" t="str">
        <f>IFERROR(__xludf.DUMMYFUNCTION("""COMPUTED_VALUE"""),"#VALUE!")</f>
        <v>#VALUE!</v>
      </c>
      <c r="J537" s="49" t="str">
        <f>IFERROR(__xludf.DUMMYFUNCTION("""COMPUTED_VALUE"""),"")</f>
        <v/>
      </c>
      <c r="K537" s="49"/>
      <c r="L537" s="49" t="s">
        <v>255</v>
      </c>
      <c r="M537" s="49"/>
      <c r="N537" s="49"/>
      <c r="O537" s="49"/>
      <c r="P537" s="49"/>
      <c r="Q537" s="49"/>
      <c r="R537" s="49"/>
      <c r="S537" s="49"/>
      <c r="T537" s="49"/>
    </row>
    <row r="538">
      <c r="A538" s="49"/>
      <c r="B538" s="49"/>
      <c r="C538" s="51"/>
      <c r="D538" s="49"/>
      <c r="E538" s="49"/>
      <c r="F538" s="49"/>
      <c r="G538" s="49" t="str">
        <f>IFERROR(__xludf.DUMMYFUNCTION("""COMPUTED_VALUE"""),"#VALUE!")</f>
        <v>#VALUE!</v>
      </c>
      <c r="H538" s="49" t="str">
        <f>IFERROR(__xludf.DUMMYFUNCTION("""COMPUTED_VALUE"""),"")</f>
        <v/>
      </c>
      <c r="I538" s="49" t="str">
        <f>IFERROR(__xludf.DUMMYFUNCTION("""COMPUTED_VALUE"""),"#VALUE!")</f>
        <v>#VALUE!</v>
      </c>
      <c r="J538" s="49" t="str">
        <f>IFERROR(__xludf.DUMMYFUNCTION("""COMPUTED_VALUE"""),"")</f>
        <v/>
      </c>
      <c r="K538" s="49"/>
      <c r="L538" s="49" t="s">
        <v>255</v>
      </c>
      <c r="M538" s="49"/>
      <c r="N538" s="49"/>
      <c r="O538" s="49"/>
      <c r="P538" s="49"/>
      <c r="Q538" s="49"/>
      <c r="R538" s="49"/>
      <c r="S538" s="49"/>
      <c r="T538" s="49"/>
    </row>
    <row r="539">
      <c r="A539" s="49"/>
      <c r="B539" s="49"/>
      <c r="C539" s="51"/>
      <c r="D539" s="49"/>
      <c r="E539" s="49"/>
      <c r="F539" s="49"/>
      <c r="G539" s="49" t="str">
        <f>IFERROR(__xludf.DUMMYFUNCTION("""COMPUTED_VALUE"""),"#VALUE!")</f>
        <v>#VALUE!</v>
      </c>
      <c r="H539" s="49" t="str">
        <f>IFERROR(__xludf.DUMMYFUNCTION("""COMPUTED_VALUE"""),"")</f>
        <v/>
      </c>
      <c r="I539" s="49" t="str">
        <f>IFERROR(__xludf.DUMMYFUNCTION("""COMPUTED_VALUE"""),"#VALUE!")</f>
        <v>#VALUE!</v>
      </c>
      <c r="J539" s="49" t="str">
        <f>IFERROR(__xludf.DUMMYFUNCTION("""COMPUTED_VALUE"""),"")</f>
        <v/>
      </c>
      <c r="K539" s="49"/>
      <c r="L539" s="49" t="s">
        <v>255</v>
      </c>
      <c r="M539" s="49"/>
      <c r="N539" s="49"/>
      <c r="O539" s="49"/>
      <c r="P539" s="49"/>
      <c r="Q539" s="49"/>
      <c r="R539" s="49"/>
      <c r="S539" s="49"/>
      <c r="T539" s="49"/>
    </row>
    <row r="540">
      <c r="A540" s="49"/>
      <c r="B540" s="49"/>
      <c r="C540" s="51"/>
      <c r="D540" s="49"/>
      <c r="E540" s="49"/>
      <c r="F540" s="49"/>
      <c r="G540" s="49" t="str">
        <f>IFERROR(__xludf.DUMMYFUNCTION("""COMPUTED_VALUE"""),"#VALUE!")</f>
        <v>#VALUE!</v>
      </c>
      <c r="H540" s="49" t="str">
        <f>IFERROR(__xludf.DUMMYFUNCTION("""COMPUTED_VALUE"""),"")</f>
        <v/>
      </c>
      <c r="I540" s="49" t="str">
        <f>IFERROR(__xludf.DUMMYFUNCTION("""COMPUTED_VALUE"""),"#VALUE!")</f>
        <v>#VALUE!</v>
      </c>
      <c r="J540" s="49" t="str">
        <f>IFERROR(__xludf.DUMMYFUNCTION("""COMPUTED_VALUE"""),"")</f>
        <v/>
      </c>
      <c r="K540" s="49"/>
      <c r="L540" s="49" t="s">
        <v>255</v>
      </c>
      <c r="M540" s="49"/>
      <c r="N540" s="49"/>
      <c r="O540" s="49"/>
      <c r="P540" s="49"/>
      <c r="Q540" s="49"/>
      <c r="R540" s="49"/>
      <c r="S540" s="49"/>
      <c r="T540" s="49"/>
    </row>
    <row r="541">
      <c r="A541" s="49"/>
      <c r="B541" s="49"/>
      <c r="C541" s="51"/>
      <c r="D541" s="49"/>
      <c r="E541" s="49"/>
      <c r="F541" s="49"/>
      <c r="G541" s="49" t="str">
        <f>IFERROR(__xludf.DUMMYFUNCTION("""COMPUTED_VALUE"""),"#VALUE!")</f>
        <v>#VALUE!</v>
      </c>
      <c r="H541" s="49" t="str">
        <f>IFERROR(__xludf.DUMMYFUNCTION("""COMPUTED_VALUE"""),"")</f>
        <v/>
      </c>
      <c r="I541" s="49" t="str">
        <f>IFERROR(__xludf.DUMMYFUNCTION("""COMPUTED_VALUE"""),"#VALUE!")</f>
        <v>#VALUE!</v>
      </c>
      <c r="J541" s="49" t="str">
        <f>IFERROR(__xludf.DUMMYFUNCTION("""COMPUTED_VALUE"""),"")</f>
        <v/>
      </c>
      <c r="K541" s="49"/>
      <c r="L541" s="49" t="s">
        <v>255</v>
      </c>
      <c r="M541" s="49"/>
      <c r="N541" s="49"/>
      <c r="O541" s="49"/>
      <c r="P541" s="49"/>
      <c r="Q541" s="49"/>
      <c r="R541" s="49"/>
      <c r="S541" s="49"/>
      <c r="T541" s="49"/>
    </row>
    <row r="542">
      <c r="A542" s="49"/>
      <c r="B542" s="49"/>
      <c r="C542" s="51"/>
      <c r="D542" s="49"/>
      <c r="E542" s="49"/>
      <c r="F542" s="49"/>
      <c r="G542" s="49" t="str">
        <f>IFERROR(__xludf.DUMMYFUNCTION("""COMPUTED_VALUE"""),"#VALUE!")</f>
        <v>#VALUE!</v>
      </c>
      <c r="H542" s="49" t="str">
        <f>IFERROR(__xludf.DUMMYFUNCTION("""COMPUTED_VALUE"""),"")</f>
        <v/>
      </c>
      <c r="I542" s="49" t="str">
        <f>IFERROR(__xludf.DUMMYFUNCTION("""COMPUTED_VALUE"""),"#VALUE!")</f>
        <v>#VALUE!</v>
      </c>
      <c r="J542" s="49" t="str">
        <f>IFERROR(__xludf.DUMMYFUNCTION("""COMPUTED_VALUE"""),"")</f>
        <v/>
      </c>
      <c r="K542" s="49"/>
      <c r="L542" s="49" t="s">
        <v>255</v>
      </c>
      <c r="M542" s="49"/>
      <c r="N542" s="49"/>
      <c r="O542" s="49"/>
      <c r="P542" s="49"/>
      <c r="Q542" s="49"/>
      <c r="R542" s="49"/>
      <c r="S542" s="49"/>
      <c r="T542" s="49"/>
    </row>
    <row r="543">
      <c r="A543" s="49"/>
      <c r="B543" s="49"/>
      <c r="C543" s="51"/>
      <c r="D543" s="49"/>
      <c r="E543" s="49"/>
      <c r="F543" s="49"/>
      <c r="G543" s="49" t="str">
        <f>IFERROR(__xludf.DUMMYFUNCTION("""COMPUTED_VALUE"""),"#VALUE!")</f>
        <v>#VALUE!</v>
      </c>
      <c r="H543" s="49" t="str">
        <f>IFERROR(__xludf.DUMMYFUNCTION("""COMPUTED_VALUE"""),"")</f>
        <v/>
      </c>
      <c r="I543" s="49" t="str">
        <f>IFERROR(__xludf.DUMMYFUNCTION("""COMPUTED_VALUE"""),"#VALUE!")</f>
        <v>#VALUE!</v>
      </c>
      <c r="J543" s="49" t="str">
        <f>IFERROR(__xludf.DUMMYFUNCTION("""COMPUTED_VALUE"""),"")</f>
        <v/>
      </c>
      <c r="K543" s="49"/>
      <c r="L543" s="49" t="s">
        <v>255</v>
      </c>
      <c r="M543" s="49"/>
      <c r="N543" s="49"/>
      <c r="O543" s="49"/>
      <c r="P543" s="49"/>
      <c r="Q543" s="49"/>
      <c r="R543" s="49"/>
      <c r="S543" s="49"/>
      <c r="T543" s="49"/>
    </row>
    <row r="544">
      <c r="A544" s="49"/>
      <c r="B544" s="49"/>
      <c r="C544" s="51"/>
      <c r="D544" s="49"/>
      <c r="E544" s="49"/>
      <c r="F544" s="49"/>
      <c r="G544" s="49" t="str">
        <f>IFERROR(__xludf.DUMMYFUNCTION("""COMPUTED_VALUE"""),"#VALUE!")</f>
        <v>#VALUE!</v>
      </c>
      <c r="H544" s="49" t="str">
        <f>IFERROR(__xludf.DUMMYFUNCTION("""COMPUTED_VALUE"""),"")</f>
        <v/>
      </c>
      <c r="I544" s="49" t="str">
        <f>IFERROR(__xludf.DUMMYFUNCTION("""COMPUTED_VALUE"""),"#VALUE!")</f>
        <v>#VALUE!</v>
      </c>
      <c r="J544" s="49" t="str">
        <f>IFERROR(__xludf.DUMMYFUNCTION("""COMPUTED_VALUE"""),"")</f>
        <v/>
      </c>
      <c r="K544" s="49"/>
      <c r="L544" s="49" t="s">
        <v>255</v>
      </c>
      <c r="M544" s="49"/>
      <c r="N544" s="49"/>
      <c r="O544" s="49"/>
      <c r="P544" s="49"/>
      <c r="Q544" s="49"/>
      <c r="R544" s="49"/>
      <c r="S544" s="49"/>
      <c r="T544" s="49"/>
    </row>
    <row r="545">
      <c r="A545" s="49"/>
      <c r="B545" s="49"/>
      <c r="C545" s="51"/>
      <c r="D545" s="49"/>
      <c r="E545" s="49"/>
      <c r="F545" s="49"/>
      <c r="G545" s="49" t="str">
        <f>IFERROR(__xludf.DUMMYFUNCTION("""COMPUTED_VALUE"""),"#VALUE!")</f>
        <v>#VALUE!</v>
      </c>
      <c r="H545" s="49" t="str">
        <f>IFERROR(__xludf.DUMMYFUNCTION("""COMPUTED_VALUE"""),"")</f>
        <v/>
      </c>
      <c r="I545" s="49" t="str">
        <f>IFERROR(__xludf.DUMMYFUNCTION("""COMPUTED_VALUE"""),"#VALUE!")</f>
        <v>#VALUE!</v>
      </c>
      <c r="J545" s="49" t="str">
        <f>IFERROR(__xludf.DUMMYFUNCTION("""COMPUTED_VALUE"""),"")</f>
        <v/>
      </c>
      <c r="K545" s="49"/>
      <c r="L545" s="49" t="s">
        <v>255</v>
      </c>
      <c r="M545" s="49"/>
      <c r="N545" s="49"/>
      <c r="O545" s="49"/>
      <c r="P545" s="49"/>
      <c r="Q545" s="49"/>
      <c r="R545" s="49"/>
      <c r="S545" s="49"/>
      <c r="T545" s="49"/>
    </row>
    <row r="546">
      <c r="A546" s="49"/>
      <c r="B546" s="49"/>
      <c r="C546" s="51"/>
      <c r="D546" s="49"/>
      <c r="E546" s="49"/>
      <c r="F546" s="49"/>
      <c r="G546" s="49" t="str">
        <f>IFERROR(__xludf.DUMMYFUNCTION("""COMPUTED_VALUE"""),"#VALUE!")</f>
        <v>#VALUE!</v>
      </c>
      <c r="H546" s="49" t="str">
        <f>IFERROR(__xludf.DUMMYFUNCTION("""COMPUTED_VALUE"""),"")</f>
        <v/>
      </c>
      <c r="I546" s="49" t="str">
        <f>IFERROR(__xludf.DUMMYFUNCTION("""COMPUTED_VALUE"""),"#VALUE!")</f>
        <v>#VALUE!</v>
      </c>
      <c r="J546" s="49" t="str">
        <f>IFERROR(__xludf.DUMMYFUNCTION("""COMPUTED_VALUE"""),"")</f>
        <v/>
      </c>
      <c r="K546" s="49"/>
      <c r="L546" s="49" t="s">
        <v>255</v>
      </c>
      <c r="M546" s="49"/>
      <c r="N546" s="49"/>
      <c r="O546" s="49"/>
      <c r="P546" s="49"/>
      <c r="Q546" s="49"/>
      <c r="R546" s="49"/>
      <c r="S546" s="49"/>
      <c r="T546" s="49"/>
    </row>
    <row r="547">
      <c r="A547" s="49"/>
      <c r="B547" s="49"/>
      <c r="C547" s="51"/>
      <c r="D547" s="49"/>
      <c r="E547" s="49"/>
      <c r="F547" s="49"/>
      <c r="G547" s="49" t="str">
        <f>IFERROR(__xludf.DUMMYFUNCTION("""COMPUTED_VALUE"""),"#VALUE!")</f>
        <v>#VALUE!</v>
      </c>
      <c r="H547" s="49" t="str">
        <f>IFERROR(__xludf.DUMMYFUNCTION("""COMPUTED_VALUE"""),"")</f>
        <v/>
      </c>
      <c r="I547" s="49" t="str">
        <f>IFERROR(__xludf.DUMMYFUNCTION("""COMPUTED_VALUE"""),"#VALUE!")</f>
        <v>#VALUE!</v>
      </c>
      <c r="J547" s="49" t="str">
        <f>IFERROR(__xludf.DUMMYFUNCTION("""COMPUTED_VALUE"""),"")</f>
        <v/>
      </c>
      <c r="K547" s="49"/>
      <c r="L547" s="49" t="s">
        <v>255</v>
      </c>
      <c r="M547" s="49"/>
      <c r="N547" s="49"/>
      <c r="O547" s="49"/>
      <c r="P547" s="49"/>
      <c r="Q547" s="49"/>
      <c r="R547" s="49"/>
      <c r="S547" s="49"/>
      <c r="T547" s="49"/>
    </row>
    <row r="548">
      <c r="A548" s="49"/>
      <c r="B548" s="49"/>
      <c r="C548" s="51"/>
      <c r="D548" s="49"/>
      <c r="E548" s="49"/>
      <c r="F548" s="49"/>
      <c r="G548" s="49" t="str">
        <f>IFERROR(__xludf.DUMMYFUNCTION("""COMPUTED_VALUE"""),"#VALUE!")</f>
        <v>#VALUE!</v>
      </c>
      <c r="H548" s="49" t="str">
        <f>IFERROR(__xludf.DUMMYFUNCTION("""COMPUTED_VALUE"""),"")</f>
        <v/>
      </c>
      <c r="I548" s="49" t="str">
        <f>IFERROR(__xludf.DUMMYFUNCTION("""COMPUTED_VALUE"""),"#VALUE!")</f>
        <v>#VALUE!</v>
      </c>
      <c r="J548" s="49" t="str">
        <f>IFERROR(__xludf.DUMMYFUNCTION("""COMPUTED_VALUE"""),"")</f>
        <v/>
      </c>
      <c r="K548" s="49"/>
      <c r="L548" s="49" t="s">
        <v>255</v>
      </c>
      <c r="M548" s="49"/>
      <c r="N548" s="49"/>
      <c r="O548" s="49"/>
      <c r="P548" s="49"/>
      <c r="Q548" s="49"/>
      <c r="R548" s="49"/>
      <c r="S548" s="49"/>
      <c r="T548" s="49"/>
    </row>
    <row r="549">
      <c r="A549" s="49"/>
      <c r="B549" s="49"/>
      <c r="C549" s="51"/>
      <c r="D549" s="49"/>
      <c r="E549" s="49"/>
      <c r="F549" s="49"/>
      <c r="G549" s="49" t="str">
        <f>IFERROR(__xludf.DUMMYFUNCTION("""COMPUTED_VALUE"""),"#VALUE!")</f>
        <v>#VALUE!</v>
      </c>
      <c r="H549" s="49" t="str">
        <f>IFERROR(__xludf.DUMMYFUNCTION("""COMPUTED_VALUE"""),"")</f>
        <v/>
      </c>
      <c r="I549" s="49" t="str">
        <f>IFERROR(__xludf.DUMMYFUNCTION("""COMPUTED_VALUE"""),"#VALUE!")</f>
        <v>#VALUE!</v>
      </c>
      <c r="J549" s="49" t="str">
        <f>IFERROR(__xludf.DUMMYFUNCTION("""COMPUTED_VALUE"""),"")</f>
        <v/>
      </c>
      <c r="K549" s="49"/>
      <c r="L549" s="49" t="s">
        <v>255</v>
      </c>
      <c r="M549" s="49"/>
      <c r="N549" s="49"/>
      <c r="O549" s="49"/>
      <c r="P549" s="49"/>
      <c r="Q549" s="49"/>
      <c r="R549" s="49"/>
      <c r="S549" s="49"/>
      <c r="T549" s="49"/>
    </row>
    <row r="550">
      <c r="A550" s="49"/>
      <c r="B550" s="49"/>
      <c r="C550" s="51"/>
      <c r="D550" s="49"/>
      <c r="E550" s="49"/>
      <c r="F550" s="49"/>
      <c r="G550" s="49" t="str">
        <f>IFERROR(__xludf.DUMMYFUNCTION("""COMPUTED_VALUE"""),"#VALUE!")</f>
        <v>#VALUE!</v>
      </c>
      <c r="H550" s="49" t="str">
        <f>IFERROR(__xludf.DUMMYFUNCTION("""COMPUTED_VALUE"""),"")</f>
        <v/>
      </c>
      <c r="I550" s="49" t="str">
        <f>IFERROR(__xludf.DUMMYFUNCTION("""COMPUTED_VALUE"""),"#VALUE!")</f>
        <v>#VALUE!</v>
      </c>
      <c r="J550" s="49" t="str">
        <f>IFERROR(__xludf.DUMMYFUNCTION("""COMPUTED_VALUE"""),"")</f>
        <v/>
      </c>
      <c r="K550" s="49"/>
      <c r="L550" s="49" t="s">
        <v>255</v>
      </c>
      <c r="M550" s="49"/>
      <c r="N550" s="49"/>
      <c r="O550" s="49"/>
      <c r="P550" s="49"/>
      <c r="Q550" s="49"/>
      <c r="R550" s="49"/>
      <c r="S550" s="49"/>
      <c r="T550" s="49"/>
    </row>
    <row r="551">
      <c r="A551" s="49"/>
      <c r="B551" s="49"/>
      <c r="C551" s="51"/>
      <c r="D551" s="49"/>
      <c r="E551" s="49"/>
      <c r="F551" s="49"/>
      <c r="G551" s="49" t="str">
        <f>IFERROR(__xludf.DUMMYFUNCTION("""COMPUTED_VALUE"""),"#VALUE!")</f>
        <v>#VALUE!</v>
      </c>
      <c r="H551" s="49" t="str">
        <f>IFERROR(__xludf.DUMMYFUNCTION("""COMPUTED_VALUE"""),"")</f>
        <v/>
      </c>
      <c r="I551" s="49" t="str">
        <f>IFERROR(__xludf.DUMMYFUNCTION("""COMPUTED_VALUE"""),"#VALUE!")</f>
        <v>#VALUE!</v>
      </c>
      <c r="J551" s="49" t="str">
        <f>IFERROR(__xludf.DUMMYFUNCTION("""COMPUTED_VALUE"""),"")</f>
        <v/>
      </c>
      <c r="K551" s="49"/>
      <c r="L551" s="49" t="s">
        <v>255</v>
      </c>
      <c r="M551" s="49"/>
      <c r="N551" s="49"/>
      <c r="O551" s="49"/>
      <c r="P551" s="49"/>
      <c r="Q551" s="49"/>
      <c r="R551" s="49"/>
      <c r="S551" s="49"/>
      <c r="T551" s="49"/>
    </row>
    <row r="552">
      <c r="A552" s="49"/>
      <c r="B552" s="49"/>
      <c r="C552" s="51"/>
      <c r="D552" s="49"/>
      <c r="E552" s="49"/>
      <c r="F552" s="49"/>
      <c r="G552" s="49" t="str">
        <f>IFERROR(__xludf.DUMMYFUNCTION("""COMPUTED_VALUE"""),"#VALUE!")</f>
        <v>#VALUE!</v>
      </c>
      <c r="H552" s="49" t="str">
        <f>IFERROR(__xludf.DUMMYFUNCTION("""COMPUTED_VALUE"""),"")</f>
        <v/>
      </c>
      <c r="I552" s="49" t="str">
        <f>IFERROR(__xludf.DUMMYFUNCTION("""COMPUTED_VALUE"""),"#VALUE!")</f>
        <v>#VALUE!</v>
      </c>
      <c r="J552" s="49" t="str">
        <f>IFERROR(__xludf.DUMMYFUNCTION("""COMPUTED_VALUE"""),"")</f>
        <v/>
      </c>
      <c r="K552" s="49"/>
      <c r="L552" s="49" t="s">
        <v>255</v>
      </c>
      <c r="M552" s="49"/>
      <c r="N552" s="49"/>
      <c r="O552" s="49"/>
      <c r="P552" s="49"/>
      <c r="Q552" s="49"/>
      <c r="R552" s="49"/>
      <c r="S552" s="49"/>
      <c r="T552" s="49"/>
    </row>
    <row r="553">
      <c r="A553" s="49"/>
      <c r="B553" s="49"/>
      <c r="C553" s="51"/>
      <c r="D553" s="49"/>
      <c r="E553" s="49"/>
      <c r="F553" s="49"/>
      <c r="G553" s="49" t="str">
        <f>IFERROR(__xludf.DUMMYFUNCTION("""COMPUTED_VALUE"""),"#VALUE!")</f>
        <v>#VALUE!</v>
      </c>
      <c r="H553" s="49" t="str">
        <f>IFERROR(__xludf.DUMMYFUNCTION("""COMPUTED_VALUE"""),"")</f>
        <v/>
      </c>
      <c r="I553" s="49" t="str">
        <f>IFERROR(__xludf.DUMMYFUNCTION("""COMPUTED_VALUE"""),"#VALUE!")</f>
        <v>#VALUE!</v>
      </c>
      <c r="J553" s="49" t="str">
        <f>IFERROR(__xludf.DUMMYFUNCTION("""COMPUTED_VALUE"""),"")</f>
        <v/>
      </c>
      <c r="K553" s="49"/>
      <c r="L553" s="49" t="s">
        <v>255</v>
      </c>
      <c r="M553" s="49"/>
      <c r="N553" s="49"/>
      <c r="O553" s="49"/>
      <c r="P553" s="49"/>
      <c r="Q553" s="49"/>
      <c r="R553" s="49"/>
      <c r="S553" s="49"/>
      <c r="T553" s="49"/>
    </row>
    <row r="554">
      <c r="A554" s="49"/>
      <c r="B554" s="49"/>
      <c r="C554" s="51"/>
      <c r="D554" s="49"/>
      <c r="E554" s="49"/>
      <c r="F554" s="49"/>
      <c r="G554" s="49" t="str">
        <f>IFERROR(__xludf.DUMMYFUNCTION("""COMPUTED_VALUE"""),"#VALUE!")</f>
        <v>#VALUE!</v>
      </c>
      <c r="H554" s="49" t="str">
        <f>IFERROR(__xludf.DUMMYFUNCTION("""COMPUTED_VALUE"""),"")</f>
        <v/>
      </c>
      <c r="I554" s="49" t="str">
        <f>IFERROR(__xludf.DUMMYFUNCTION("""COMPUTED_VALUE"""),"#VALUE!")</f>
        <v>#VALUE!</v>
      </c>
      <c r="J554" s="49" t="str">
        <f>IFERROR(__xludf.DUMMYFUNCTION("""COMPUTED_VALUE"""),"")</f>
        <v/>
      </c>
      <c r="K554" s="49"/>
      <c r="L554" s="49" t="s">
        <v>255</v>
      </c>
      <c r="M554" s="49"/>
      <c r="N554" s="49"/>
      <c r="O554" s="49"/>
      <c r="P554" s="49"/>
      <c r="Q554" s="49"/>
      <c r="R554" s="49"/>
      <c r="S554" s="49"/>
      <c r="T554" s="49"/>
    </row>
    <row r="555">
      <c r="A555" s="49"/>
      <c r="B555" s="49"/>
      <c r="C555" s="51"/>
      <c r="D555" s="49"/>
      <c r="E555" s="49"/>
      <c r="F555" s="49"/>
      <c r="G555" s="49" t="str">
        <f>IFERROR(__xludf.DUMMYFUNCTION("""COMPUTED_VALUE"""),"#VALUE!")</f>
        <v>#VALUE!</v>
      </c>
      <c r="H555" s="49" t="str">
        <f>IFERROR(__xludf.DUMMYFUNCTION("""COMPUTED_VALUE"""),"")</f>
        <v/>
      </c>
      <c r="I555" s="49" t="str">
        <f>IFERROR(__xludf.DUMMYFUNCTION("""COMPUTED_VALUE"""),"#VALUE!")</f>
        <v>#VALUE!</v>
      </c>
      <c r="J555" s="49" t="str">
        <f>IFERROR(__xludf.DUMMYFUNCTION("""COMPUTED_VALUE"""),"")</f>
        <v/>
      </c>
      <c r="K555" s="49"/>
      <c r="L555" s="49" t="s">
        <v>255</v>
      </c>
      <c r="M555" s="49"/>
      <c r="N555" s="49"/>
      <c r="O555" s="49"/>
      <c r="P555" s="49"/>
      <c r="Q555" s="49"/>
      <c r="R555" s="49"/>
      <c r="S555" s="49"/>
      <c r="T555" s="49"/>
    </row>
    <row r="556">
      <c r="A556" s="49"/>
      <c r="B556" s="49"/>
      <c r="C556" s="51"/>
      <c r="D556" s="49"/>
      <c r="E556" s="49"/>
      <c r="F556" s="49"/>
      <c r="G556" s="49" t="str">
        <f>IFERROR(__xludf.DUMMYFUNCTION("""COMPUTED_VALUE"""),"#VALUE!")</f>
        <v>#VALUE!</v>
      </c>
      <c r="H556" s="49" t="str">
        <f>IFERROR(__xludf.DUMMYFUNCTION("""COMPUTED_VALUE"""),"")</f>
        <v/>
      </c>
      <c r="I556" s="49" t="str">
        <f>IFERROR(__xludf.DUMMYFUNCTION("""COMPUTED_VALUE"""),"#VALUE!")</f>
        <v>#VALUE!</v>
      </c>
      <c r="J556" s="49" t="str">
        <f>IFERROR(__xludf.DUMMYFUNCTION("""COMPUTED_VALUE"""),"")</f>
        <v/>
      </c>
      <c r="K556" s="49"/>
      <c r="L556" s="49" t="s">
        <v>255</v>
      </c>
      <c r="M556" s="49"/>
      <c r="N556" s="49"/>
      <c r="O556" s="49"/>
      <c r="P556" s="49"/>
      <c r="Q556" s="49"/>
      <c r="R556" s="49"/>
      <c r="S556" s="49"/>
      <c r="T556" s="49"/>
    </row>
    <row r="557">
      <c r="A557" s="49"/>
      <c r="B557" s="49"/>
      <c r="C557" s="51"/>
      <c r="D557" s="49"/>
      <c r="E557" s="49"/>
      <c r="F557" s="49"/>
      <c r="G557" s="49" t="str">
        <f>IFERROR(__xludf.DUMMYFUNCTION("""COMPUTED_VALUE"""),"#VALUE!")</f>
        <v>#VALUE!</v>
      </c>
      <c r="H557" s="49" t="str">
        <f>IFERROR(__xludf.DUMMYFUNCTION("""COMPUTED_VALUE"""),"")</f>
        <v/>
      </c>
      <c r="I557" s="49" t="str">
        <f>IFERROR(__xludf.DUMMYFUNCTION("""COMPUTED_VALUE"""),"#VALUE!")</f>
        <v>#VALUE!</v>
      </c>
      <c r="J557" s="49" t="str">
        <f>IFERROR(__xludf.DUMMYFUNCTION("""COMPUTED_VALUE"""),"")</f>
        <v/>
      </c>
      <c r="K557" s="49"/>
      <c r="L557" s="49" t="s">
        <v>255</v>
      </c>
      <c r="M557" s="49"/>
      <c r="N557" s="49"/>
      <c r="O557" s="49"/>
      <c r="P557" s="49"/>
      <c r="Q557" s="49"/>
      <c r="R557" s="49"/>
      <c r="S557" s="49"/>
      <c r="T557" s="49"/>
    </row>
    <row r="558">
      <c r="A558" s="49"/>
      <c r="B558" s="49"/>
      <c r="C558" s="51"/>
      <c r="D558" s="49"/>
      <c r="E558" s="49"/>
      <c r="F558" s="49"/>
      <c r="G558" s="49" t="str">
        <f>IFERROR(__xludf.DUMMYFUNCTION("""COMPUTED_VALUE"""),"#VALUE!")</f>
        <v>#VALUE!</v>
      </c>
      <c r="H558" s="49" t="str">
        <f>IFERROR(__xludf.DUMMYFUNCTION("""COMPUTED_VALUE"""),"")</f>
        <v/>
      </c>
      <c r="I558" s="49" t="str">
        <f>IFERROR(__xludf.DUMMYFUNCTION("""COMPUTED_VALUE"""),"#VALUE!")</f>
        <v>#VALUE!</v>
      </c>
      <c r="J558" s="49" t="str">
        <f>IFERROR(__xludf.DUMMYFUNCTION("""COMPUTED_VALUE"""),"")</f>
        <v/>
      </c>
      <c r="K558" s="49"/>
      <c r="L558" s="49" t="s">
        <v>255</v>
      </c>
      <c r="M558" s="49"/>
      <c r="N558" s="49"/>
      <c r="O558" s="49"/>
      <c r="P558" s="49"/>
      <c r="Q558" s="49"/>
      <c r="R558" s="49"/>
      <c r="S558" s="49"/>
      <c r="T558" s="49"/>
    </row>
    <row r="559">
      <c r="A559" s="49"/>
      <c r="B559" s="49"/>
      <c r="C559" s="51"/>
      <c r="D559" s="49"/>
      <c r="E559" s="49"/>
      <c r="F559" s="49"/>
      <c r="G559" s="49" t="str">
        <f>IFERROR(__xludf.DUMMYFUNCTION("""COMPUTED_VALUE"""),"#VALUE!")</f>
        <v>#VALUE!</v>
      </c>
      <c r="H559" s="49" t="str">
        <f>IFERROR(__xludf.DUMMYFUNCTION("""COMPUTED_VALUE"""),"")</f>
        <v/>
      </c>
      <c r="I559" s="49" t="str">
        <f>IFERROR(__xludf.DUMMYFUNCTION("""COMPUTED_VALUE"""),"#VALUE!")</f>
        <v>#VALUE!</v>
      </c>
      <c r="J559" s="49" t="str">
        <f>IFERROR(__xludf.DUMMYFUNCTION("""COMPUTED_VALUE"""),"")</f>
        <v/>
      </c>
      <c r="K559" s="49"/>
      <c r="L559" s="49" t="s">
        <v>255</v>
      </c>
      <c r="M559" s="49"/>
      <c r="N559" s="49"/>
      <c r="O559" s="49"/>
      <c r="P559" s="49"/>
      <c r="Q559" s="49"/>
      <c r="R559" s="49"/>
      <c r="S559" s="49"/>
      <c r="T559" s="49"/>
    </row>
    <row r="560">
      <c r="A560" s="49"/>
      <c r="B560" s="49"/>
      <c r="C560" s="51"/>
      <c r="D560" s="49"/>
      <c r="E560" s="49"/>
      <c r="F560" s="49"/>
      <c r="G560" s="49" t="str">
        <f>IFERROR(__xludf.DUMMYFUNCTION("""COMPUTED_VALUE"""),"#VALUE!")</f>
        <v>#VALUE!</v>
      </c>
      <c r="H560" s="49" t="str">
        <f>IFERROR(__xludf.DUMMYFUNCTION("""COMPUTED_VALUE"""),"")</f>
        <v/>
      </c>
      <c r="I560" s="49" t="str">
        <f>IFERROR(__xludf.DUMMYFUNCTION("""COMPUTED_VALUE"""),"#VALUE!")</f>
        <v>#VALUE!</v>
      </c>
      <c r="J560" s="49" t="str">
        <f>IFERROR(__xludf.DUMMYFUNCTION("""COMPUTED_VALUE"""),"")</f>
        <v/>
      </c>
      <c r="K560" s="49"/>
      <c r="L560" s="49" t="s">
        <v>255</v>
      </c>
      <c r="M560" s="49"/>
      <c r="N560" s="49"/>
      <c r="O560" s="49"/>
      <c r="P560" s="49"/>
      <c r="Q560" s="49"/>
      <c r="R560" s="49"/>
      <c r="S560" s="49"/>
      <c r="T560" s="49"/>
    </row>
    <row r="561">
      <c r="A561" s="49"/>
      <c r="B561" s="49"/>
      <c r="C561" s="51"/>
      <c r="D561" s="49"/>
      <c r="E561" s="49"/>
      <c r="F561" s="49"/>
      <c r="G561" s="49" t="str">
        <f>IFERROR(__xludf.DUMMYFUNCTION("""COMPUTED_VALUE"""),"#VALUE!")</f>
        <v>#VALUE!</v>
      </c>
      <c r="H561" s="49" t="str">
        <f>IFERROR(__xludf.DUMMYFUNCTION("""COMPUTED_VALUE"""),"")</f>
        <v/>
      </c>
      <c r="I561" s="49" t="str">
        <f>IFERROR(__xludf.DUMMYFUNCTION("""COMPUTED_VALUE"""),"#VALUE!")</f>
        <v>#VALUE!</v>
      </c>
      <c r="J561" s="49" t="str">
        <f>IFERROR(__xludf.DUMMYFUNCTION("""COMPUTED_VALUE"""),"")</f>
        <v/>
      </c>
      <c r="K561" s="49"/>
      <c r="L561" s="49" t="s">
        <v>255</v>
      </c>
      <c r="M561" s="49"/>
      <c r="N561" s="49"/>
      <c r="O561" s="49"/>
      <c r="P561" s="49"/>
      <c r="Q561" s="49"/>
      <c r="R561" s="49"/>
      <c r="S561" s="49"/>
      <c r="T561" s="49"/>
    </row>
    <row r="562">
      <c r="A562" s="49"/>
      <c r="B562" s="49"/>
      <c r="C562" s="51"/>
      <c r="D562" s="49"/>
      <c r="E562" s="49"/>
      <c r="F562" s="49"/>
      <c r="G562" s="49" t="str">
        <f>IFERROR(__xludf.DUMMYFUNCTION("""COMPUTED_VALUE"""),"#VALUE!")</f>
        <v>#VALUE!</v>
      </c>
      <c r="H562" s="49" t="str">
        <f>IFERROR(__xludf.DUMMYFUNCTION("""COMPUTED_VALUE"""),"")</f>
        <v/>
      </c>
      <c r="I562" s="49" t="str">
        <f>IFERROR(__xludf.DUMMYFUNCTION("""COMPUTED_VALUE"""),"#VALUE!")</f>
        <v>#VALUE!</v>
      </c>
      <c r="J562" s="49" t="str">
        <f>IFERROR(__xludf.DUMMYFUNCTION("""COMPUTED_VALUE"""),"")</f>
        <v/>
      </c>
      <c r="K562" s="49"/>
      <c r="L562" s="49" t="s">
        <v>255</v>
      </c>
      <c r="M562" s="49"/>
      <c r="N562" s="49"/>
      <c r="O562" s="49"/>
      <c r="P562" s="49"/>
      <c r="Q562" s="49"/>
      <c r="R562" s="49"/>
      <c r="S562" s="49"/>
      <c r="T562" s="49"/>
    </row>
    <row r="563">
      <c r="A563" s="49"/>
      <c r="B563" s="49"/>
      <c r="C563" s="51"/>
      <c r="D563" s="49"/>
      <c r="E563" s="49"/>
      <c r="F563" s="49"/>
      <c r="G563" s="49" t="str">
        <f>IFERROR(__xludf.DUMMYFUNCTION("""COMPUTED_VALUE"""),"#VALUE!")</f>
        <v>#VALUE!</v>
      </c>
      <c r="H563" s="49" t="str">
        <f>IFERROR(__xludf.DUMMYFUNCTION("""COMPUTED_VALUE"""),"")</f>
        <v/>
      </c>
      <c r="I563" s="49" t="str">
        <f>IFERROR(__xludf.DUMMYFUNCTION("""COMPUTED_VALUE"""),"#VALUE!")</f>
        <v>#VALUE!</v>
      </c>
      <c r="J563" s="49" t="str">
        <f>IFERROR(__xludf.DUMMYFUNCTION("""COMPUTED_VALUE"""),"")</f>
        <v/>
      </c>
      <c r="K563" s="49"/>
      <c r="L563" s="49" t="s">
        <v>255</v>
      </c>
      <c r="M563" s="49"/>
      <c r="N563" s="49"/>
      <c r="O563" s="49"/>
      <c r="P563" s="49"/>
      <c r="Q563" s="49"/>
      <c r="R563" s="49"/>
      <c r="S563" s="49"/>
      <c r="T563" s="49"/>
    </row>
    <row r="564">
      <c r="A564" s="49"/>
      <c r="B564" s="49"/>
      <c r="C564" s="51"/>
      <c r="D564" s="49"/>
      <c r="E564" s="49"/>
      <c r="F564" s="49"/>
      <c r="G564" s="49" t="str">
        <f>IFERROR(__xludf.DUMMYFUNCTION("""COMPUTED_VALUE"""),"#VALUE!")</f>
        <v>#VALUE!</v>
      </c>
      <c r="H564" s="49" t="str">
        <f>IFERROR(__xludf.DUMMYFUNCTION("""COMPUTED_VALUE"""),"")</f>
        <v/>
      </c>
      <c r="I564" s="49" t="str">
        <f>IFERROR(__xludf.DUMMYFUNCTION("""COMPUTED_VALUE"""),"#VALUE!")</f>
        <v>#VALUE!</v>
      </c>
      <c r="J564" s="49" t="str">
        <f>IFERROR(__xludf.DUMMYFUNCTION("""COMPUTED_VALUE"""),"")</f>
        <v/>
      </c>
      <c r="K564" s="49"/>
      <c r="L564" s="49" t="s">
        <v>255</v>
      </c>
      <c r="M564" s="49"/>
      <c r="N564" s="49"/>
      <c r="O564" s="49"/>
      <c r="P564" s="49"/>
      <c r="Q564" s="49"/>
      <c r="R564" s="49"/>
      <c r="S564" s="49"/>
      <c r="T564" s="49"/>
    </row>
  </sheetData>
  <conditionalFormatting sqref="O2:O46">
    <cfRule type="containsText" dxfId="4" priority="1" operator="containsText" text="YES">
      <formula>NOT(ISERROR(SEARCH(("YES"),(O2))))</formula>
    </cfRule>
  </conditionalFormatting>
  <conditionalFormatting sqref="O2:O46">
    <cfRule type="cellIs" dxfId="5" priority="2" operator="equal">
      <formula>"NO"</formula>
    </cfRule>
  </conditionalFormatting>
  <conditionalFormatting sqref="P2:P46">
    <cfRule type="cellIs" dxfId="4" priority="3" operator="equal">
      <formula>"AVAILABLE"</formula>
    </cfRule>
  </conditionalFormatting>
  <conditionalFormatting sqref="P2:P46">
    <cfRule type="cellIs" dxfId="5" priority="4" operator="equal">
      <formula>"NOT AVAILABLE"</formula>
    </cfRule>
  </conditionalFormatting>
  <conditionalFormatting sqref="Q2:Q46">
    <cfRule type="cellIs" dxfId="4" priority="5" operator="equal">
      <formula>"AVAILABLE"</formula>
    </cfRule>
  </conditionalFormatting>
  <conditionalFormatting sqref="Q2:Q46">
    <cfRule type="cellIs" dxfId="6" priority="6" operator="equal">
      <formula>"UPLOADING"</formula>
    </cfRule>
  </conditionalFormatting>
  <conditionalFormatting sqref="Q2:Q46">
    <cfRule type="cellIs" dxfId="5" priority="7" operator="equal">
      <formula>"NOT AVAILABLE"</formula>
    </cfRule>
  </conditionalFormatting>
  <dataValidations>
    <dataValidation type="list" allowBlank="1" sqref="O2:O46">
      <formula1>"YES,NO"</formula1>
    </dataValidation>
    <dataValidation type="list" allowBlank="1" sqref="P2:P46">
      <formula1>"AVAILABLE,NOT AVAILABLE"</formula1>
    </dataValidation>
    <dataValidation type="list" allowBlank="1" sqref="Q2:Q46">
      <formula1>"AVAILABLE,UPLOADING,NOT AVAILABLE"</formula1>
    </dataValidation>
  </dataValidations>
  <drawing r:id="rId1"/>
  <tableParts count="1">
    <tablePart r:id="rId3"/>
  </tableParts>
</worksheet>
</file>