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MF\FPR1\22_vaja\misc wip\"/>
    </mc:Choice>
  </mc:AlternateContent>
  <xr:revisionPtr revIDLastSave="0" documentId="13_ncr:1_{FA375D2F-7DD2-42EB-AF53-B4E7B11D1D77}" xr6:coauthVersionLast="47" xr6:coauthVersionMax="47" xr10:uidLastSave="{00000000-0000-0000-0000-000000000000}"/>
  <bookViews>
    <workbookView xWindow="-26423" yWindow="-8130" windowWidth="21601" windowHeight="11385" activeTab="2" xr2:uid="{9825AFD9-331D-4810-8938-D83217FBC72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3" l="1"/>
  <c r="B26" i="3"/>
  <c r="B27" i="3" s="1"/>
  <c r="C27" i="3"/>
  <c r="B25" i="3"/>
  <c r="T12" i="3"/>
  <c r="T8" i="3"/>
  <c r="T9" i="3"/>
  <c r="T10" i="3"/>
  <c r="T7" i="3"/>
  <c r="D18" i="3"/>
  <c r="B20" i="3"/>
  <c r="B19" i="3"/>
  <c r="E18" i="3"/>
  <c r="F18" i="3"/>
  <c r="G18" i="3"/>
  <c r="J17" i="3"/>
  <c r="G17" i="3"/>
  <c r="E17" i="3"/>
  <c r="F17" i="3"/>
  <c r="D17" i="3"/>
  <c r="E16" i="3"/>
  <c r="B18" i="3" s="1"/>
  <c r="F16" i="3"/>
  <c r="G16" i="3"/>
  <c r="D16" i="3"/>
  <c r="D12" i="3"/>
  <c r="D13" i="3"/>
  <c r="P12" i="3"/>
  <c r="Q12" i="3"/>
  <c r="R12" i="3"/>
  <c r="O12" i="3"/>
  <c r="P7" i="3"/>
  <c r="P11" i="3"/>
  <c r="Q11" i="3"/>
  <c r="R11" i="3"/>
  <c r="O11" i="3"/>
  <c r="P10" i="3"/>
  <c r="Q10" i="3"/>
  <c r="R10" i="3"/>
  <c r="O10" i="3"/>
  <c r="P8" i="3"/>
  <c r="Q8" i="3"/>
  <c r="R8" i="3"/>
  <c r="O8" i="3"/>
  <c r="R7" i="3"/>
  <c r="Q7" i="3"/>
  <c r="O7" i="3"/>
  <c r="P6" i="3"/>
  <c r="Q6" i="3"/>
  <c r="R6" i="3"/>
  <c r="O6" i="3"/>
  <c r="Q3" i="3"/>
  <c r="P3" i="3"/>
  <c r="O3" i="3"/>
  <c r="E15" i="3"/>
  <c r="F15" i="3"/>
  <c r="G15" i="3"/>
  <c r="D15" i="3"/>
  <c r="E14" i="3"/>
  <c r="F14" i="3"/>
  <c r="G14" i="3"/>
  <c r="D14" i="3"/>
  <c r="L6" i="3"/>
  <c r="K6" i="3"/>
  <c r="J6" i="3"/>
  <c r="E13" i="3"/>
  <c r="F13" i="3"/>
  <c r="G13" i="3"/>
  <c r="E12" i="3"/>
  <c r="F12" i="3"/>
  <c r="G12" i="3"/>
  <c r="E11" i="3"/>
  <c r="F11" i="3"/>
  <c r="G11" i="3"/>
  <c r="D11" i="3"/>
  <c r="D10" i="3"/>
  <c r="E10" i="3"/>
  <c r="F10" i="3"/>
  <c r="G10" i="3"/>
  <c r="E8" i="3"/>
  <c r="F8" i="3"/>
  <c r="G8" i="3"/>
  <c r="D8" i="3"/>
  <c r="M24" i="2"/>
  <c r="L24" i="2"/>
  <c r="N23" i="2"/>
  <c r="J6" i="2"/>
  <c r="K17" i="2"/>
  <c r="J9" i="2"/>
  <c r="J8" i="2"/>
  <c r="J7" i="2"/>
  <c r="I9" i="2"/>
  <c r="N9" i="2" s="1"/>
  <c r="I8" i="2"/>
  <c r="N8" i="2" s="1"/>
  <c r="I7" i="2"/>
  <c r="K7" i="2" s="1"/>
  <c r="P7" i="2" s="1"/>
  <c r="I6" i="2"/>
  <c r="N6" i="2" s="1"/>
  <c r="I12" i="2" s="1"/>
  <c r="I13" i="2" s="1"/>
  <c r="N7" i="2"/>
  <c r="K9" i="2"/>
  <c r="P9" i="2" s="1"/>
  <c r="O9" i="2" s="1"/>
  <c r="F17" i="1"/>
  <c r="I11" i="1"/>
  <c r="H11" i="1"/>
  <c r="J11" i="1"/>
  <c r="H12" i="1"/>
  <c r="J12" i="1"/>
  <c r="I12" i="1"/>
  <c r="G18" i="1"/>
  <c r="G17" i="1"/>
  <c r="G13" i="1"/>
  <c r="F13" i="1"/>
  <c r="G7" i="1"/>
  <c r="F7" i="1"/>
  <c r="J13" i="1"/>
  <c r="I13" i="1"/>
  <c r="K7" i="1"/>
  <c r="K5" i="1"/>
  <c r="I5" i="1"/>
  <c r="K6" i="1" s="1"/>
  <c r="I6" i="1"/>
  <c r="F6" i="1"/>
  <c r="G6" i="1"/>
  <c r="E6" i="1"/>
  <c r="F4" i="1"/>
  <c r="O12" i="2" l="1"/>
  <c r="L16" i="2" s="1"/>
  <c r="L17" i="2" s="1"/>
  <c r="L18" i="2" s="1"/>
  <c r="K6" i="2"/>
  <c r="P6" i="2" s="1"/>
  <c r="K8" i="2"/>
  <c r="P8" i="2" s="1"/>
  <c r="O8" i="2" s="1"/>
  <c r="O7" i="2"/>
  <c r="L19" i="2" l="1"/>
  <c r="O6" i="2"/>
  <c r="P12" i="2" s="1"/>
  <c r="Q12" i="2" s="1"/>
  <c r="J12" i="2"/>
  <c r="J13" i="2" s="1"/>
  <c r="M16" i="2" l="1"/>
  <c r="M17" i="2" s="1"/>
  <c r="K18" i="2" l="1"/>
  <c r="K19" i="2" s="1"/>
  <c r="L20" i="2" s="1"/>
  <c r="M18" i="2"/>
  <c r="M19" i="2" s="1"/>
  <c r="K20" i="2" l="1"/>
  <c r="M20" i="2"/>
</calcChain>
</file>

<file path=xl/sharedStrings.xml><?xml version="1.0" encoding="utf-8"?>
<sst xmlns="http://schemas.openxmlformats.org/spreadsheetml/2006/main" count="85" uniqueCount="57">
  <si>
    <t>RČ</t>
  </si>
  <si>
    <t>NP</t>
  </si>
  <si>
    <t>ABS N</t>
  </si>
  <si>
    <t>MER</t>
  </si>
  <si>
    <t>ABSN</t>
  </si>
  <si>
    <t>REL  N</t>
  </si>
  <si>
    <t>57 * 10^(-5)</t>
  </si>
  <si>
    <t>r1</t>
  </si>
  <si>
    <t>r2</t>
  </si>
  <si>
    <t>rg</t>
  </si>
  <si>
    <t>h</t>
  </si>
  <si>
    <t>ABS</t>
  </si>
  <si>
    <t>REL</t>
  </si>
  <si>
    <t>M</t>
  </si>
  <si>
    <t>^2</t>
  </si>
  <si>
    <t>r12r22</t>
  </si>
  <si>
    <t>h*r12r22</t>
  </si>
  <si>
    <t>r22-r12</t>
  </si>
  <si>
    <t>/</t>
  </si>
  <si>
    <t>K</t>
  </si>
  <si>
    <t>Nrel</t>
  </si>
  <si>
    <t>Nabs</t>
  </si>
  <si>
    <t>M1</t>
  </si>
  <si>
    <t>O1</t>
  </si>
  <si>
    <t>O2</t>
  </si>
  <si>
    <t>O3</t>
  </si>
  <si>
    <t>O4</t>
  </si>
  <si>
    <t>OAVG</t>
  </si>
  <si>
    <t>M2</t>
  </si>
  <si>
    <t>M3</t>
  </si>
  <si>
    <t>M4</t>
  </si>
  <si>
    <t>ETA</t>
  </si>
  <si>
    <t>TOTAL ETA AVG</t>
  </si>
  <si>
    <t>DOAVG</t>
  </si>
  <si>
    <t>RELDOAVG</t>
  </si>
  <si>
    <t>KO</t>
  </si>
  <si>
    <t>DKO</t>
  </si>
  <si>
    <t xml:space="preserve">ABS </t>
  </si>
  <si>
    <t>r/ko</t>
  </si>
  <si>
    <t>d(r/ko)</t>
  </si>
  <si>
    <t>DETA</t>
  </si>
  <si>
    <t>mg</t>
  </si>
  <si>
    <t>TOTAL DETA AVG</t>
  </si>
  <si>
    <t>O</t>
  </si>
  <si>
    <t>G</t>
  </si>
  <si>
    <t>Mtr</t>
  </si>
  <si>
    <t>mgr</t>
  </si>
  <si>
    <t>Dmgr</t>
  </si>
  <si>
    <t>RDmgr</t>
  </si>
  <si>
    <t>R-Mtr</t>
  </si>
  <si>
    <t>D(R-mtr)</t>
  </si>
  <si>
    <t>^RD</t>
  </si>
  <si>
    <t>ADETA</t>
  </si>
  <si>
    <t>TOTAL ABS DETA AVG</t>
  </si>
  <si>
    <t xml:space="preserve">Pa*s </t>
  </si>
  <si>
    <t>$</t>
  </si>
  <si>
    <t>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</si>
</sst>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0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3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0" xfId="1"/>
    <xf numFmtId="0" fontId="0" fillId="0" borderId="16" xfId="0" applyBorder="1"/>
    <xf numFmtId="0" fontId="0" fillId="0" borderId="17" xfId="0" applyBorder="1"/>
    <xf numFmtId="0" fontId="0" fillId="0" borderId="13" xfId="0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26" xfId="0" applyBorder="1" applyAlignment="1">
      <alignment horizontal="center" vertical="center"/>
    </xf>
    <xf numFmtId="166" fontId="0" fillId="0" borderId="14" xfId="0" applyNumberFormat="1" applyBorder="1"/>
    <xf numFmtId="166" fontId="0" fillId="0" borderId="19" xfId="0" applyNumberFormat="1" applyBorder="1"/>
    <xf numFmtId="0" fontId="0" fillId="0" borderId="27" xfId="0" applyBorder="1"/>
    <xf numFmtId="166" fontId="0" fillId="0" borderId="28" xfId="0" applyNumberFormat="1" applyBorder="1"/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1" fillId="2" borderId="16" xfId="1" applyBorder="1" applyAlignment="1">
      <alignment horizontal="center" vertical="center"/>
    </xf>
    <xf numFmtId="2" fontId="1" fillId="2" borderId="17" xfId="1" applyNumberFormat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1" fillId="2" borderId="18" xfId="1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2" fontId="1" fillId="2" borderId="14" xfId="1" applyNumberFormat="1" applyBorder="1" applyAlignment="1">
      <alignment horizontal="center" vertical="center"/>
    </xf>
    <xf numFmtId="0" fontId="1" fillId="2" borderId="19" xfId="1" applyBorder="1" applyAlignment="1">
      <alignment horizontal="center" vertical="center"/>
    </xf>
    <xf numFmtId="0" fontId="1" fillId="2" borderId="21" xfId="1" applyBorder="1" applyAlignment="1">
      <alignment horizontal="center" vertical="center"/>
    </xf>
    <xf numFmtId="2" fontId="1" fillId="2" borderId="22" xfId="1" applyNumberFormat="1" applyBorder="1" applyAlignment="1">
      <alignment horizontal="center" vertical="center"/>
    </xf>
    <xf numFmtId="0" fontId="1" fillId="2" borderId="22" xfId="1" applyBorder="1" applyAlignment="1">
      <alignment horizontal="center" vertical="center"/>
    </xf>
    <xf numFmtId="0" fontId="1" fillId="2" borderId="23" xfId="1" applyBorder="1" applyAlignment="1">
      <alignment horizontal="center" vertical="center"/>
    </xf>
    <xf numFmtId="2" fontId="1" fillId="2" borderId="15" xfId="1" applyNumberFormat="1" applyBorder="1" applyAlignment="1">
      <alignment horizontal="center" vertical="center"/>
    </xf>
    <xf numFmtId="0" fontId="1" fillId="2" borderId="24" xfId="1" applyBorder="1" applyAlignment="1">
      <alignment horizontal="center" vertical="center"/>
    </xf>
    <xf numFmtId="0" fontId="1" fillId="2" borderId="24" xfId="1" applyBorder="1"/>
    <xf numFmtId="0" fontId="1" fillId="2" borderId="25" xfId="1" applyBorder="1"/>
    <xf numFmtId="165" fontId="0" fillId="0" borderId="0" xfId="0" applyNumberFormat="1" applyAlignment="1">
      <alignment horizontal="center"/>
    </xf>
    <xf numFmtId="0" fontId="2" fillId="3" borderId="20" xfId="2" applyBorder="1" applyAlignment="1">
      <alignment horizontal="center" vertical="center"/>
    </xf>
    <xf numFmtId="0" fontId="2" fillId="3" borderId="28" xfId="2" applyBorder="1"/>
    <xf numFmtId="0" fontId="2" fillId="3" borderId="14" xfId="2" applyBorder="1"/>
    <xf numFmtId="0" fontId="2" fillId="3" borderId="19" xfId="2" applyBorder="1"/>
    <xf numFmtId="0" fontId="2" fillId="3" borderId="26" xfId="2" applyBorder="1" applyAlignment="1">
      <alignment horizontal="center" vertical="center"/>
    </xf>
    <xf numFmtId="166" fontId="2" fillId="3" borderId="29" xfId="2" applyNumberFormat="1" applyBorder="1"/>
    <xf numFmtId="166" fontId="2" fillId="3" borderId="22" xfId="2" applyNumberFormat="1" applyBorder="1"/>
    <xf numFmtId="166" fontId="2" fillId="3" borderId="23" xfId="2" applyNumberFormat="1" applyBorder="1"/>
    <xf numFmtId="0" fontId="3" fillId="4" borderId="0" xfId="3"/>
    <xf numFmtId="165" fontId="3" fillId="4" borderId="0" xfId="3" applyNumberFormat="1"/>
    <xf numFmtId="166" fontId="1" fillId="2" borderId="30" xfId="1" applyNumberFormat="1" applyBorder="1"/>
    <xf numFmtId="166" fontId="1" fillId="2" borderId="27" xfId="1" applyNumberFormat="1" applyBorder="1"/>
    <xf numFmtId="166" fontId="3" fillId="4" borderId="0" xfId="3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00F1-15AA-4380-B6C8-C0F963723109}">
  <dimension ref="E1:L18"/>
  <sheetViews>
    <sheetView workbookViewId="0">
      <selection activeCell="F17" sqref="F17:G17"/>
    </sheetView>
  </sheetViews>
  <sheetFormatPr defaultRowHeight="15" x14ac:dyDescent="0.25"/>
  <cols>
    <col min="6" max="6" width="12" bestFit="1" customWidth="1"/>
    <col min="7" max="7" width="11.7109375" customWidth="1"/>
    <col min="8" max="9" width="12" bestFit="1" customWidth="1"/>
    <col min="11" max="11" width="10" bestFit="1" customWidth="1"/>
  </cols>
  <sheetData>
    <row r="1" spans="5:12" ht="15.75" thickBot="1" x14ac:dyDescent="0.3"/>
    <row r="2" spans="5:12" x14ac:dyDescent="0.25">
      <c r="F2" t="s">
        <v>0</v>
      </c>
      <c r="G2" t="s">
        <v>1</v>
      </c>
      <c r="H2" s="2"/>
      <c r="I2" s="3" t="s">
        <v>0</v>
      </c>
      <c r="J2" s="3"/>
      <c r="K2" s="4" t="s">
        <v>1</v>
      </c>
    </row>
    <row r="3" spans="5:12" x14ac:dyDescent="0.25">
      <c r="H3" s="5"/>
      <c r="K3" s="6"/>
    </row>
    <row r="4" spans="5:12" x14ac:dyDescent="0.25">
      <c r="F4">
        <f>0.05*9.81*26.5/1000</f>
        <v>1.2998250000000001E-2</v>
      </c>
      <c r="H4" s="5"/>
      <c r="K4" s="6"/>
    </row>
    <row r="5" spans="5:12" ht="15.75" thickBot="1" x14ac:dyDescent="0.3">
      <c r="E5">
        <v>21.2</v>
      </c>
      <c r="F5">
        <v>21.5</v>
      </c>
      <c r="G5">
        <v>21.8</v>
      </c>
      <c r="H5" s="5"/>
      <c r="I5">
        <f>26.5/1000</f>
        <v>2.6499999999999999E-2</v>
      </c>
      <c r="J5">
        <v>1E-4</v>
      </c>
      <c r="K5" s="6">
        <f>J5/I5</f>
        <v>3.7735849056603778E-3</v>
      </c>
    </row>
    <row r="6" spans="5:12" ht="15.75" thickBot="1" x14ac:dyDescent="0.3">
      <c r="E6">
        <f>$F$4/E5</f>
        <v>6.1312500000000006E-4</v>
      </c>
      <c r="F6">
        <f t="shared" ref="F6:G6" si="0">$F$4/F5</f>
        <v>6.045697674418605E-4</v>
      </c>
      <c r="G6">
        <f t="shared" si="0"/>
        <v>5.9624999999999999E-4</v>
      </c>
      <c r="H6" s="10" t="s">
        <v>3</v>
      </c>
      <c r="I6" s="11">
        <f>I5^2</f>
        <v>7.0224999999999997E-4</v>
      </c>
      <c r="J6" s="10" t="s">
        <v>5</v>
      </c>
      <c r="K6" s="11">
        <f>K5*2</f>
        <v>7.5471698113207556E-3</v>
      </c>
    </row>
    <row r="7" spans="5:12" ht="15.75" thickBot="1" x14ac:dyDescent="0.3">
      <c r="E7" s="2" t="s">
        <v>3</v>
      </c>
      <c r="F7" s="3">
        <f>AVERAGE($E$6,$G$6)</f>
        <v>6.0468749999999997E-4</v>
      </c>
      <c r="G7" s="4">
        <f>$F$7-$G$6</f>
        <v>8.4374999999999815E-6</v>
      </c>
      <c r="H7" s="5"/>
      <c r="J7" s="10" t="s">
        <v>2</v>
      </c>
      <c r="K7" s="11">
        <f>K6*I6</f>
        <v>5.3000000000000001E-6</v>
      </c>
    </row>
    <row r="8" spans="5:12" ht="15.75" thickBot="1" x14ac:dyDescent="0.3">
      <c r="E8" s="7"/>
      <c r="F8" s="8"/>
      <c r="G8" s="9" t="s">
        <v>4</v>
      </c>
      <c r="H8" s="7"/>
      <c r="I8" s="8"/>
      <c r="J8" s="8"/>
      <c r="K8" s="9"/>
    </row>
    <row r="11" spans="5:12" x14ac:dyDescent="0.25">
      <c r="H11">
        <f>I6-K7</f>
        <v>6.9695E-4</v>
      </c>
      <c r="I11">
        <f>I6</f>
        <v>7.0224999999999997E-4</v>
      </c>
      <c r="J11">
        <f>I11+K7</f>
        <v>7.0754999999999993E-4</v>
      </c>
      <c r="L11">
        <v>0.05</v>
      </c>
    </row>
    <row r="12" spans="5:12" ht="15.75" thickBot="1" x14ac:dyDescent="0.3">
      <c r="H12">
        <f>$L$11*H11</f>
        <v>3.4847500000000001E-5</v>
      </c>
      <c r="I12">
        <f>$L$11*I11</f>
        <v>3.51125E-5</v>
      </c>
      <c r="J12">
        <f>$L$11*J11</f>
        <v>3.5377499999999998E-5</v>
      </c>
    </row>
    <row r="13" spans="5:12" x14ac:dyDescent="0.25">
      <c r="E13" s="2" t="s">
        <v>3</v>
      </c>
      <c r="F13" s="3">
        <f>AVERAGE($E$6,$G$6)</f>
        <v>6.0468749999999997E-4</v>
      </c>
      <c r="G13" s="4">
        <f>$F$7-$G$6</f>
        <v>8.4374999999999815E-6</v>
      </c>
      <c r="H13" s="2" t="s">
        <v>3</v>
      </c>
      <c r="I13" s="3">
        <f>I12</f>
        <v>3.51125E-5</v>
      </c>
      <c r="J13" s="4">
        <f>J12-I13</f>
        <v>2.6499999999999831E-7</v>
      </c>
    </row>
    <row r="14" spans="5:12" ht="15.75" thickBot="1" x14ac:dyDescent="0.3">
      <c r="E14" s="7"/>
      <c r="F14" s="8"/>
      <c r="G14" s="9" t="s">
        <v>4</v>
      </c>
      <c r="H14" s="7"/>
      <c r="I14" s="8"/>
      <c r="J14" s="9" t="s">
        <v>4</v>
      </c>
    </row>
    <row r="17" spans="6:7" x14ac:dyDescent="0.25">
      <c r="F17">
        <f>F13-I13</f>
        <v>5.6957500000000001E-4</v>
      </c>
      <c r="G17">
        <f>1*10^(-5)</f>
        <v>1.0000000000000001E-5</v>
      </c>
    </row>
    <row r="18" spans="6:7" x14ac:dyDescent="0.25">
      <c r="F18" t="s">
        <v>6</v>
      </c>
      <c r="G18">
        <f>G17*10^5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4E0E-33A8-4282-97D4-DD9DC65FC253}">
  <dimension ref="H5:Q24"/>
  <sheetViews>
    <sheetView workbookViewId="0">
      <selection activeCell="L23" sqref="L23"/>
    </sheetView>
  </sheetViews>
  <sheetFormatPr defaultRowHeight="15" x14ac:dyDescent="0.25"/>
  <cols>
    <col min="7" max="12" width="12" bestFit="1" customWidth="1"/>
    <col min="13" max="14" width="12.7109375" bestFit="1" customWidth="1"/>
    <col min="15" max="15" width="11" bestFit="1" customWidth="1"/>
    <col min="16" max="17" width="12" bestFit="1" customWidth="1"/>
  </cols>
  <sheetData>
    <row r="5" spans="8:17" x14ac:dyDescent="0.25">
      <c r="I5" t="s">
        <v>13</v>
      </c>
      <c r="J5" t="s">
        <v>11</v>
      </c>
      <c r="K5" t="s">
        <v>12</v>
      </c>
      <c r="M5" t="s">
        <v>14</v>
      </c>
      <c r="N5" t="s">
        <v>13</v>
      </c>
      <c r="O5" t="s">
        <v>11</v>
      </c>
      <c r="P5" t="s">
        <v>12</v>
      </c>
    </row>
    <row r="6" spans="8:17" x14ac:dyDescent="0.25">
      <c r="H6" t="s">
        <v>7</v>
      </c>
      <c r="I6">
        <f>30/1000</f>
        <v>0.03</v>
      </c>
      <c r="J6">
        <f>0.05/1000</f>
        <v>5.0000000000000002E-5</v>
      </c>
      <c r="K6">
        <f>J6/I6</f>
        <v>1.6666666666666668E-3</v>
      </c>
      <c r="N6">
        <f>I6^2</f>
        <v>8.9999999999999998E-4</v>
      </c>
      <c r="O6">
        <f>P6*N6</f>
        <v>3.0000000000000001E-6</v>
      </c>
      <c r="P6">
        <f>K6*2</f>
        <v>3.3333333333333335E-3</v>
      </c>
    </row>
    <row r="7" spans="8:17" x14ac:dyDescent="0.25">
      <c r="H7" t="s">
        <v>8</v>
      </c>
      <c r="I7">
        <f>34.7/1000</f>
        <v>3.4700000000000002E-2</v>
      </c>
      <c r="J7">
        <f>0.05/1000</f>
        <v>5.0000000000000002E-5</v>
      </c>
      <c r="K7">
        <f t="shared" ref="K7:K9" si="0">J7/I7</f>
        <v>1.440922190201729E-3</v>
      </c>
      <c r="N7">
        <f t="shared" ref="N7:N9" si="1">I7^2</f>
        <v>1.2040900000000001E-3</v>
      </c>
      <c r="O7">
        <f t="shared" ref="O7:O9" si="2">P7*N7</f>
        <v>3.4700000000000002E-6</v>
      </c>
      <c r="P7">
        <f t="shared" ref="P7:P9" si="3">K7*2</f>
        <v>2.881844380403458E-3</v>
      </c>
    </row>
    <row r="8" spans="8:17" x14ac:dyDescent="0.25">
      <c r="H8" t="s">
        <v>9</v>
      </c>
      <c r="I8">
        <f>23.5/1000</f>
        <v>2.35E-2</v>
      </c>
      <c r="J8">
        <f>0.1/1000</f>
        <v>1E-4</v>
      </c>
      <c r="K8">
        <f t="shared" si="0"/>
        <v>4.2553191489361703E-3</v>
      </c>
      <c r="N8">
        <f t="shared" si="1"/>
        <v>5.5225000000000001E-4</v>
      </c>
      <c r="O8">
        <f t="shared" si="2"/>
        <v>4.6999999999999999E-6</v>
      </c>
      <c r="P8">
        <f t="shared" si="3"/>
        <v>8.5106382978723406E-3</v>
      </c>
    </row>
    <row r="9" spans="8:17" x14ac:dyDescent="0.25">
      <c r="H9" t="s">
        <v>10</v>
      </c>
      <c r="I9">
        <f>45/1000</f>
        <v>4.4999999999999998E-2</v>
      </c>
      <c r="J9">
        <f>10/1000</f>
        <v>0.01</v>
      </c>
      <c r="K9">
        <f t="shared" si="0"/>
        <v>0.22222222222222224</v>
      </c>
      <c r="N9">
        <f t="shared" si="1"/>
        <v>2.0249999999999999E-3</v>
      </c>
      <c r="O9">
        <f t="shared" si="2"/>
        <v>8.9999999999999998E-4</v>
      </c>
      <c r="P9">
        <f t="shared" si="3"/>
        <v>0.44444444444444448</v>
      </c>
    </row>
    <row r="11" spans="8:17" x14ac:dyDescent="0.25">
      <c r="I11" t="s">
        <v>13</v>
      </c>
      <c r="J11" t="s">
        <v>12</v>
      </c>
      <c r="O11" t="s">
        <v>13</v>
      </c>
      <c r="P11" t="s">
        <v>11</v>
      </c>
      <c r="Q11" t="s">
        <v>12</v>
      </c>
    </row>
    <row r="12" spans="8:17" x14ac:dyDescent="0.25">
      <c r="H12" t="s">
        <v>15</v>
      </c>
      <c r="I12">
        <f>N6*N7</f>
        <v>1.083681E-6</v>
      </c>
      <c r="J12">
        <f>P6+P7</f>
        <v>6.2151777137367916E-3</v>
      </c>
      <c r="N12" t="s">
        <v>17</v>
      </c>
      <c r="O12">
        <f>N7-N6</f>
        <v>3.0409000000000013E-4</v>
      </c>
      <c r="P12">
        <f>O7+O6</f>
        <v>6.4700000000000007E-6</v>
      </c>
      <c r="Q12">
        <f>P12/O12</f>
        <v>2.1276595744680844E-2</v>
      </c>
    </row>
    <row r="13" spans="8:17" x14ac:dyDescent="0.25">
      <c r="H13" t="s">
        <v>16</v>
      </c>
      <c r="I13">
        <f>I12*I9</f>
        <v>4.8765644999999997E-8</v>
      </c>
      <c r="J13">
        <f>J12+K9</f>
        <v>0.22843739993595902</v>
      </c>
    </row>
    <row r="16" spans="8:17" x14ac:dyDescent="0.25">
      <c r="K16" t="s">
        <v>18</v>
      </c>
      <c r="L16">
        <f>I13/O12</f>
        <v>1.6036582919530393E-4</v>
      </c>
      <c r="M16">
        <f>J13+Q12</f>
        <v>0.24971399568063987</v>
      </c>
    </row>
    <row r="17" spans="11:14" x14ac:dyDescent="0.25">
      <c r="K17">
        <f>4*PI()</f>
        <v>12.566370614359172</v>
      </c>
      <c r="L17">
        <f>L16</f>
        <v>1.6036582919530393E-4</v>
      </c>
      <c r="M17">
        <f>M16*L17</f>
        <v>4.004559197899836E-5</v>
      </c>
    </row>
    <row r="18" spans="11:14" x14ac:dyDescent="0.25">
      <c r="K18">
        <f>L18-M17</f>
        <v>1.2032023721630557E-4</v>
      </c>
      <c r="L18">
        <f>L17</f>
        <v>1.6036582919530393E-4</v>
      </c>
      <c r="M18">
        <f>L18+M17</f>
        <v>2.0041142117430231E-4</v>
      </c>
    </row>
    <row r="19" spans="11:14" x14ac:dyDescent="0.25">
      <c r="K19">
        <f>K18*$K$17</f>
        <v>1.5119886932677073E-3</v>
      </c>
      <c r="L19">
        <f>L18*$K$17</f>
        <v>2.0152164435472096E-3</v>
      </c>
      <c r="M19">
        <f>M18*$K$17</f>
        <v>2.5184441938267119E-3</v>
      </c>
    </row>
    <row r="20" spans="11:14" x14ac:dyDescent="0.25">
      <c r="K20">
        <f>$L$20-K19</f>
        <v>5.0322775027950234E-4</v>
      </c>
      <c r="L20">
        <f>AVERAGE(K19,M19)</f>
        <v>2.0152164435472096E-3</v>
      </c>
      <c r="M20">
        <f>$L$20-M19</f>
        <v>-5.0322775027950234E-4</v>
      </c>
    </row>
    <row r="22" spans="11:14" x14ac:dyDescent="0.25">
      <c r="L22" t="s">
        <v>13</v>
      </c>
      <c r="M22" t="s">
        <v>20</v>
      </c>
      <c r="N22" t="s">
        <v>21</v>
      </c>
    </row>
    <row r="23" spans="11:14" x14ac:dyDescent="0.25">
      <c r="K23" t="s">
        <v>19</v>
      </c>
      <c r="L23">
        <v>2.0152164435469633E-3</v>
      </c>
      <c r="M23">
        <v>5.0322775027950234E-4</v>
      </c>
      <c r="N23">
        <f>M23/L23</f>
        <v>0.2497139956806704</v>
      </c>
    </row>
    <row r="24" spans="11:14" x14ac:dyDescent="0.25">
      <c r="L24">
        <f>L23*10^3</f>
        <v>2.0152164435469633</v>
      </c>
      <c r="M24">
        <f>M23*10^3</f>
        <v>0.50322775027950239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2C5FC-7469-4828-9515-AEBB57603D67}">
  <dimension ref="A2:U27"/>
  <sheetViews>
    <sheetView tabSelected="1" topLeftCell="A9" zoomScaleNormal="100" workbookViewId="0">
      <selection activeCell="B27" sqref="B27"/>
    </sheetView>
  </sheetViews>
  <sheetFormatPr defaultRowHeight="15" x14ac:dyDescent="0.25"/>
  <cols>
    <col min="1" max="1" width="20" bestFit="1" customWidth="1"/>
    <col min="2" max="3" width="12" bestFit="1" customWidth="1"/>
    <col min="4" max="4" width="12.28515625" bestFit="1" customWidth="1"/>
    <col min="5" max="5" width="12.140625" bestFit="1" customWidth="1"/>
    <col min="6" max="6" width="12.7109375" bestFit="1" customWidth="1"/>
    <col min="7" max="7" width="12" bestFit="1" customWidth="1"/>
    <col min="10" max="10" width="12.7109375" bestFit="1" customWidth="1"/>
    <col min="12" max="12" width="11" bestFit="1" customWidth="1"/>
    <col min="15" max="15" width="13" bestFit="1" customWidth="1"/>
    <col min="16" max="18" width="12" bestFit="1" customWidth="1"/>
    <col min="20" max="20" width="211.7109375" bestFit="1" customWidth="1"/>
  </cols>
  <sheetData>
    <row r="2" spans="3:21" ht="15.75" thickBot="1" x14ac:dyDescent="0.3">
      <c r="D2">
        <v>5</v>
      </c>
      <c r="E2">
        <v>9</v>
      </c>
      <c r="F2">
        <v>19</v>
      </c>
      <c r="G2">
        <v>30</v>
      </c>
      <c r="I2" s="20"/>
      <c r="J2" s="20" t="s">
        <v>13</v>
      </c>
      <c r="K2" s="20" t="s">
        <v>11</v>
      </c>
      <c r="L2" s="20" t="s">
        <v>12</v>
      </c>
      <c r="O2" s="20" t="s">
        <v>13</v>
      </c>
      <c r="P2" s="20" t="s">
        <v>11</v>
      </c>
      <c r="Q2" s="20" t="s">
        <v>12</v>
      </c>
    </row>
    <row r="3" spans="3:21" ht="15.75" thickBot="1" x14ac:dyDescent="0.3">
      <c r="C3" s="29"/>
      <c r="D3" s="30" t="s">
        <v>22</v>
      </c>
      <c r="E3" s="30" t="s">
        <v>28</v>
      </c>
      <c r="F3" s="30" t="s">
        <v>29</v>
      </c>
      <c r="G3" s="31" t="s">
        <v>30</v>
      </c>
      <c r="I3" s="19" t="s">
        <v>19</v>
      </c>
      <c r="J3" s="20">
        <v>2.0152164435469633E-3</v>
      </c>
      <c r="K3" s="20">
        <v>5.0322775027950234E-4</v>
      </c>
      <c r="L3" s="20">
        <v>0.2497139956806704</v>
      </c>
      <c r="N3" t="s">
        <v>45</v>
      </c>
      <c r="O3" s="49">
        <f>8.43*10^(-4)</f>
        <v>8.43E-4</v>
      </c>
      <c r="P3">
        <f>0.8*10^(-4)</f>
        <v>8.0000000000000007E-5</v>
      </c>
      <c r="Q3">
        <f>P3/O3</f>
        <v>9.4899169632265731E-2</v>
      </c>
    </row>
    <row r="4" spans="3:21" x14ac:dyDescent="0.25">
      <c r="C4" s="32" t="s">
        <v>23</v>
      </c>
      <c r="D4" s="33">
        <v>1.57</v>
      </c>
      <c r="E4" s="34">
        <v>2.58</v>
      </c>
      <c r="F4" s="34">
        <v>5.65</v>
      </c>
      <c r="G4" s="35">
        <v>7.3</v>
      </c>
    </row>
    <row r="5" spans="3:21" x14ac:dyDescent="0.25">
      <c r="C5" s="36" t="s">
        <v>24</v>
      </c>
      <c r="D5" s="37">
        <v>1.55</v>
      </c>
      <c r="E5" s="38">
        <v>2.5299999999999998</v>
      </c>
      <c r="F5" s="39">
        <v>5.7</v>
      </c>
      <c r="G5" s="40">
        <v>6.56</v>
      </c>
      <c r="J5" t="s">
        <v>13</v>
      </c>
      <c r="K5" t="s">
        <v>37</v>
      </c>
      <c r="L5" t="s">
        <v>12</v>
      </c>
    </row>
    <row r="6" spans="3:21" x14ac:dyDescent="0.25">
      <c r="C6" s="36" t="s">
        <v>25</v>
      </c>
      <c r="D6" s="37">
        <v>1.54</v>
      </c>
      <c r="E6" s="38">
        <v>2.56</v>
      </c>
      <c r="F6" s="38">
        <v>5.83</v>
      </c>
      <c r="G6" s="40">
        <v>7.23</v>
      </c>
      <c r="I6" t="s">
        <v>9</v>
      </c>
      <c r="J6">
        <f>25.6/1000</f>
        <v>2.5600000000000001E-2</v>
      </c>
      <c r="K6">
        <f>0.1/1000</f>
        <v>1E-4</v>
      </c>
      <c r="L6">
        <f>K6/J6</f>
        <v>3.90625E-3</v>
      </c>
      <c r="N6" t="s">
        <v>46</v>
      </c>
      <c r="O6">
        <f>D11*$J$6</f>
        <v>1.2556800000000001E-3</v>
      </c>
      <c r="P6">
        <f t="shared" ref="P6:R6" si="0">E11*$J$6</f>
        <v>2.2602239999999999E-3</v>
      </c>
      <c r="Q6">
        <f t="shared" si="0"/>
        <v>4.7715840000000006E-3</v>
      </c>
      <c r="R6">
        <f t="shared" si="0"/>
        <v>7.5340800000000003E-3</v>
      </c>
    </row>
    <row r="7" spans="3:21" ht="15.75" thickBot="1" x14ac:dyDescent="0.3">
      <c r="C7" s="36" t="s">
        <v>26</v>
      </c>
      <c r="D7" s="41">
        <v>1.56</v>
      </c>
      <c r="E7" s="42">
        <v>2.6</v>
      </c>
      <c r="F7" s="43">
        <v>5.57</v>
      </c>
      <c r="G7" s="44">
        <v>7.51</v>
      </c>
      <c r="N7" s="12" t="s">
        <v>47</v>
      </c>
      <c r="O7" s="12">
        <f>D11*$K$6</f>
        <v>4.9050000000000005E-6</v>
      </c>
      <c r="P7" s="12">
        <f>E11*$K$6</f>
        <v>8.8289999999999997E-6</v>
      </c>
      <c r="Q7" s="12">
        <f t="shared" ref="Q7" si="1">F11*$K$6</f>
        <v>1.8639000000000002E-5</v>
      </c>
      <c r="R7" s="12">
        <f>G11*$K$6</f>
        <v>2.9430000000000001E-5</v>
      </c>
      <c r="T7" t="str">
        <f>_xlfn.CONCAT($D$23,D16," Pa*s", "\pm"," ",D18," Pa*s",$D$23)</f>
        <v>$0.131692587351564 Pa*s\pm 0.0769179376521515 Pa*s$</v>
      </c>
    </row>
    <row r="8" spans="3:21" x14ac:dyDescent="0.25">
      <c r="C8" s="32" t="s">
        <v>27</v>
      </c>
      <c r="D8" s="45">
        <f>AVERAGE(D7,D6,D5,D4)</f>
        <v>1.5550000000000002</v>
      </c>
      <c r="E8" s="45">
        <f t="shared" ref="E8:G8" si="2">AVERAGE(E7,E6,E5,E4)</f>
        <v>2.5674999999999999</v>
      </c>
      <c r="F8" s="45">
        <f t="shared" si="2"/>
        <v>5.6875</v>
      </c>
      <c r="G8" s="46">
        <f t="shared" si="2"/>
        <v>7.15</v>
      </c>
      <c r="N8" s="12" t="s">
        <v>48</v>
      </c>
      <c r="O8" s="12">
        <f>O7/O6</f>
        <v>3.90625E-3</v>
      </c>
      <c r="P8" s="12">
        <f t="shared" ref="P8:R8" si="3">P7/P6</f>
        <v>3.90625E-3</v>
      </c>
      <c r="Q8" s="12">
        <f t="shared" si="3"/>
        <v>3.90625E-3</v>
      </c>
      <c r="R8" s="12">
        <f t="shared" si="3"/>
        <v>3.90625E-3</v>
      </c>
      <c r="T8" t="str">
        <f>_xlfn.CONCAT($D$23,E16," Pa*s", "\pm"," ",E18," Pa*s",$D$23)</f>
        <v>$0.273909028653438 Pa*s\pm 0.128240299738241 Pa*s$</v>
      </c>
    </row>
    <row r="9" spans="3:21" x14ac:dyDescent="0.25">
      <c r="C9" s="36" t="s">
        <v>33</v>
      </c>
      <c r="D9" s="37">
        <v>0.2</v>
      </c>
      <c r="E9" s="38">
        <v>0.4</v>
      </c>
      <c r="F9" s="39">
        <v>0.14000000000000001</v>
      </c>
      <c r="G9" s="40">
        <v>0.59000000000000075</v>
      </c>
      <c r="T9" t="str">
        <f>_xlfn.CONCAT($D$23,F16," Pa*s", "\pm"," ",F18," Pa*s",$D$23)</f>
        <v>$0.342762211060703 Pa*s\pm 0.102635828397275 Pa*s$</v>
      </c>
    </row>
    <row r="10" spans="3:21" x14ac:dyDescent="0.25">
      <c r="C10" s="15" t="s">
        <v>34</v>
      </c>
      <c r="D10" s="16">
        <f>D9/D8</f>
        <v>0.12861736334405144</v>
      </c>
      <c r="E10" s="16">
        <f t="shared" ref="E10:G10" si="4">E9/E8</f>
        <v>0.15579357351509251</v>
      </c>
      <c r="F10" s="16">
        <f t="shared" si="4"/>
        <v>2.4615384615384619E-2</v>
      </c>
      <c r="G10" s="18">
        <f t="shared" si="4"/>
        <v>8.2517482517482615E-2</v>
      </c>
      <c r="N10" s="58" t="s">
        <v>49</v>
      </c>
      <c r="O10" s="59">
        <f>O6-$O$3</f>
        <v>4.1268000000000012E-4</v>
      </c>
      <c r="P10" s="59">
        <f t="shared" ref="P10:R10" si="5">P6-$O$3</f>
        <v>1.4172239999999999E-3</v>
      </c>
      <c r="Q10" s="59">
        <f t="shared" si="5"/>
        <v>3.9285840000000006E-3</v>
      </c>
      <c r="R10" s="59">
        <f t="shared" si="5"/>
        <v>6.6910800000000003E-3</v>
      </c>
      <c r="T10" t="str">
        <f>_xlfn.CONCAT($D$23,G16," Pa*s", "\pm"," ",G18," Pa*s",$D$23)</f>
        <v>$0.464374627158294 Pa*s\pm 0.161874534470389 Pa*s$</v>
      </c>
      <c r="U10" t="s">
        <v>56</v>
      </c>
    </row>
    <row r="11" spans="3:21" ht="15.75" thickBot="1" x14ac:dyDescent="0.3">
      <c r="C11" s="15" t="s">
        <v>41</v>
      </c>
      <c r="D11" s="17">
        <f>D2/1000*9.81</f>
        <v>4.9050000000000003E-2</v>
      </c>
      <c r="E11" s="17">
        <f t="shared" ref="E11:G11" si="6">E2/1000*9.81</f>
        <v>8.8289999999999993E-2</v>
      </c>
      <c r="F11" s="17">
        <f t="shared" si="6"/>
        <v>0.18639</v>
      </c>
      <c r="G11" s="22">
        <f t="shared" si="6"/>
        <v>0.29430000000000001</v>
      </c>
      <c r="N11" t="s">
        <v>50</v>
      </c>
      <c r="O11">
        <f>O7+$P$3</f>
        <v>8.4905000000000001E-5</v>
      </c>
      <c r="P11">
        <f>P7+$P$3</f>
        <v>8.8829000000000013E-5</v>
      </c>
      <c r="Q11">
        <f t="shared" ref="Q11:R11" si="7">Q7+$P$3</f>
        <v>9.8639000000000002E-5</v>
      </c>
      <c r="R11">
        <f t="shared" si="7"/>
        <v>1.0943000000000001E-4</v>
      </c>
    </row>
    <row r="12" spans="3:21" x14ac:dyDescent="0.25">
      <c r="C12" s="27" t="s">
        <v>35</v>
      </c>
      <c r="D12" s="25">
        <f>D8*$J$3</f>
        <v>3.1336615697155281E-3</v>
      </c>
      <c r="E12" s="13">
        <f t="shared" ref="E12:G12" si="8">E8*$J$3</f>
        <v>5.1740682188068281E-3</v>
      </c>
      <c r="F12" s="13">
        <f t="shared" si="8"/>
        <v>1.1461543522673354E-2</v>
      </c>
      <c r="G12" s="14">
        <f t="shared" si="8"/>
        <v>1.4408797571360788E-2</v>
      </c>
      <c r="N12" s="58" t="s">
        <v>51</v>
      </c>
      <c r="O12" s="58">
        <f>O11/O10</f>
        <v>0.20574052534651541</v>
      </c>
      <c r="P12" s="58">
        <f t="shared" ref="P12:R12" si="9">P11/P10</f>
        <v>6.2678165201831199E-2</v>
      </c>
      <c r="Q12" s="58">
        <f t="shared" si="9"/>
        <v>2.5108028745217104E-2</v>
      </c>
      <c r="R12" s="58">
        <f t="shared" si="9"/>
        <v>1.6354609420302854E-2</v>
      </c>
      <c r="T12" s="58" t="str">
        <f>_xlfn.CONCAT(T7,U10,T8,U10,T9,U10,T10,"\\")</f>
        <v>$0.131692587351564 Pa*s\pm 0.0769179376521515 Pa*s$&amp;$0.273909028653438 Pa*s\pm 0.128240299738241 Pa*s$&amp;$0.342762211060703 Pa*s\pm 0.102635828397275 Pa*s$&amp;$0.464374627158294 Pa*s\pm 0.161874534470389 Pa*s$\\</v>
      </c>
    </row>
    <row r="13" spans="3:21" x14ac:dyDescent="0.25">
      <c r="C13" s="28" t="s">
        <v>36</v>
      </c>
      <c r="D13" s="26">
        <f>D10+$L$3</f>
        <v>0.37833135902472181</v>
      </c>
      <c r="E13" s="23">
        <f t="shared" ref="E13:G13" si="10">E10+$L$3</f>
        <v>0.40550756919576292</v>
      </c>
      <c r="F13" s="23">
        <f t="shared" si="10"/>
        <v>0.27432938029605503</v>
      </c>
      <c r="G13" s="24">
        <f t="shared" si="10"/>
        <v>0.33223147819815302</v>
      </c>
    </row>
    <row r="14" spans="3:21" x14ac:dyDescent="0.25">
      <c r="C14" s="50" t="s">
        <v>38</v>
      </c>
      <c r="D14" s="51">
        <f>$J$6/D12</f>
        <v>8.1693569744112331</v>
      </c>
      <c r="E14" s="52">
        <f t="shared" ref="E14:G14" si="11">$J$6/E12</f>
        <v>4.9477507673649344</v>
      </c>
      <c r="F14" s="52">
        <f t="shared" si="11"/>
        <v>2.23355606069617</v>
      </c>
      <c r="G14" s="53">
        <f t="shared" si="11"/>
        <v>1.7766923210083172</v>
      </c>
      <c r="I14" t="s">
        <v>43</v>
      </c>
      <c r="J14">
        <v>2.5674999999999999</v>
      </c>
    </row>
    <row r="15" spans="3:21" ht="15.75" thickBot="1" x14ac:dyDescent="0.3">
      <c r="C15" s="54" t="s">
        <v>39</v>
      </c>
      <c r="D15" s="55">
        <f>D13+$L$6</f>
        <v>0.38223760902472181</v>
      </c>
      <c r="E15" s="56">
        <f t="shared" ref="E15:G15" si="12">E13+$L$6</f>
        <v>0.40941381919576292</v>
      </c>
      <c r="F15" s="56">
        <f t="shared" si="12"/>
        <v>0.27823563029605503</v>
      </c>
      <c r="G15" s="57">
        <f t="shared" si="12"/>
        <v>0.33613772819815302</v>
      </c>
      <c r="I15" t="s">
        <v>13</v>
      </c>
      <c r="J15">
        <v>9</v>
      </c>
    </row>
    <row r="16" spans="3:21" x14ac:dyDescent="0.25">
      <c r="C16" s="47" t="s">
        <v>31</v>
      </c>
      <c r="D16" s="61">
        <f>O10/D12</f>
        <v>0.13169258735156361</v>
      </c>
      <c r="E16" s="61">
        <f t="shared" ref="E16:G16" si="13">P10/E12</f>
        <v>0.27390902865343753</v>
      </c>
      <c r="F16" s="61">
        <f t="shared" si="13"/>
        <v>0.34276221106070326</v>
      </c>
      <c r="G16" s="61">
        <f t="shared" si="13"/>
        <v>0.46437462715829414</v>
      </c>
      <c r="I16" t="s">
        <v>44</v>
      </c>
      <c r="J16">
        <v>9.81</v>
      </c>
    </row>
    <row r="17" spans="1:10" ht="15.75" thickBot="1" x14ac:dyDescent="0.3">
      <c r="C17" s="48" t="s">
        <v>40</v>
      </c>
      <c r="D17" s="60">
        <f>D13+O12</f>
        <v>0.58407188437123725</v>
      </c>
      <c r="E17" s="60">
        <f t="shared" ref="E17:F17" si="14">E13+P12</f>
        <v>0.46818573439759414</v>
      </c>
      <c r="F17" s="60">
        <f t="shared" si="14"/>
        <v>0.29943740904127214</v>
      </c>
      <c r="G17" s="60">
        <f>G13+R12</f>
        <v>0.34858608761845589</v>
      </c>
      <c r="I17" t="s">
        <v>31</v>
      </c>
      <c r="J17">
        <f>((J15/1000*J16*J6)-O3)/(J3*J14)</f>
        <v>0.27390902865343753</v>
      </c>
    </row>
    <row r="18" spans="1:10" x14ac:dyDescent="0.25">
      <c r="A18" t="s">
        <v>32</v>
      </c>
      <c r="B18" s="62">
        <f>AVERAGE(D16,E16,F16,G16)</f>
        <v>0.30318461355599963</v>
      </c>
      <c r="C18" t="s">
        <v>52</v>
      </c>
      <c r="D18" s="21">
        <f>D16*D17</f>
        <v>7.6917937652151519E-2</v>
      </c>
      <c r="E18" s="21">
        <f t="shared" ref="E18:G18" si="15">E16*E17</f>
        <v>0.1282402997382413</v>
      </c>
      <c r="F18" s="21">
        <f t="shared" si="15"/>
        <v>0.10263582839727466</v>
      </c>
      <c r="G18" s="21">
        <f t="shared" si="15"/>
        <v>0.16187453447038891</v>
      </c>
    </row>
    <row r="19" spans="1:10" x14ac:dyDescent="0.25">
      <c r="A19" t="s">
        <v>42</v>
      </c>
      <c r="B19" s="21">
        <f>AVERAGE(D17,E17,F17,G17)</f>
        <v>0.42507027885713983</v>
      </c>
    </row>
    <row r="20" spans="1:10" x14ac:dyDescent="0.25">
      <c r="A20" t="s">
        <v>53</v>
      </c>
      <c r="B20" s="1">
        <f>AVERAGE(D18,E18,F18,G18)</f>
        <v>0.1174171500645141</v>
      </c>
      <c r="C20" s="62">
        <f>B19*B18</f>
        <v>0.12887476822944294</v>
      </c>
    </row>
    <row r="22" spans="1:10" x14ac:dyDescent="0.25">
      <c r="D22" t="s">
        <v>54</v>
      </c>
    </row>
    <row r="23" spans="1:10" x14ac:dyDescent="0.25">
      <c r="D23" t="s">
        <v>55</v>
      </c>
    </row>
    <row r="25" spans="1:10" x14ac:dyDescent="0.25">
      <c r="B25" s="21">
        <f>AVERAGE(D16,E16,F16)</f>
        <v>0.24945460902190145</v>
      </c>
    </row>
    <row r="26" spans="1:10" x14ac:dyDescent="0.25">
      <c r="B26" s="21">
        <f>AVERAGE(D17,E17,F17)</f>
        <v>0.45056500927003446</v>
      </c>
    </row>
    <row r="27" spans="1:10" x14ac:dyDescent="0.25">
      <c r="B27" s="21">
        <f>B26*B25</f>
        <v>0.11239551822640585</v>
      </c>
      <c r="C27" s="21">
        <f>AVERAGE(D18,E18,F18)</f>
        <v>0.1025980219292225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Orlić</dc:creator>
  <cp:lastModifiedBy>Luka Orlić</cp:lastModifiedBy>
  <dcterms:created xsi:type="dcterms:W3CDTF">2022-10-15T22:50:10Z</dcterms:created>
  <dcterms:modified xsi:type="dcterms:W3CDTF">2022-10-16T01:51:37Z</dcterms:modified>
</cp:coreProperties>
</file>