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2\VAJA_63\"/>
    </mc:Choice>
  </mc:AlternateContent>
  <xr:revisionPtr revIDLastSave="0" documentId="13_ncr:1_{F3C5C237-5617-42B3-B3E6-1FEF4772F09C}" xr6:coauthVersionLast="47" xr6:coauthVersionMax="47" xr10:uidLastSave="{00000000-0000-0000-0000-000000000000}"/>
  <bookViews>
    <workbookView xWindow="-120" yWindow="-120" windowWidth="29040" windowHeight="15840" xr2:uid="{3B13EA01-195E-4162-9E3F-FD2FF751629F}"/>
  </bookViews>
  <sheets>
    <sheet name="Meritve" sheetId="1" r:id="rId1"/>
  </sheets>
  <definedNames>
    <definedName name="mkof">Meritve!$Q$10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M12" i="1"/>
  <c r="T13" i="1" s="1"/>
  <c r="T19" i="1" s="1"/>
  <c r="M13" i="1"/>
  <c r="T14" i="1" s="1"/>
  <c r="T20" i="1" s="1"/>
  <c r="M14" i="1"/>
  <c r="T15" i="1" s="1"/>
  <c r="T21" i="1" s="1"/>
  <c r="T27" i="1" s="1"/>
  <c r="M11" i="1"/>
  <c r="T12" i="1" s="1"/>
  <c r="T18" i="1" s="1"/>
  <c r="L11" i="1"/>
  <c r="L16" i="1" s="1"/>
  <c r="N39" i="1"/>
  <c r="N38" i="1"/>
  <c r="G41" i="1"/>
  <c r="Q10" i="1"/>
  <c r="J8" i="1"/>
  <c r="L12" i="1"/>
  <c r="S13" i="1" s="1"/>
  <c r="S19" i="1" s="1"/>
  <c r="S25" i="1" s="1"/>
  <c r="L13" i="1"/>
  <c r="S14" i="1" s="1"/>
  <c r="S20" i="1" s="1"/>
  <c r="L14" i="1"/>
  <c r="S15" i="1" s="1"/>
  <c r="S21" i="1" s="1"/>
  <c r="F10" i="1"/>
  <c r="F17" i="1" s="1"/>
  <c r="F11" i="1"/>
  <c r="F18" i="1" s="1"/>
  <c r="F12" i="1"/>
  <c r="F19" i="1" s="1"/>
  <c r="F13" i="1"/>
  <c r="F20" i="1" s="1"/>
  <c r="F14" i="1"/>
  <c r="F21" i="1" s="1"/>
  <c r="E10" i="1"/>
  <c r="E17" i="1" s="1"/>
  <c r="E11" i="1"/>
  <c r="E18" i="1" s="1"/>
  <c r="E12" i="1"/>
  <c r="E19" i="1" s="1"/>
  <c r="E13" i="1"/>
  <c r="E20" i="1" s="1"/>
  <c r="E14" i="1"/>
  <c r="E21" i="1" s="1"/>
  <c r="T25" i="1" l="1"/>
  <c r="U25" i="1" s="1"/>
  <c r="P38" i="1"/>
  <c r="Q38" i="1" s="1"/>
  <c r="G42" i="1"/>
  <c r="H42" i="1" s="1"/>
  <c r="S27" i="1"/>
  <c r="R27" i="1" s="1"/>
  <c r="S26" i="1"/>
  <c r="R26" i="1" s="1"/>
  <c r="T24" i="1"/>
  <c r="U24" i="1" s="1"/>
  <c r="T26" i="1"/>
  <c r="U26" i="1" s="1"/>
  <c r="S12" i="1"/>
  <c r="S18" i="1" s="1"/>
  <c r="S24" i="1" s="1"/>
  <c r="R24" i="1" s="1"/>
  <c r="M19" i="1"/>
  <c r="O32" i="1" s="1"/>
  <c r="P32" i="1" s="1"/>
  <c r="P39" i="1"/>
  <c r="Q39" i="1" s="1"/>
  <c r="M18" i="1"/>
  <c r="N26" i="1" s="1"/>
  <c r="M26" i="1" s="1"/>
  <c r="G10" i="1"/>
  <c r="G17" i="1" s="1"/>
  <c r="L18" i="1"/>
  <c r="L19" i="1"/>
  <c r="G14" i="1"/>
  <c r="G21" i="1" s="1"/>
  <c r="G29" i="1" s="1"/>
  <c r="H29" i="1" s="1"/>
  <c r="M51" i="1" s="1"/>
  <c r="M17" i="1"/>
  <c r="G13" i="1"/>
  <c r="G20" i="1" s="1"/>
  <c r="G28" i="1" s="1"/>
  <c r="H28" i="1" s="1"/>
  <c r="M50" i="1" s="1"/>
  <c r="L17" i="1"/>
  <c r="M16" i="1"/>
  <c r="O24" i="1"/>
  <c r="P24" i="1" s="1"/>
  <c r="N29" i="1"/>
  <c r="M29" i="1" s="1"/>
  <c r="U27" i="1"/>
  <c r="R25" i="1"/>
  <c r="G12" i="1"/>
  <c r="G19" i="1" s="1"/>
  <c r="G27" i="1" s="1"/>
  <c r="H27" i="1" s="1"/>
  <c r="M49" i="1" s="1"/>
  <c r="G11" i="1"/>
  <c r="G18" i="1" s="1"/>
  <c r="G26" i="1" s="1"/>
  <c r="H26" i="1" s="1"/>
  <c r="M48" i="1" s="1"/>
  <c r="N27" i="1" l="1"/>
  <c r="M27" i="1" s="1"/>
  <c r="N30" i="1"/>
  <c r="M30" i="1" s="1"/>
  <c r="O25" i="1"/>
  <c r="P25" i="1" s="1"/>
  <c r="N25" i="1"/>
  <c r="M25" i="1" s="1"/>
  <c r="O30" i="1"/>
  <c r="P30" i="1" s="1"/>
  <c r="N32" i="1"/>
  <c r="M32" i="1" s="1"/>
  <c r="O27" i="1"/>
  <c r="P27" i="1" s="1"/>
  <c r="O26" i="1"/>
  <c r="P26" i="1" s="1"/>
  <c r="N31" i="1"/>
  <c r="M31" i="1" s="1"/>
  <c r="O31" i="1"/>
  <c r="P31" i="1" s="1"/>
  <c r="O29" i="1"/>
  <c r="P29" i="1" s="1"/>
  <c r="Q30" i="1" s="1"/>
  <c r="N24" i="1"/>
  <c r="M24" i="1" s="1"/>
</calcChain>
</file>

<file path=xl/sharedStrings.xml><?xml version="1.0" encoding="utf-8"?>
<sst xmlns="http://schemas.openxmlformats.org/spreadsheetml/2006/main" count="57" uniqueCount="41">
  <si>
    <t>Meritve</t>
  </si>
  <si>
    <t>0 deg</t>
  </si>
  <si>
    <t>Phi</t>
  </si>
  <si>
    <t>Levo</t>
  </si>
  <si>
    <t>Desno</t>
  </si>
  <si>
    <t>N</t>
  </si>
  <si>
    <t>AVG</t>
  </si>
  <si>
    <t>Odmik D</t>
  </si>
  <si>
    <t>Odmik L</t>
  </si>
  <si>
    <t>Transformacija</t>
  </si>
  <si>
    <t>theta'</t>
  </si>
  <si>
    <t>theta</t>
  </si>
  <si>
    <t>&gt; odm - fi</t>
  </si>
  <si>
    <t>&gt; dom + fi</t>
  </si>
  <si>
    <t>deg</t>
  </si>
  <si>
    <t>mrež koef</t>
  </si>
  <si>
    <t>Conversion rad</t>
  </si>
  <si>
    <t>conversion rad</t>
  </si>
  <si>
    <t>d * sin(A) = n L</t>
  </si>
  <si>
    <t>d/n * sin(A) = L</t>
  </si>
  <si>
    <t>apply 2 avg</t>
  </si>
  <si>
    <t>[m]</t>
  </si>
  <si>
    <t>[nm]</t>
  </si>
  <si>
    <t>rad</t>
  </si>
  <si>
    <t>&gt;</t>
  </si>
  <si>
    <t>d/n [ sin (T' + P) - sin(P) ]= L</t>
  </si>
  <si>
    <t>d/n [ sin (P) + sin(T-P) ]= L</t>
  </si>
  <si>
    <t>d/n [sin(odD) - sinP = L</t>
  </si>
  <si>
    <t>d/n [sin(p) + sin(odL) = L</t>
  </si>
  <si>
    <t>L LAM</t>
  </si>
  <si>
    <t>D LAM</t>
  </si>
  <si>
    <t>AVG TOTAL</t>
  </si>
  <si>
    <t>POZOR!!!!</t>
  </si>
  <si>
    <t>to je</t>
  </si>
  <si>
    <t>KATASTROFA</t>
  </si>
  <si>
    <t xml:space="preserve">Here goes the offset angle in degrees -&gt; </t>
  </si>
  <si>
    <t>Here goes the angle from the "0" value in degrees -&gt;</t>
  </si>
  <si>
    <t>Left</t>
  </si>
  <si>
    <t>Right</t>
  </si>
  <si>
    <t>I did it manually idfk what else to tell you</t>
  </si>
  <si>
    <t xml:space="preserve">Careful i have no clue what i did or how i got my answers… It is a katastrophe..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</si>
</sst>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E+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u/>
      <sz val="11"/>
      <color rgb="FF9C0006"/>
      <name val="Arial Black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1"/>
    <xf numFmtId="0" fontId="2" fillId="2" borderId="0" xfId="2"/>
    <xf numFmtId="0" fontId="3" fillId="3" borderId="2" xfId="3" applyBorder="1"/>
    <xf numFmtId="0" fontId="3" fillId="3" borderId="3" xfId="3" applyBorder="1"/>
    <xf numFmtId="0" fontId="4" fillId="2" borderId="1" xfId="2" applyFont="1" applyBorder="1"/>
    <xf numFmtId="0" fontId="2" fillId="2" borderId="0" xfId="2" applyAlignment="1">
      <alignment horizontal="center"/>
    </xf>
    <xf numFmtId="165" fontId="5" fillId="4" borderId="0" xfId="4" applyNumberFormat="1"/>
    <xf numFmtId="0" fontId="3" fillId="3" borderId="0" xfId="3"/>
    <xf numFmtId="0" fontId="5" fillId="4" borderId="4" xfId="4" applyBorder="1"/>
    <xf numFmtId="164" fontId="3" fillId="3" borderId="0" xfId="3" applyNumberFormat="1"/>
    <xf numFmtId="1" fontId="5" fillId="4" borderId="0" xfId="4" applyNumberFormat="1"/>
    <xf numFmtId="166" fontId="3" fillId="3" borderId="0" xfId="3" applyNumberFormat="1"/>
    <xf numFmtId="1" fontId="3" fillId="3" borderId="0" xfId="3" applyNumberFormat="1"/>
    <xf numFmtId="165" fontId="3" fillId="3" borderId="0" xfId="3" applyNumberFormat="1"/>
  </cellXfs>
  <cellStyles count="5">
    <cellStyle name="Bad" xfId="2" builtinId="27"/>
    <cellStyle name="Good" xfId="4" builtinId="26"/>
    <cellStyle name="Hyperlink" xfId="1" builtinId="8"/>
    <cellStyle name="Neutral" xfId="3" builtinId="28"/>
    <cellStyle name="Normal" xfId="0" builtinId="0"/>
  </cellStyles>
  <dxfs count="7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CFE53-5F20-47A3-AB1F-96C06740AA4A}" name="Table3" displayName="Table3" ref="B9:G14" totalsRowShown="0">
  <autoFilter ref="B9:G14" xr:uid="{134CFE53-5F20-47A3-AB1F-96C06740AA4A}"/>
  <tableColumns count="6">
    <tableColumn id="1" xr3:uid="{3C1A66A0-D232-4190-BC25-91BF3B00EF00}" name="N"/>
    <tableColumn id="2" xr3:uid="{584A30BF-BB02-4A70-9742-318E5ED4DCBE}" name="Levo" dataCellStyle="Bad"/>
    <tableColumn id="3" xr3:uid="{BD9633B8-9B7E-4503-A990-0041B0E9F9A9}" name="Desno" dataCellStyle="Bad"/>
    <tableColumn id="4" xr3:uid="{A74EDCB4-6C10-4E09-B17A-2F9999B20CCC}" name="Odmik L" dataDxfId="6">
      <calculatedColumnFormula>$C$10-Table3[[#This Row],[Levo]]</calculatedColumnFormula>
    </tableColumn>
    <tableColumn id="5" xr3:uid="{C1209418-CEF9-49D3-8F39-0CF97EE052A1}" name="Odmik D" dataDxfId="5">
      <calculatedColumnFormula>Table3[[#This Row],[Desno]]-$D$10</calculatedColumnFormula>
    </tableColumn>
    <tableColumn id="6" xr3:uid="{8A820B26-83C6-46B5-A642-9F58150D8EDB}" name="AVG" dataDxfId="4">
      <calculatedColumnFormula>AVERAGE(Table3[[#This Row],[Odmik D]],Table3[[#This Row],[Odmik 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5EBDEC-90BD-45E3-BC89-775E74083044}" name="Table35" displayName="Table35" ref="I9:P14" totalsRowShown="0">
  <autoFilter ref="I9:P14" xr:uid="{A15EBDEC-90BD-45E3-BC89-775E74083044}"/>
  <tableColumns count="8">
    <tableColumn id="1" xr3:uid="{B59A7821-8EFD-45E4-9339-3CD37F96CE1C}" name="N"/>
    <tableColumn id="2" xr3:uid="{E432D1EF-AB14-4A86-BAFC-D7A74056E5E8}" name="Levo" dataCellStyle="Bad"/>
    <tableColumn id="3" xr3:uid="{D84D0A90-0B36-49FF-86E9-DD16242BA28B}" name="Desno" dataCellStyle="Bad"/>
    <tableColumn id="4" xr3:uid="{DF158D81-A3DF-4654-80C7-985AE7262D55}" name="Odmik L" dataDxfId="3">
      <calculatedColumnFormula>$J$10-Table35[[#This Row],[Levo]]</calculatedColumnFormula>
    </tableColumn>
    <tableColumn id="5" xr3:uid="{A88043FD-24FD-4BBC-BF05-EA9F23A5A24D}" name="Odmik D" dataDxfId="2">
      <calculatedColumnFormula>Table35[[#This Row],[Desno]]-$K$10</calculatedColumnFormula>
    </tableColumn>
    <tableColumn id="6" xr3:uid="{D2497B47-2C8A-4B05-AC8D-6614275005E3}" name="AVG" dataDxfId="1">
      <calculatedColumnFormula>AVERAGE(Table35[[#This Row],[L LAM]],Table35[[#This Row],[D LAM]])</calculatedColumnFormula>
    </tableColumn>
    <tableColumn id="7" xr3:uid="{6E176D52-001A-4889-9BE4-5DCB577BBF13}" name="L LAM"/>
    <tableColumn id="8" xr3:uid="{2BBBDB55-E41C-4328-B7BF-30D2AA05F060}" name="D L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30A6A-6FF1-4D5B-B539-20211EB592B0}" name="Table1" displayName="Table1" ref="M47:M51" totalsRowShown="0" dataCellStyle="Good">
  <autoFilter ref="M47:M51" xr:uid="{69A30A6A-6FF1-4D5B-B539-20211EB592B0}"/>
  <tableColumns count="1">
    <tableColumn id="1" xr3:uid="{E5F812EC-B874-4574-BCB9-AA9124F675EF}" name="AVG TOTAL" dataDxfId="0" dataCellStyle="Good">
      <calculatedColumnFormula>(2*N11+H26)/3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FA50-F66B-4D1E-828D-28DB54E3B7A2}">
  <dimension ref="A1:U51"/>
  <sheetViews>
    <sheetView tabSelected="1" workbookViewId="0">
      <selection activeCell="F4" sqref="F4"/>
    </sheetView>
  </sheetViews>
  <sheetFormatPr defaultRowHeight="15" x14ac:dyDescent="0.25"/>
  <cols>
    <col min="4" max="4" width="14.42578125" bestFit="1" customWidth="1"/>
    <col min="5" max="5" width="10.42578125" bestFit="1" customWidth="1"/>
    <col min="6" max="6" width="10.85546875" bestFit="1" customWidth="1"/>
    <col min="7" max="7" width="12" bestFit="1" customWidth="1"/>
    <col min="10" max="10" width="7.42578125" bestFit="1" customWidth="1"/>
    <col min="11" max="11" width="48.28515625" bestFit="1" customWidth="1"/>
    <col min="12" max="12" width="10.42578125" bestFit="1" customWidth="1"/>
    <col min="13" max="13" width="21.140625" bestFit="1" customWidth="1"/>
    <col min="14" max="14" width="12.7109375" bestFit="1" customWidth="1"/>
    <col min="15" max="15" width="12" bestFit="1" customWidth="1"/>
    <col min="16" max="16" width="22.5703125" bestFit="1" customWidth="1"/>
    <col min="17" max="17" width="12" bestFit="1" customWidth="1"/>
    <col min="18" max="18" width="25.140625" bestFit="1" customWidth="1"/>
    <col min="19" max="19" width="14.140625" bestFit="1" customWidth="1"/>
    <col min="20" max="20" width="12.7109375" bestFit="1" customWidth="1"/>
    <col min="21" max="21" width="23.85546875" bestFit="1" customWidth="1"/>
  </cols>
  <sheetData>
    <row r="1" spans="1:21" x14ac:dyDescent="0.25">
      <c r="P1" s="3" t="s">
        <v>32</v>
      </c>
    </row>
    <row r="2" spans="1:21" ht="15.75" thickBot="1" x14ac:dyDescent="0.3">
      <c r="P2" s="4" t="s">
        <v>33</v>
      </c>
    </row>
    <row r="3" spans="1:21" s="2" customFormat="1" ht="19.5" thickBot="1" x14ac:dyDescent="0.45">
      <c r="F3" s="6" t="s">
        <v>40</v>
      </c>
      <c r="G3" s="6"/>
      <c r="H3" s="6"/>
      <c r="I3" s="6"/>
      <c r="J3" s="6"/>
      <c r="K3" s="6"/>
      <c r="L3" s="6"/>
      <c r="M3" s="6"/>
      <c r="P3" s="5" t="s">
        <v>34</v>
      </c>
    </row>
    <row r="6" spans="1:21" x14ac:dyDescent="0.25">
      <c r="B6" t="s">
        <v>0</v>
      </c>
      <c r="C6" t="s">
        <v>2</v>
      </c>
      <c r="J6" t="s">
        <v>2</v>
      </c>
    </row>
    <row r="7" spans="1:21" x14ac:dyDescent="0.25">
      <c r="C7" t="s">
        <v>1</v>
      </c>
      <c r="J7">
        <v>20</v>
      </c>
      <c r="K7" t="s">
        <v>14</v>
      </c>
    </row>
    <row r="8" spans="1:21" x14ac:dyDescent="0.25">
      <c r="A8" t="s">
        <v>14</v>
      </c>
      <c r="H8" t="s">
        <v>14</v>
      </c>
      <c r="J8">
        <f>J7*PI()/180</f>
        <v>0.3490658503988659</v>
      </c>
      <c r="Q8" t="s">
        <v>21</v>
      </c>
      <c r="S8" s="8" t="s">
        <v>9</v>
      </c>
      <c r="T8" s="8"/>
      <c r="U8" s="8"/>
    </row>
    <row r="9" spans="1:21" x14ac:dyDescent="0.25">
      <c r="B9" t="s">
        <v>5</v>
      </c>
      <c r="C9" t="s">
        <v>3</v>
      </c>
      <c r="D9" t="s">
        <v>4</v>
      </c>
      <c r="E9" t="s">
        <v>8</v>
      </c>
      <c r="F9" t="s">
        <v>7</v>
      </c>
      <c r="G9" t="s">
        <v>6</v>
      </c>
      <c r="I9" t="s">
        <v>5</v>
      </c>
      <c r="J9" t="s">
        <v>3</v>
      </c>
      <c r="K9" t="s">
        <v>4</v>
      </c>
      <c r="L9" t="s">
        <v>8</v>
      </c>
      <c r="M9" t="s">
        <v>7</v>
      </c>
      <c r="N9" t="s">
        <v>6</v>
      </c>
      <c r="O9" t="s">
        <v>29</v>
      </c>
      <c r="P9" t="s">
        <v>30</v>
      </c>
      <c r="Q9" t="s">
        <v>15</v>
      </c>
      <c r="S9" s="8" t="s">
        <v>10</v>
      </c>
      <c r="T9" s="8" t="s">
        <v>11</v>
      </c>
      <c r="U9" s="8" t="s">
        <v>14</v>
      </c>
    </row>
    <row r="10" spans="1:21" x14ac:dyDescent="0.25">
      <c r="B10">
        <v>0</v>
      </c>
      <c r="C10" s="2">
        <v>175.4</v>
      </c>
      <c r="D10" s="2">
        <v>175.4</v>
      </c>
      <c r="E10">
        <f>$C$10-Table3[[#This Row],[Levo]]</f>
        <v>0</v>
      </c>
      <c r="F10">
        <f>Table3[[#This Row],[Desno]]-$D$10</f>
        <v>0</v>
      </c>
      <c r="G10">
        <f>AVERAGE(Table3[[#This Row],[Odmik D]],Table3[[#This Row],[Odmik L]])</f>
        <v>0</v>
      </c>
      <c r="I10">
        <v>0</v>
      </c>
      <c r="J10" s="2">
        <v>195.4</v>
      </c>
      <c r="K10" s="2">
        <v>195.3</v>
      </c>
      <c r="Q10" s="8">
        <f>1/600/1000</f>
        <v>1.6666666666666669E-6</v>
      </c>
      <c r="S10" s="8" t="s">
        <v>12</v>
      </c>
      <c r="T10" s="8" t="s">
        <v>13</v>
      </c>
      <c r="U10" s="8"/>
    </row>
    <row r="11" spans="1:21" x14ac:dyDescent="0.25">
      <c r="B11">
        <v>1</v>
      </c>
      <c r="C11" s="2">
        <v>160.30000000000001</v>
      </c>
      <c r="D11" s="2">
        <v>190.6</v>
      </c>
      <c r="E11" s="8">
        <f>$C$10-Table3[[#This Row],[Levo]]</f>
        <v>15.099999999999994</v>
      </c>
      <c r="F11" s="8">
        <f>Table3[[#This Row],[Desno]]-$D$10</f>
        <v>15.199999999999989</v>
      </c>
      <c r="G11" s="8">
        <f>AVERAGE(Table3[[#This Row],[Odmik D]],Table3[[#This Row],[Odmik L]])</f>
        <v>15.149999999999991</v>
      </c>
      <c r="I11">
        <v>1</v>
      </c>
      <c r="J11" s="2">
        <v>179.9</v>
      </c>
      <c r="K11" s="2">
        <v>208.2</v>
      </c>
      <c r="L11" s="9">
        <f>$J$10-Table35[[#This Row],[Levo]]</f>
        <v>15.5</v>
      </c>
      <c r="M11" s="9">
        <f>Table35[[#This Row],[Desno]]-$K$10+2</f>
        <v>14.899999999999977</v>
      </c>
      <c r="N11" s="8">
        <f>AVERAGE(Table35[[#This Row],[L LAM]],Table35[[#This Row],[D LAM]])</f>
        <v>406.4</v>
      </c>
      <c r="O11" s="2">
        <v>429.3</v>
      </c>
      <c r="P11" s="2">
        <v>383.5</v>
      </c>
      <c r="S11" s="8"/>
      <c r="T11" s="8"/>
      <c r="U11" s="8"/>
    </row>
    <row r="12" spans="1:21" x14ac:dyDescent="0.25">
      <c r="B12">
        <v>2</v>
      </c>
      <c r="C12" s="2">
        <v>156.19999999999999</v>
      </c>
      <c r="D12" s="2">
        <v>194.5</v>
      </c>
      <c r="E12" s="8">
        <f>$C$10-Table3[[#This Row],[Levo]]</f>
        <v>19.200000000000017</v>
      </c>
      <c r="F12" s="8">
        <f>Table3[[#This Row],[Desno]]-$D$10</f>
        <v>19.099999999999994</v>
      </c>
      <c r="G12" s="8">
        <f>AVERAGE(Table3[[#This Row],[Odmik D]],Table3[[#This Row],[Odmik L]])</f>
        <v>19.150000000000006</v>
      </c>
      <c r="I12">
        <v>2</v>
      </c>
      <c r="J12" s="2">
        <v>176</v>
      </c>
      <c r="K12" s="2">
        <v>211.6</v>
      </c>
      <c r="L12" s="9">
        <f>$J$10-Table35[[#This Row],[Levo]]</f>
        <v>19.400000000000006</v>
      </c>
      <c r="M12" s="9">
        <f>Table35[[#This Row],[Desno]]-$K$10+2</f>
        <v>18.299999999999983</v>
      </c>
      <c r="N12" s="8">
        <f>AVERAGE(Table35[[#This Row],[L LAM]],Table35[[#This Row],[D LAM]])</f>
        <v>544.20000000000005</v>
      </c>
      <c r="O12" s="2">
        <v>552.6</v>
      </c>
      <c r="P12" s="2">
        <v>535.79999999999995</v>
      </c>
      <c r="S12" s="8">
        <f>L11-$J$7</f>
        <v>-4.5</v>
      </c>
      <c r="T12" s="8">
        <f>M11+$J$7</f>
        <v>34.899999999999977</v>
      </c>
      <c r="U12" s="8"/>
    </row>
    <row r="13" spans="1:21" x14ac:dyDescent="0.25">
      <c r="B13">
        <v>3</v>
      </c>
      <c r="C13" s="2">
        <v>155.19999999999999</v>
      </c>
      <c r="D13" s="2">
        <v>195.7</v>
      </c>
      <c r="E13" s="8">
        <f>$C$10-Table3[[#This Row],[Levo]]</f>
        <v>20.200000000000017</v>
      </c>
      <c r="F13" s="8">
        <f>Table3[[#This Row],[Desno]]-$D$10</f>
        <v>20.299999999999983</v>
      </c>
      <c r="G13" s="8">
        <f>AVERAGE(Table3[[#This Row],[Odmik D]],Table3[[#This Row],[Odmik L]])</f>
        <v>20.25</v>
      </c>
      <c r="I13">
        <v>3</v>
      </c>
      <c r="J13" s="2">
        <v>175</v>
      </c>
      <c r="K13" s="2">
        <v>212.9</v>
      </c>
      <c r="L13" s="9">
        <f>$J$10-Table35[[#This Row],[Levo]]</f>
        <v>20.400000000000006</v>
      </c>
      <c r="M13" s="9">
        <f>Table35[[#This Row],[Desno]]-$K$10+2</f>
        <v>19.599999999999994</v>
      </c>
      <c r="N13" s="8">
        <f>AVERAGE(Table35[[#This Row],[L LAM]],Table35[[#This Row],[D LAM]])</f>
        <v>575.29999999999995</v>
      </c>
      <c r="O13" s="2">
        <v>581.70000000000005</v>
      </c>
      <c r="P13" s="2">
        <v>568.9</v>
      </c>
      <c r="S13" s="8">
        <f>L12-$J$7</f>
        <v>-0.59999999999999432</v>
      </c>
      <c r="T13" s="8">
        <f>M12+$J$7</f>
        <v>38.299999999999983</v>
      </c>
      <c r="U13" s="8"/>
    </row>
    <row r="14" spans="1:21" x14ac:dyDescent="0.25">
      <c r="B14">
        <v>4</v>
      </c>
      <c r="C14" s="2">
        <v>155</v>
      </c>
      <c r="D14" s="2">
        <v>195.8</v>
      </c>
      <c r="E14" s="8">
        <f>$C$10-Table3[[#This Row],[Levo]]</f>
        <v>20.400000000000006</v>
      </c>
      <c r="F14" s="8">
        <f>Table3[[#This Row],[Desno]]-$D$10</f>
        <v>20.400000000000006</v>
      </c>
      <c r="G14" s="8">
        <f>AVERAGE(Table3[[#This Row],[Odmik D]],Table3[[#This Row],[Odmik L]])</f>
        <v>20.400000000000006</v>
      </c>
      <c r="I14">
        <v>4</v>
      </c>
      <c r="J14" s="2">
        <v>174</v>
      </c>
      <c r="K14" s="2">
        <v>213</v>
      </c>
      <c r="L14" s="9">
        <f>$J$10-Table35[[#This Row],[Levo]]</f>
        <v>21.400000000000006</v>
      </c>
      <c r="M14" s="9">
        <f>Table35[[#This Row],[Desno]]-$K$10+2</f>
        <v>19.699999999999989</v>
      </c>
      <c r="N14" s="8">
        <f>AVERAGE(Table35[[#This Row],[L LAM]],Table35[[#This Row],[D LAM]])</f>
        <v>602.15</v>
      </c>
      <c r="O14" s="2">
        <v>610.79999999999995</v>
      </c>
      <c r="P14" s="2">
        <v>593.5</v>
      </c>
      <c r="S14" s="8">
        <f>L13-$J$7</f>
        <v>0.40000000000000568</v>
      </c>
      <c r="T14" s="8">
        <f>M13+$J$7</f>
        <v>39.599999999999994</v>
      </c>
      <c r="U14" s="8"/>
    </row>
    <row r="15" spans="1:21" x14ac:dyDescent="0.25">
      <c r="S15" s="8">
        <f>L14-$J$7</f>
        <v>1.4000000000000057</v>
      </c>
      <c r="T15" s="8">
        <f>M14+$J$7</f>
        <v>39.699999999999989</v>
      </c>
      <c r="U15" s="8"/>
    </row>
    <row r="16" spans="1:21" x14ac:dyDescent="0.25">
      <c r="D16" t="s">
        <v>16</v>
      </c>
      <c r="L16" s="8">
        <f>L11*PI()/180</f>
        <v>0.27052603405912107</v>
      </c>
      <c r="M16" s="8">
        <f>M11*PI()/180</f>
        <v>0.26005405854715469</v>
      </c>
      <c r="S16" s="8" t="s">
        <v>17</v>
      </c>
      <c r="T16" s="8"/>
      <c r="U16" s="8" t="s">
        <v>23</v>
      </c>
    </row>
    <row r="17" spans="4:21" x14ac:dyDescent="0.25">
      <c r="E17" s="8">
        <f>E10*PI()/180</f>
        <v>0</v>
      </c>
      <c r="F17" s="8">
        <f t="shared" ref="F17:G17" si="0">F10*PI()/180</f>
        <v>0</v>
      </c>
      <c r="G17" s="8">
        <f t="shared" si="0"/>
        <v>0</v>
      </c>
      <c r="L17" s="8">
        <f t="shared" ref="L17:M17" si="1">L12*PI()/180</f>
        <v>0.33859387488690001</v>
      </c>
      <c r="M17" s="8">
        <f t="shared" si="1"/>
        <v>0.31939525311496203</v>
      </c>
      <c r="S17" s="10"/>
      <c r="T17" s="10"/>
      <c r="U17" s="8"/>
    </row>
    <row r="18" spans="4:21" x14ac:dyDescent="0.25">
      <c r="E18" s="10">
        <f t="shared" ref="E18:G18" si="2">E11*PI()/180</f>
        <v>0.26354471705114368</v>
      </c>
      <c r="F18" s="10">
        <f t="shared" si="2"/>
        <v>0.26529004630313791</v>
      </c>
      <c r="G18" s="10">
        <f t="shared" si="2"/>
        <v>0.26441738167714074</v>
      </c>
      <c r="L18" s="8">
        <f t="shared" ref="L18:M18" si="3">L13*PI()/180</f>
        <v>0.35604716740684333</v>
      </c>
      <c r="M18" s="8">
        <f t="shared" si="3"/>
        <v>0.34208453339088846</v>
      </c>
      <c r="S18" s="10">
        <f t="shared" ref="S18:T18" si="4">S12*PI()/180</f>
        <v>-7.8539816339744828E-2</v>
      </c>
      <c r="T18" s="10">
        <f t="shared" si="4"/>
        <v>0.60911990894602053</v>
      </c>
      <c r="U18" s="8"/>
    </row>
    <row r="19" spans="4:21" x14ac:dyDescent="0.25">
      <c r="E19" s="10">
        <f t="shared" ref="E19:F19" si="5">E12*PI()/180</f>
        <v>0.33510321638291157</v>
      </c>
      <c r="F19" s="10">
        <f t="shared" si="5"/>
        <v>0.33335788713091685</v>
      </c>
      <c r="G19" s="10">
        <f>G12*PI()/180</f>
        <v>0.33423055175691424</v>
      </c>
      <c r="L19" s="8">
        <f t="shared" ref="L19:M19" si="6">L14*PI()/180</f>
        <v>0.37350045992678665</v>
      </c>
      <c r="M19" s="8">
        <f t="shared" si="6"/>
        <v>0.34382986264288273</v>
      </c>
      <c r="S19" s="10">
        <f t="shared" ref="S19:T19" si="7">S13*PI()/180</f>
        <v>-1.0471975511965879E-2</v>
      </c>
      <c r="T19" s="10">
        <f t="shared" si="7"/>
        <v>0.66846110351382793</v>
      </c>
      <c r="U19" s="8"/>
    </row>
    <row r="20" spans="4:21" x14ac:dyDescent="0.25">
      <c r="E20" s="10">
        <f t="shared" ref="E20:G20" si="8">E13*PI()/180</f>
        <v>0.35255650890285484</v>
      </c>
      <c r="F20" s="10">
        <f t="shared" si="8"/>
        <v>0.35430183815484861</v>
      </c>
      <c r="G20" s="10">
        <f t="shared" si="8"/>
        <v>0.35342917352885173</v>
      </c>
      <c r="L20" s="8"/>
      <c r="M20" s="8"/>
      <c r="S20" s="10">
        <f t="shared" ref="S20:T20" si="9">S14*PI()/180</f>
        <v>6.9813170079774164E-3</v>
      </c>
      <c r="T20" s="10">
        <f t="shared" si="9"/>
        <v>0.69115038378975435</v>
      </c>
      <c r="U20" s="8"/>
    </row>
    <row r="21" spans="4:21" x14ac:dyDescent="0.25">
      <c r="E21" s="10">
        <f t="shared" ref="E21:G21" si="10">E14*PI()/180</f>
        <v>0.35604716740684333</v>
      </c>
      <c r="F21" s="10">
        <f t="shared" si="10"/>
        <v>0.35604716740684333</v>
      </c>
      <c r="G21" s="10">
        <f t="shared" si="10"/>
        <v>0.35604716740684333</v>
      </c>
      <c r="S21" s="10">
        <f t="shared" ref="S21:T21" si="11">S15*PI()/180</f>
        <v>2.443460952792071E-2</v>
      </c>
      <c r="T21" s="10">
        <f t="shared" si="11"/>
        <v>0.69289571304174857</v>
      </c>
      <c r="U21" s="8"/>
    </row>
    <row r="22" spans="4:21" x14ac:dyDescent="0.25">
      <c r="M22" s="8"/>
      <c r="N22" s="8"/>
      <c r="O22" s="8"/>
      <c r="P22" s="8"/>
      <c r="Q22" s="8"/>
      <c r="R22" s="8"/>
      <c r="S22" s="8"/>
      <c r="T22" s="8"/>
      <c r="U22" s="8"/>
    </row>
    <row r="23" spans="4:21" x14ac:dyDescent="0.25">
      <c r="D23" s="8" t="s">
        <v>18</v>
      </c>
      <c r="M23" s="8" t="s">
        <v>27</v>
      </c>
      <c r="N23" s="8"/>
      <c r="O23" s="8"/>
      <c r="P23" s="8" t="s">
        <v>28</v>
      </c>
      <c r="Q23" s="8"/>
      <c r="R23" s="8" t="s">
        <v>25</v>
      </c>
      <c r="S23" s="8"/>
      <c r="T23" s="8"/>
      <c r="U23" s="8" t="s">
        <v>26</v>
      </c>
    </row>
    <row r="24" spans="4:21" x14ac:dyDescent="0.25">
      <c r="D24" s="8" t="s">
        <v>19</v>
      </c>
      <c r="M24" s="13">
        <f>N24*10^9</f>
        <v>-141.47891695162156</v>
      </c>
      <c r="N24" s="8">
        <f>mkof/I11*(SIN(M16)-SIN($J$8))</f>
        <v>-1.4147891695162156E-7</v>
      </c>
      <c r="O24" s="8">
        <f>mkof/I11*(SIN($J$8)+SIN(L16))</f>
        <v>1.0154308656732094E-6</v>
      </c>
      <c r="P24" s="8">
        <f>O24*10^9</f>
        <v>1015.4308656732094</v>
      </c>
      <c r="Q24" s="8"/>
      <c r="R24" s="14">
        <f>S24*10^9</f>
        <v>-124.63627874568647</v>
      </c>
      <c r="S24" s="8">
        <f>mkof*(SIN(S18+$J$8)-SIN($J$8))</f>
        <v>-1.2463627874568647E-7</v>
      </c>
      <c r="T24" s="8">
        <f>mkof*(SIN($J$8)+SIN(T18 - $J$8))</f>
        <v>9.9858822746727422E-7</v>
      </c>
      <c r="U24" s="13">
        <f>T24*10^9</f>
        <v>998.58822746727424</v>
      </c>
    </row>
    <row r="25" spans="4:21" x14ac:dyDescent="0.25">
      <c r="D25" s="8" t="s">
        <v>20</v>
      </c>
      <c r="E25" t="s">
        <v>24</v>
      </c>
      <c r="F25" t="s">
        <v>24</v>
      </c>
      <c r="G25" t="s">
        <v>21</v>
      </c>
      <c r="H25" t="s">
        <v>22</v>
      </c>
      <c r="M25" s="13">
        <f t="shared" ref="M25:M27" si="12">N25*10^9</f>
        <v>-23.356406131886715</v>
      </c>
      <c r="N25" s="8">
        <f>mkof/I12*(SIN(M17)-SIN($J$8))</f>
        <v>-2.3356406131886714E-8</v>
      </c>
      <c r="O25" s="8">
        <f>mkof/I12*(SIN($J$8)+SIN(L17))</f>
        <v>5.6181772934114348E-7</v>
      </c>
      <c r="P25" s="8">
        <f t="shared" ref="P25:P27" si="13">O25*10^9</f>
        <v>561.81772934114349</v>
      </c>
      <c r="Q25" s="8"/>
      <c r="R25" s="14">
        <f t="shared" ref="R25:R27" si="14">S25*10^9</f>
        <v>-16.431685736608877</v>
      </c>
      <c r="S25" s="8">
        <f>mkof*(SIN(S19+$J$8)-SIN($J$8))</f>
        <v>-1.6431685736608878E-8</v>
      </c>
      <c r="T25" s="8">
        <f>mkof*(SIN($J$8)+SIN(T19 - $J$8))</f>
        <v>1.0933543321551226E-6</v>
      </c>
      <c r="U25" s="13">
        <f t="shared" ref="U25:U27" si="15">T25*10^9</f>
        <v>1093.3543321551226</v>
      </c>
    </row>
    <row r="26" spans="4:21" x14ac:dyDescent="0.25">
      <c r="G26" s="12">
        <f>mkof/$B$11*SIN(G18)</f>
        <v>4.3557823859214903E-7</v>
      </c>
      <c r="H26" s="11">
        <f>G26*10^9</f>
        <v>435.57823859214903</v>
      </c>
      <c r="M26" s="13">
        <f t="shared" si="12"/>
        <v>-3.6492075418965837</v>
      </c>
      <c r="N26" s="8">
        <f>mkof/I13*(SIN(M18)-SIN($J$8))</f>
        <v>-3.6492075418965835E-9</v>
      </c>
      <c r="O26" s="8">
        <f>mkof/I13*(SIN($J$8)+SIN(L18))</f>
        <v>3.8366232813749114E-7</v>
      </c>
      <c r="P26" s="8">
        <f t="shared" si="13"/>
        <v>383.66232813749116</v>
      </c>
      <c r="Q26" s="8"/>
      <c r="R26" s="14">
        <f t="shared" si="14"/>
        <v>10.919839993577634</v>
      </c>
      <c r="S26" s="8">
        <f>mkof*(SIN(S20+$J$8)-SIN($J$8))</f>
        <v>1.0919839993577634E-8</v>
      </c>
      <c r="T26" s="8">
        <f>mkof*(SIN($J$8)+SIN(T20 - $J$8))</f>
        <v>1.129119521793206E-6</v>
      </c>
      <c r="U26" s="13">
        <f t="shared" si="15"/>
        <v>1129.1195217932061</v>
      </c>
    </row>
    <row r="27" spans="4:21" x14ac:dyDescent="0.25">
      <c r="G27" s="12">
        <f>mkof/$B$11*SIN(G19)</f>
        <v>5.4673732961353633E-7</v>
      </c>
      <c r="H27" s="11">
        <f t="shared" ref="H27:H29" si="16">G27*10^9</f>
        <v>546.7373296135363</v>
      </c>
      <c r="M27" s="13">
        <f t="shared" si="12"/>
        <v>-2.0520353760778343</v>
      </c>
      <c r="N27" s="8">
        <f>mkof/I14*(SIN(M19)-SIN($J$8))</f>
        <v>-2.0520353760778342E-9</v>
      </c>
      <c r="O27" s="8">
        <f>mkof/I14*(SIN($J$8)+SIN(L19))</f>
        <v>2.9454038652637022E-7</v>
      </c>
      <c r="P27" s="8">
        <f t="shared" si="13"/>
        <v>294.54038652637024</v>
      </c>
      <c r="Q27" s="8"/>
      <c r="R27" s="14">
        <f t="shared" si="14"/>
        <v>38.094401686585016</v>
      </c>
      <c r="S27" s="8">
        <f>mkof*(SIN(S21+$J$8)-SIN($J$8))</f>
        <v>3.8094401686585017E-8</v>
      </c>
      <c r="T27" s="8">
        <f>mkof*(SIN($J$8)+SIN(T21 - $J$8))</f>
        <v>1.1318590029145845E-6</v>
      </c>
      <c r="U27" s="13">
        <f t="shared" si="15"/>
        <v>1131.8590029145846</v>
      </c>
    </row>
    <row r="28" spans="4:21" x14ac:dyDescent="0.25">
      <c r="G28" s="12">
        <f>mkof/$B$11*SIN(G20)</f>
        <v>5.7686176179582168E-7</v>
      </c>
      <c r="H28" s="11">
        <f t="shared" si="16"/>
        <v>576.86176179582174</v>
      </c>
      <c r="M28" s="8"/>
      <c r="N28" s="8"/>
      <c r="O28" s="8"/>
      <c r="P28" s="8"/>
      <c r="Q28" s="8"/>
      <c r="R28" s="8"/>
      <c r="S28" s="8"/>
      <c r="T28" s="8"/>
      <c r="U28" s="8"/>
    </row>
    <row r="29" spans="4:21" x14ac:dyDescent="0.25">
      <c r="G29" s="12">
        <f>mkof/$B$11*SIN(G21)</f>
        <v>5.8095341220302555E-7</v>
      </c>
      <c r="H29" s="11">
        <f t="shared" si="16"/>
        <v>580.95341220302555</v>
      </c>
      <c r="M29" s="13">
        <f>N29*10^9</f>
        <v>-124.63627874568647</v>
      </c>
      <c r="N29" s="8">
        <f>mkof/I11*(SIN(L16)-SIN($J$8))</f>
        <v>-1.2463627874568647E-7</v>
      </c>
      <c r="O29" s="8">
        <f>mkof/I11*(SIN($J$8)+SIN(M16))</f>
        <v>9.9858822746727422E-7</v>
      </c>
      <c r="P29" s="8">
        <f>O29*10^9</f>
        <v>998.58822746727424</v>
      </c>
      <c r="Q29" s="8"/>
      <c r="R29" s="8"/>
      <c r="S29" s="8"/>
    </row>
    <row r="30" spans="4:21" x14ac:dyDescent="0.25">
      <c r="M30" s="13">
        <f t="shared" ref="M30:M32" si="17">N30*10^9</f>
        <v>-8.2158428683044384</v>
      </c>
      <c r="N30" s="8">
        <f>mkof/I12*(SIN(L17)-SIN($J$8))</f>
        <v>-8.2158428683044392E-9</v>
      </c>
      <c r="O30" s="8">
        <f>mkof/I12*(SIN($J$8)+SIN(M17))</f>
        <v>5.4667716607756128E-7</v>
      </c>
      <c r="P30" s="8">
        <f t="shared" ref="P30:P32" si="18">O30*10^9</f>
        <v>546.67716607756131</v>
      </c>
      <c r="Q30" s="8">
        <f>P29/2</f>
        <v>499.29411373363712</v>
      </c>
      <c r="R30" s="8"/>
      <c r="S30" s="8"/>
    </row>
    <row r="31" spans="4:21" x14ac:dyDescent="0.25">
      <c r="M31" s="13">
        <f t="shared" si="17"/>
        <v>3.6399466645258785</v>
      </c>
      <c r="N31" s="8">
        <f>mkof/I13*(SIN(L18)-SIN($J$8))</f>
        <v>3.6399466645258782E-9</v>
      </c>
      <c r="O31" s="8">
        <f>mkof/I13*(SIN($J$8)+SIN(M18))</f>
        <v>3.7637317393106872E-7</v>
      </c>
      <c r="P31" s="8">
        <f t="shared" si="18"/>
        <v>376.37317393106872</v>
      </c>
      <c r="Q31" s="8"/>
      <c r="R31" s="8"/>
      <c r="S31" s="8"/>
    </row>
    <row r="32" spans="4:21" x14ac:dyDescent="0.25">
      <c r="M32" s="13">
        <f t="shared" si="17"/>
        <v>9.5236004216462771</v>
      </c>
      <c r="N32" s="8">
        <f>mkof/I14*(SIN(L19)-SIN($J$8))</f>
        <v>9.5236004216462775E-9</v>
      </c>
      <c r="O32" s="8">
        <f>mkof/I14*(SIN($J$8)+SIN(M19))</f>
        <v>2.8296475072864613E-7</v>
      </c>
      <c r="P32" s="8">
        <f t="shared" si="18"/>
        <v>282.96475072864615</v>
      </c>
      <c r="Q32" s="8"/>
      <c r="R32" s="8"/>
      <c r="S32" s="8"/>
    </row>
    <row r="33" spans="7:19" x14ac:dyDescent="0.25">
      <c r="M33" s="8"/>
      <c r="N33" s="8"/>
      <c r="O33" s="8"/>
      <c r="P33" s="8"/>
      <c r="Q33" s="8"/>
      <c r="R33" s="8"/>
      <c r="S33" s="8"/>
    </row>
    <row r="34" spans="7:19" x14ac:dyDescent="0.25">
      <c r="O34" s="1"/>
    </row>
    <row r="35" spans="7:19" x14ac:dyDescent="0.25">
      <c r="O35" s="1"/>
    </row>
    <row r="37" spans="7:19" x14ac:dyDescent="0.25">
      <c r="M37" t="s">
        <v>14</v>
      </c>
      <c r="N37" t="s">
        <v>23</v>
      </c>
    </row>
    <row r="38" spans="7:19" x14ac:dyDescent="0.25">
      <c r="K38" t="s">
        <v>35</v>
      </c>
      <c r="L38" t="s">
        <v>2</v>
      </c>
      <c r="M38" s="2">
        <v>20</v>
      </c>
      <c r="N38" s="8">
        <f>M38*PI()/180</f>
        <v>0.3490658503988659</v>
      </c>
      <c r="O38" s="8"/>
      <c r="P38" s="8">
        <f>mkof * (SIN(N39-N38)+SIN(N38))</f>
        <v>5.5839813837951199E-7</v>
      </c>
      <c r="Q38" s="14">
        <f>P38*10^9</f>
        <v>558.39813837951203</v>
      </c>
      <c r="R38" t="s">
        <v>37</v>
      </c>
    </row>
    <row r="39" spans="7:19" x14ac:dyDescent="0.25">
      <c r="K39" t="s">
        <v>36</v>
      </c>
      <c r="L39" t="s">
        <v>14</v>
      </c>
      <c r="M39" s="2">
        <v>19.600000000000001</v>
      </c>
      <c r="N39" s="8">
        <f>M39*PI()/180</f>
        <v>0.34208453339088862</v>
      </c>
      <c r="O39" s="8"/>
      <c r="P39" s="8">
        <f>mkof * (SIN(N39+N38)-SIN(N38))</f>
        <v>4.9233974403836847E-7</v>
      </c>
      <c r="Q39" s="7">
        <f>P39*10^9</f>
        <v>492.33974403836845</v>
      </c>
      <c r="R39" t="s">
        <v>38</v>
      </c>
    </row>
    <row r="40" spans="7:19" x14ac:dyDescent="0.25">
      <c r="G40">
        <v>13</v>
      </c>
      <c r="K40" t="s">
        <v>39</v>
      </c>
      <c r="O40" s="1"/>
    </row>
    <row r="41" spans="7:19" x14ac:dyDescent="0.25">
      <c r="G41">
        <f>G40*PI()/180</f>
        <v>0.22689280275926285</v>
      </c>
      <c r="O41" s="1"/>
    </row>
    <row r="42" spans="7:19" x14ac:dyDescent="0.25">
      <c r="G42">
        <f>mkof/1*SIN(G41)</f>
        <v>3.7491842390644174E-7</v>
      </c>
      <c r="H42">
        <f>G42*10^9</f>
        <v>374.91842390644172</v>
      </c>
      <c r="O42" s="1"/>
    </row>
    <row r="43" spans="7:19" x14ac:dyDescent="0.25">
      <c r="O43" s="1"/>
    </row>
    <row r="47" spans="7:19" x14ac:dyDescent="0.25">
      <c r="M47" t="s">
        <v>31</v>
      </c>
    </row>
    <row r="48" spans="7:19" x14ac:dyDescent="0.25">
      <c r="M48" s="11">
        <f>(2*N11+H26)/3</f>
        <v>416.12607953071637</v>
      </c>
    </row>
    <row r="49" spans="13:13" x14ac:dyDescent="0.25">
      <c r="M49" s="11">
        <f t="shared" ref="M49:M51" si="19">(2*N12+H27)/3</f>
        <v>545.04577653784543</v>
      </c>
    </row>
    <row r="50" spans="13:13" x14ac:dyDescent="0.25">
      <c r="M50" s="11">
        <f t="shared" si="19"/>
        <v>575.82058726527384</v>
      </c>
    </row>
    <row r="51" spans="13:13" x14ac:dyDescent="0.25">
      <c r="M51" s="11">
        <f t="shared" si="19"/>
        <v>595.08447073434183</v>
      </c>
    </row>
  </sheetData>
  <mergeCells count="1">
    <mergeCell ref="F3:M3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Meritve</vt:lpstr>
      <vt:lpstr>mkof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2023-04-09T17:09:34Z</dcterms:created>
  <dcterms:modified xsi:type="dcterms:W3CDTF">2023-04-10T17:47:26Z</dcterms:modified>
</cp:coreProperties>
</file>